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filterPrivacy="1" codeName="ThisWorkbook" defaultThemeVersion="124226"/>
  <xr:revisionPtr revIDLastSave="58" documentId="102_{BB0D5C44-A856-40B8-BAE3-6CF79D2FC08F}" xr6:coauthVersionLast="36" xr6:coauthVersionMax="46" xr10:uidLastSave="{31513FD4-29C7-4092-90DF-8A057F00534F}"/>
  <bookViews>
    <workbookView xWindow="0" yWindow="0" windowWidth="9580" windowHeight="1620" tabRatio="645" xr2:uid="{00000000-000D-0000-FFFF-FFFF00000000}"/>
  </bookViews>
  <sheets>
    <sheet name="Changes (after July 1)" sheetId="6" r:id="rId1"/>
    <sheet name="Items Document Map" sheetId="34" r:id="rId2"/>
    <sheet name="Items Details" sheetId="2" r:id="rId3"/>
    <sheet name="Option Sets Document Map" sheetId="16" r:id="rId4"/>
    <sheet name="Option Sets Details" sheetId="10" r:id="rId5"/>
    <sheet name="IDCTE Certs" sheetId="33" r:id="rId6"/>
    <sheet name="CIP Codes" sheetId="39" r:id="rId7"/>
    <sheet name="Assignment Changes" sheetId="38" r:id="rId8"/>
    <sheet name="Assignment_Endorsements" sheetId="32" r:id="rId9"/>
    <sheet name="Districts and Schools" sheetId="21" r:id="rId10"/>
  </sheets>
  <definedNames>
    <definedName name="_xlnm._FilterDatabase" localSheetId="7" hidden="1">'Assignment Changes'!$A$1:$F$616</definedName>
    <definedName name="_xlnm._FilterDatabase" localSheetId="8" hidden="1">Assignment_Endorsements!$A$1:$J$2112</definedName>
    <definedName name="_xlnm._FilterDatabase" localSheetId="0">'Changes (after July 1)'!$A$1:$L$1</definedName>
    <definedName name="_xlnm._FilterDatabase" localSheetId="6" hidden="1">'CIP Codes'!$A$1:$E$2848</definedName>
    <definedName name="_xlnm._FilterDatabase" localSheetId="9" hidden="1">'Districts and Schools'!$A$1:$D$1006</definedName>
    <definedName name="_xlnm._FilterDatabase" localSheetId="2" hidden="1">'Items Details'!$A$1:$R$337</definedName>
    <definedName name="_xlnm._FilterDatabase" localSheetId="4" hidden="1">'Option Sets Details'!$A$1:$E$1502</definedName>
    <definedName name="a_6" localSheetId="4">'Option Sets Details'!$D$1491</definedName>
    <definedName name="a_8" localSheetId="4">'Option Sets Details'!$D$1496</definedName>
    <definedName name="Account_Code">'Option Sets Details'!$A$2:$B$92</definedName>
    <definedName name="Annual_School_Finance">'Items Details'!$A$328:$C$337</definedName>
    <definedName name="Assessment_Type">'Option Sets Details'!#REF!</definedName>
    <definedName name="Assessment_Type_ELA">'Option Sets Details'!#REF!</definedName>
    <definedName name="AssignmentCourse_Codes">Assignment_Endorsements!$C:$C</definedName>
    <definedName name="Border_Student">'Option Sets Details'!$A$93:$B$95</definedName>
    <definedName name="Calendar_Type">'Option Sets Details'!$A$96:$B$101</definedName>
    <definedName name="CIP_Codes">'Option Sets Details'!#REF!</definedName>
    <definedName name="College_Credit">'Option Sets Details'!$A$103:$B$117</definedName>
    <definedName name="Content_Grade_Level">'Option Sets Details'!$A$118:$B$132</definedName>
    <definedName name="Contract_Type">'Option Sets Details'!$A$133:$B$144</definedName>
    <definedName name="Country">'Option Sets Details'!$A$145:$B$391</definedName>
    <definedName name="Course_Exit_Reason">'Option Sets Details'!$A$394:$B$398</definedName>
    <definedName name="Course_Type">'Option Sets Details'!$A$399:$B$403</definedName>
    <definedName name="Day_Type">'Option Sets Details'!$A$399:$B$402</definedName>
    <definedName name="Disciplinary_Action_Type">'Option Sets Details'!$A$404:$B$409</definedName>
    <definedName name="Disciplinary_Actions">'Items Details'!$A$284:$C$303</definedName>
    <definedName name="District_Calendars">'Items Details'!$A$93:$C$100</definedName>
    <definedName name="District_ID" localSheetId="9">'Districts and Schools'!$C:$C</definedName>
    <definedName name="District_Number">'Districts and Schools'!$A:$A</definedName>
    <definedName name="Districts">'Districts and Schools'!$A$2:$A$990</definedName>
    <definedName name="Early_Childhood_Determination">'Option Sets Details'!$A$410:$B$413</definedName>
    <definedName name="Early_Childhood_Eligibility_Decision">'Option Sets Details'!$A$409:$B$409</definedName>
    <definedName name="Early_Childhood_Refering_Agency">'Option Sets Details'!$A$410:$B$411</definedName>
    <definedName name="Education_Degree">'Option Sets Details'!$A$419:$B$430</definedName>
    <definedName name="EL_Status">'Option Sets Details'!#REF!</definedName>
    <definedName name="Employment_Status">'Option Sets Details'!$A$431:$B$433</definedName>
    <definedName name="Entry_Reasons">'Option Sets Details'!$A$434:$B$447</definedName>
    <definedName name="Exceptionality">'Option Sets Details'!$A$448:$B$461</definedName>
    <definedName name="Exit_Reasons">'Option Sets Details'!$A$462:$B$483</definedName>
    <definedName name="Extra_Pay_Type">'Option Sets Details'!$A$484:$B$494</definedName>
    <definedName name="Facility_Type">'Option Sets Details'!$A$485:$B$494</definedName>
    <definedName name="Function_Code">'Option Sets Details'!$A$495:$B$536</definedName>
    <definedName name="Fund_Number">'Option Sets Details'!$A$537:$B$631</definedName>
    <definedName name="Funding_Source">'Option Sets Details'!$A$632:$B$641</definedName>
    <definedName name="Gender">'Option Sets Details'!$A$649:$B$650</definedName>
    <definedName name="Gifted_Exit_Reason">'Option Sets Details'!$A$651:$B$658</definedName>
    <definedName name="Gifted_Students">'Items Details'!$A$128:$C$140</definedName>
    <definedName name="Grade_Level">'Option Sets Details'!$A$659:$B$673</definedName>
    <definedName name="Higher_Ed_Institutions">'Option Sets Details'!$A$674:$B$692</definedName>
    <definedName name="Homeless_Residence">'Option Sets Details'!$A$693:$B$696</definedName>
    <definedName name="Idaho_Counties">'Option Sets Details'!$A$697:$B$741</definedName>
    <definedName name="Idaho_Regions">'Option Sets Details'!$A$736:$B$741</definedName>
    <definedName name="IDEA_Interim_Removal_Reason">'Option Sets Details'!$A$742:$B$745</definedName>
    <definedName name="Improvement_Status">'Option Sets Details'!$A$742:$B$744</definedName>
    <definedName name="Instructional_Setting">'Option Sets Details'!$A$746:$B$753</definedName>
    <definedName name="IRI_Skill">'Option Sets Details'!#REF!</definedName>
    <definedName name="Kindergarten_Session_Type">'Option Sets Details'!$A$754:$B$762</definedName>
    <definedName name="Languages">'Option Sets Details'!$A$763:$B$1247</definedName>
    <definedName name="Lunch_Status">'Option Sets Details'!$A$414:$B$418</definedName>
    <definedName name="Master_Course_Schedule">'Items Details'!$A$2:$C$17</definedName>
    <definedName name="Migrant_Program_Type">'Option Sets Details'!$A$416:$B$416</definedName>
    <definedName name="Military_Connection">'Option Sets Details'!$A$1249:$B$1252</definedName>
    <definedName name="Modified_Duration_Reason">'Option Sets Details'!$A$1253:$B$1264</definedName>
    <definedName name="Object_Code">'Option Sets Details'!$A$1265:$B$1272</definedName>
    <definedName name="Parapro_High_School_Degree">'Option Sets Details'!$A$1276:$B$1278</definedName>
    <definedName name="Parapro_Type">'Option Sets Details'!$A$1273:$B$1275</definedName>
    <definedName name="PH_School">'Option Sets Details'!$A$1284:$B$1286</definedName>
    <definedName name="Phone_Type">'Option Sets Details'!$A$1279:$B$1283</definedName>
    <definedName name="Program_Contact_Role">'Option Sets Details'!$A$1287:$B$1338</definedName>
    <definedName name="Program_Contacts">'Items Details'!$A$304:$C$326</definedName>
    <definedName name="Program_Exit_Reason">'Option Sets Details'!$A$1339:$B$1348</definedName>
    <definedName name="Program_Status">'Option Sets Details'!$A$1349:$B$1351</definedName>
    <definedName name="Provider_Schools">'Option Sets Details'!$A$1352:$B$1352</definedName>
    <definedName name="Qualification_Method">'Option Sets Details'!#REF!</definedName>
    <definedName name="Record_Type">'Option Sets Details'!$A$1353:$B$1355</definedName>
    <definedName name="School_ID" localSheetId="9">'Districts and Schools'!$C$1</definedName>
    <definedName name="SchoolNumber">'Districts and Schools'!$C$1</definedName>
    <definedName name="Special_Ed_Determination_late">'Option Sets Details'!$A$1356:$B$1361</definedName>
    <definedName name="Special_Ed_Eligibility">'Option Sets Details'!$A$1364:$B$1366</definedName>
    <definedName name="Special_Ed_Environment">'Option Sets Details'!$A$1367:$B$1385</definedName>
    <definedName name="Special_Education_Students">'Items Details'!$A$101:$C$127</definedName>
    <definedName name="Staff_Assignments">'Items Details'!$A$268:$C$283</definedName>
    <definedName name="Staff_Demographics">'Items Details'!$A$141:$C$267</definedName>
    <definedName name="Staff_Evaluation_Level">'Option Sets Details'!#REF!</definedName>
    <definedName name="Staff_Exit_Reason">'Option Sets Details'!$A$1387:$B$1404</definedName>
    <definedName name="State_Exception_Rule">'Option Sets Details'!$A$1405:$B$1409</definedName>
    <definedName name="State_Province">'Option Sets Details'!$A$1410:$B$1473</definedName>
    <definedName name="Student_Attendance">'Items Details'!$A$87:$C$92</definedName>
    <definedName name="Student_Course_Enrollment">'Items Details'!$A$69:$C$86</definedName>
    <definedName name="Student_Demographics">'Items Details'!$A$18:$C$68</definedName>
    <definedName name="Student_Test_Results">'Items Details'!#REF!</definedName>
    <definedName name="Teaching_Role">'Option Sets Details'!$A$1474:$B$1480</definedName>
    <definedName name="Undetermined_Reason">'Option Sets Details'!$A$1481:$B$1484</definedName>
    <definedName name="Weapon_Type">'Option Sets Details'!$A$1485:$B$1497</definedName>
    <definedName name="Yes_No">'Option Sets Details'!$A$1498:$B$1499</definedName>
    <definedName name="Yes_No_NA">'Option Sets Details'!$A$1500:$B$1502</definedName>
  </definedNames>
  <calcPr calcId="191028"/>
  <fileRecoveryPr autoRecover="0"/>
</workbook>
</file>

<file path=xl/calcChain.xml><?xml version="1.0" encoding="utf-8"?>
<calcChain xmlns="http://schemas.openxmlformats.org/spreadsheetml/2006/main">
  <c r="A2848" i="39" l="1"/>
  <c r="A2847" i="39"/>
  <c r="A2846" i="39"/>
  <c r="A2845" i="39"/>
  <c r="A2844" i="39"/>
  <c r="A2843" i="39"/>
  <c r="A2842" i="39"/>
  <c r="A2841" i="39"/>
  <c r="A2840" i="39"/>
  <c r="A2839" i="39"/>
  <c r="A2838" i="39"/>
  <c r="A2837" i="39"/>
  <c r="A2836" i="39"/>
  <c r="A2835" i="39"/>
  <c r="A2834" i="39"/>
  <c r="A2833" i="39"/>
  <c r="A2832" i="39"/>
  <c r="A2831" i="39"/>
  <c r="A2830" i="39"/>
  <c r="A2829" i="39"/>
  <c r="A2828" i="39"/>
  <c r="A2827" i="39"/>
  <c r="A2826" i="39"/>
  <c r="A2825" i="39"/>
  <c r="A2824" i="39"/>
  <c r="A2823" i="39"/>
  <c r="A2822" i="39"/>
  <c r="A2821" i="39"/>
  <c r="A2820" i="39"/>
  <c r="A2819" i="39"/>
  <c r="A2818" i="39"/>
  <c r="A2817" i="39"/>
  <c r="A2816" i="39"/>
  <c r="A2815" i="39"/>
  <c r="A2814" i="39"/>
  <c r="A2813" i="39"/>
  <c r="A2812" i="39"/>
  <c r="A2811" i="39"/>
  <c r="A2810" i="39"/>
  <c r="A2809" i="39"/>
  <c r="A2808" i="39"/>
  <c r="A2807" i="39"/>
  <c r="A2806" i="39"/>
  <c r="A2805" i="39"/>
  <c r="A2804" i="39"/>
  <c r="A2803" i="39"/>
  <c r="A2802" i="39"/>
  <c r="A2801" i="39"/>
  <c r="A2800" i="39"/>
  <c r="A2799" i="39"/>
  <c r="A2798" i="39"/>
  <c r="A2797" i="39"/>
  <c r="A2796" i="39"/>
  <c r="A2795" i="39"/>
  <c r="A2794" i="39"/>
  <c r="A2793" i="39"/>
  <c r="A2792" i="39"/>
  <c r="A2791" i="39"/>
  <c r="A2790" i="39"/>
  <c r="A2789" i="39"/>
  <c r="A2788" i="39"/>
  <c r="A2787" i="39"/>
  <c r="A2786" i="39"/>
  <c r="A2785" i="39"/>
  <c r="A2784" i="39"/>
  <c r="A2783" i="39"/>
  <c r="A2782" i="39"/>
  <c r="A2781" i="39"/>
  <c r="A2780" i="39"/>
  <c r="A2779" i="39"/>
  <c r="A2778" i="39"/>
  <c r="A2777" i="39"/>
  <c r="A2776" i="39"/>
  <c r="A2775" i="39"/>
  <c r="A2774" i="39"/>
  <c r="A2773" i="39"/>
  <c r="A2772" i="39"/>
  <c r="A2771" i="39"/>
  <c r="A2770" i="39"/>
  <c r="A2769" i="39"/>
  <c r="A2768" i="39"/>
  <c r="A2767" i="39"/>
  <c r="A2766" i="39"/>
  <c r="A2765" i="39"/>
  <c r="A2764" i="39"/>
  <c r="A2763" i="39"/>
  <c r="A2762" i="39"/>
  <c r="A2761" i="39"/>
  <c r="A2760" i="39"/>
  <c r="A2759" i="39"/>
  <c r="A2758" i="39"/>
  <c r="A2757" i="39"/>
  <c r="A2756" i="39"/>
  <c r="A2755" i="39"/>
  <c r="A2754" i="39"/>
  <c r="A2753" i="39"/>
  <c r="A2752" i="39"/>
  <c r="A2751" i="39"/>
  <c r="A2750" i="39"/>
  <c r="A2749" i="39"/>
  <c r="A2748" i="39"/>
  <c r="A2747" i="39"/>
  <c r="A2746" i="39"/>
  <c r="A2745" i="39"/>
  <c r="A2744" i="39"/>
  <c r="A2743" i="39"/>
  <c r="A2742" i="39"/>
  <c r="A2741" i="39"/>
  <c r="A2740" i="39"/>
  <c r="A2739" i="39"/>
  <c r="A2738" i="39"/>
  <c r="A2737" i="39"/>
  <c r="A2736" i="39"/>
  <c r="A2735" i="39"/>
  <c r="A2734" i="39"/>
  <c r="A2733" i="39"/>
  <c r="A2732" i="39"/>
  <c r="A2731" i="39"/>
  <c r="A2730" i="39"/>
  <c r="A2729" i="39"/>
  <c r="A2728" i="39"/>
  <c r="A2727" i="39"/>
  <c r="A2726" i="39"/>
  <c r="A2725" i="39"/>
  <c r="A2724" i="39"/>
  <c r="A2723" i="39"/>
  <c r="A2722" i="39"/>
  <c r="A2721" i="39"/>
  <c r="A2720" i="39"/>
  <c r="A2719" i="39"/>
  <c r="A2718" i="39"/>
  <c r="A2717" i="39"/>
  <c r="A2716" i="39"/>
  <c r="A2715" i="39"/>
  <c r="A2714" i="39"/>
  <c r="A2713" i="39"/>
  <c r="A2712" i="39"/>
  <c r="A2711" i="39"/>
  <c r="A2710" i="39"/>
  <c r="A2709" i="39"/>
  <c r="A2708" i="39"/>
  <c r="A2707" i="39"/>
  <c r="A2706" i="39"/>
  <c r="A2705" i="39"/>
  <c r="A2704" i="39"/>
  <c r="A2703" i="39"/>
  <c r="A2702" i="39"/>
  <c r="A2701" i="39"/>
  <c r="A2700" i="39"/>
  <c r="A2699" i="39"/>
  <c r="A2698" i="39"/>
  <c r="A2697" i="39"/>
  <c r="A2696" i="39"/>
  <c r="A2695" i="39"/>
  <c r="A2694" i="39"/>
  <c r="A2693" i="39"/>
  <c r="A2692" i="39"/>
  <c r="A2691" i="39"/>
  <c r="A2690" i="39"/>
  <c r="A2689" i="39"/>
  <c r="A2688" i="39"/>
  <c r="A2687" i="39"/>
  <c r="A2686" i="39"/>
  <c r="A2685" i="39"/>
  <c r="A2684" i="39"/>
  <c r="A2683" i="39"/>
  <c r="A2682" i="39"/>
  <c r="A2681" i="39"/>
  <c r="A2680" i="39"/>
  <c r="A2679" i="39"/>
  <c r="A2678" i="39"/>
  <c r="A2677" i="39"/>
  <c r="A2676" i="39"/>
  <c r="A2675" i="39"/>
  <c r="A2674" i="39"/>
  <c r="A2673" i="39"/>
  <c r="A2672" i="39"/>
  <c r="A2671" i="39"/>
  <c r="A2670" i="39"/>
  <c r="A2669" i="39"/>
  <c r="A2668" i="39"/>
  <c r="A2667" i="39"/>
  <c r="A2666" i="39"/>
  <c r="A2665" i="39"/>
  <c r="A2664" i="39"/>
  <c r="A2663" i="39"/>
  <c r="A2662" i="39"/>
  <c r="A2661" i="39"/>
  <c r="A2660" i="39"/>
  <c r="A2659" i="39"/>
  <c r="A2658" i="39"/>
  <c r="A2657" i="39"/>
  <c r="A2656" i="39"/>
  <c r="A2655" i="39"/>
  <c r="A2654" i="39"/>
  <c r="A2653" i="39"/>
  <c r="A2652" i="39"/>
  <c r="A2651" i="39"/>
  <c r="A2650" i="39"/>
  <c r="A2649" i="39"/>
  <c r="A2648" i="39"/>
  <c r="A2647" i="39"/>
  <c r="A2646" i="39"/>
  <c r="A2645" i="39"/>
  <c r="A2644" i="39"/>
  <c r="A2643" i="39"/>
  <c r="A2642" i="39"/>
  <c r="A2641" i="39"/>
  <c r="A2640" i="39"/>
  <c r="A2639" i="39"/>
  <c r="A2638" i="39"/>
  <c r="A2637" i="39"/>
  <c r="A2636" i="39"/>
  <c r="A2635" i="39"/>
  <c r="A2634" i="39"/>
  <c r="A2633" i="39"/>
  <c r="A2632" i="39"/>
  <c r="A2631" i="39"/>
  <c r="A2630" i="39"/>
  <c r="A2629" i="39"/>
  <c r="A2628" i="39"/>
  <c r="A2627" i="39"/>
  <c r="A2626" i="39"/>
  <c r="A2625" i="39"/>
  <c r="A2624" i="39"/>
  <c r="A2623" i="39"/>
  <c r="A2622" i="39"/>
  <c r="A2621" i="39"/>
  <c r="A2620" i="39"/>
  <c r="A2619" i="39"/>
  <c r="A2618" i="39"/>
  <c r="A2617" i="39"/>
  <c r="A2616" i="39"/>
  <c r="A2615" i="39"/>
  <c r="A2614" i="39"/>
  <c r="A2613" i="39"/>
  <c r="A2612" i="39"/>
  <c r="A2611" i="39"/>
  <c r="A2610" i="39"/>
  <c r="A2609" i="39"/>
  <c r="A2608" i="39"/>
  <c r="A2607" i="39"/>
  <c r="A2606" i="39"/>
  <c r="A2605" i="39"/>
  <c r="A2604" i="39"/>
  <c r="A2603" i="39"/>
  <c r="A2602" i="39"/>
  <c r="A2601" i="39"/>
  <c r="A2600" i="39"/>
  <c r="A2599" i="39"/>
  <c r="A2598" i="39"/>
  <c r="A2597" i="39"/>
  <c r="A2596" i="39"/>
  <c r="A2595" i="39"/>
  <c r="A2594" i="39"/>
  <c r="A2593" i="39"/>
  <c r="A2592" i="39"/>
  <c r="A2591" i="39"/>
  <c r="A2590" i="39"/>
  <c r="A2589" i="39"/>
  <c r="A2588" i="39"/>
  <c r="A2587" i="39"/>
  <c r="A2586" i="39"/>
  <c r="A2585" i="39"/>
  <c r="A2584" i="39"/>
  <c r="A2583" i="39"/>
  <c r="A2582" i="39"/>
  <c r="A2581" i="39"/>
  <c r="A2580" i="39"/>
  <c r="A2579" i="39"/>
  <c r="A2578" i="39"/>
  <c r="A2577" i="39"/>
  <c r="A2576" i="39"/>
  <c r="A2575" i="39"/>
  <c r="A2574" i="39"/>
  <c r="A2573" i="39"/>
  <c r="A2572" i="39"/>
  <c r="A2571" i="39"/>
  <c r="A2570" i="39"/>
  <c r="A2569" i="39"/>
  <c r="A2568" i="39"/>
  <c r="A2567" i="39"/>
  <c r="A2566" i="39"/>
  <c r="A2565" i="39"/>
  <c r="A2564" i="39"/>
  <c r="A2563" i="39"/>
  <c r="A2562" i="39"/>
  <c r="A2561" i="39"/>
  <c r="A2560" i="39"/>
  <c r="A2559" i="39"/>
  <c r="A2558" i="39"/>
  <c r="A2557" i="39"/>
  <c r="A2556" i="39"/>
  <c r="A2555" i="39"/>
  <c r="A2554" i="39"/>
  <c r="A2553" i="39"/>
  <c r="A2552" i="39"/>
  <c r="A2551" i="39"/>
  <c r="A2550" i="39"/>
  <c r="A2549" i="39"/>
  <c r="A2548" i="39"/>
  <c r="A2547" i="39"/>
  <c r="A2546" i="39"/>
  <c r="A2545" i="39"/>
  <c r="A2544" i="39"/>
  <c r="A2543" i="39"/>
  <c r="A2542" i="39"/>
  <c r="A2541" i="39"/>
  <c r="A2540" i="39"/>
  <c r="A2539" i="39"/>
  <c r="A2538" i="39"/>
  <c r="A2537" i="39"/>
  <c r="A2536" i="39"/>
  <c r="A2535" i="39"/>
  <c r="A2534" i="39"/>
  <c r="A2533" i="39"/>
  <c r="A2532" i="39"/>
  <c r="A2531" i="39"/>
  <c r="A2530" i="39"/>
  <c r="A2529" i="39"/>
  <c r="A2528" i="39"/>
  <c r="A2527" i="39"/>
  <c r="A2526" i="39"/>
  <c r="A2525" i="39"/>
  <c r="A2524" i="39"/>
  <c r="A2523" i="39"/>
  <c r="A2522" i="39"/>
  <c r="A2521" i="39"/>
  <c r="A2520" i="39"/>
  <c r="A2519" i="39"/>
  <c r="A2518" i="39"/>
  <c r="A2517" i="39"/>
  <c r="A2516" i="39"/>
  <c r="A2515" i="39"/>
  <c r="A2514" i="39"/>
  <c r="A2513" i="39"/>
  <c r="A2512" i="39"/>
  <c r="A2511" i="39"/>
  <c r="A2510" i="39"/>
  <c r="A2509" i="39"/>
  <c r="A2508" i="39"/>
  <c r="A2507" i="39"/>
  <c r="A2506" i="39"/>
  <c r="A2505" i="39"/>
  <c r="A2504" i="39"/>
  <c r="A2503" i="39"/>
  <c r="A2502" i="39"/>
  <c r="A2501" i="39"/>
  <c r="A2500" i="39"/>
  <c r="A2499" i="39"/>
  <c r="A2498" i="39"/>
  <c r="A2497" i="39"/>
  <c r="A2496" i="39"/>
  <c r="A2495" i="39"/>
  <c r="A2494" i="39"/>
  <c r="A2493" i="39"/>
  <c r="A2492" i="39"/>
  <c r="A2491" i="39"/>
  <c r="A2490" i="39"/>
  <c r="A2489" i="39"/>
  <c r="A2488" i="39"/>
  <c r="A2487" i="39"/>
  <c r="A2486" i="39"/>
  <c r="A2485" i="39"/>
  <c r="A2484" i="39"/>
  <c r="A2483" i="39"/>
  <c r="A2482" i="39"/>
  <c r="A2481" i="39"/>
  <c r="A2480" i="39"/>
  <c r="A2479" i="39"/>
  <c r="A2478" i="39"/>
  <c r="A2477" i="39"/>
  <c r="A2476" i="39"/>
  <c r="A2475" i="39"/>
  <c r="A2474" i="39"/>
  <c r="A2473" i="39"/>
  <c r="A2472" i="39"/>
  <c r="A2471" i="39"/>
  <c r="A2470" i="39"/>
  <c r="A2469" i="39"/>
  <c r="A2468" i="39"/>
  <c r="A2467" i="39"/>
  <c r="A2466" i="39"/>
  <c r="A2465" i="39"/>
  <c r="A2464" i="39"/>
  <c r="A2463" i="39"/>
  <c r="A2462" i="39"/>
  <c r="A2461" i="39"/>
  <c r="A2460" i="39"/>
  <c r="A2459" i="39"/>
  <c r="A2458" i="39"/>
  <c r="A2457" i="39"/>
  <c r="A2456" i="39"/>
  <c r="A2455" i="39"/>
  <c r="A2454" i="39"/>
  <c r="A2453" i="39"/>
  <c r="A2452" i="39"/>
  <c r="A2451" i="39"/>
  <c r="A2450" i="39"/>
  <c r="A2449" i="39"/>
  <c r="A2448" i="39"/>
  <c r="A2447" i="39"/>
  <c r="A2446" i="39"/>
  <c r="A2445" i="39"/>
  <c r="A2444" i="39"/>
  <c r="A2443" i="39"/>
  <c r="A2442" i="39"/>
  <c r="A2441" i="39"/>
  <c r="A2440" i="39"/>
  <c r="A2439" i="39"/>
  <c r="A2438" i="39"/>
  <c r="A2437" i="39"/>
  <c r="A2436" i="39"/>
  <c r="A2435" i="39"/>
  <c r="A2434" i="39"/>
  <c r="A2433" i="39"/>
  <c r="A2432" i="39"/>
  <c r="A2431" i="39"/>
  <c r="A2430" i="39"/>
  <c r="A2429" i="39"/>
  <c r="A2428" i="39"/>
  <c r="A2427" i="39"/>
  <c r="A2426" i="39"/>
  <c r="A2425" i="39"/>
  <c r="A2424" i="39"/>
  <c r="A2423" i="39"/>
  <c r="A2422" i="39"/>
  <c r="A2421" i="39"/>
  <c r="A2420" i="39"/>
  <c r="A2419" i="39"/>
  <c r="A2418" i="39"/>
  <c r="A2417" i="39"/>
  <c r="A2416" i="39"/>
  <c r="A2415" i="39"/>
  <c r="A2414" i="39"/>
  <c r="A2413" i="39"/>
  <c r="A2412" i="39"/>
  <c r="A2411" i="39"/>
  <c r="A2410" i="39"/>
  <c r="A2409" i="39"/>
  <c r="A2408" i="39"/>
  <c r="A2407" i="39"/>
  <c r="A2406" i="39"/>
  <c r="A2405" i="39"/>
  <c r="A2404" i="39"/>
  <c r="A2403" i="39"/>
  <c r="A2402" i="39"/>
  <c r="A2401" i="39"/>
  <c r="A2400" i="39"/>
  <c r="A2399" i="39"/>
  <c r="A2398" i="39"/>
  <c r="A2397" i="39"/>
  <c r="A2396" i="39"/>
  <c r="A2395" i="39"/>
  <c r="A2394" i="39"/>
  <c r="A2393" i="39"/>
  <c r="A2392" i="39"/>
  <c r="A2391" i="39"/>
  <c r="A2390" i="39"/>
  <c r="A2389" i="39"/>
  <c r="A2388" i="39"/>
  <c r="A2387" i="39"/>
  <c r="A2386" i="39"/>
  <c r="A2385" i="39"/>
  <c r="A2384" i="39"/>
  <c r="A2383" i="39"/>
  <c r="A2382" i="39"/>
  <c r="A2381" i="39"/>
  <c r="A2380" i="39"/>
  <c r="A2379" i="39"/>
  <c r="A2378" i="39"/>
  <c r="A2377" i="39"/>
  <c r="A2376" i="39"/>
  <c r="A2375" i="39"/>
  <c r="A2374" i="39"/>
  <c r="A2373" i="39"/>
  <c r="A2372" i="39"/>
  <c r="A2371" i="39"/>
  <c r="A2370" i="39"/>
  <c r="A2369" i="39"/>
  <c r="A2368" i="39"/>
  <c r="A2367" i="39"/>
  <c r="A2366" i="39"/>
  <c r="A2365" i="39"/>
  <c r="A2364" i="39"/>
  <c r="A2363" i="39"/>
  <c r="A2362" i="39"/>
  <c r="A2361" i="39"/>
  <c r="A2360" i="39"/>
  <c r="A2359" i="39"/>
  <c r="A2358" i="39"/>
  <c r="A2357" i="39"/>
  <c r="A2356" i="39"/>
  <c r="A2355" i="39"/>
  <c r="A2354" i="39"/>
  <c r="A2353" i="39"/>
  <c r="A2352" i="39"/>
  <c r="A2351" i="39"/>
  <c r="A2350" i="39"/>
  <c r="A2349" i="39"/>
  <c r="A2348" i="39"/>
  <c r="A2347" i="39"/>
  <c r="A2346" i="39"/>
  <c r="A2345" i="39"/>
  <c r="A2344" i="39"/>
  <c r="A2343" i="39"/>
  <c r="A2342" i="39"/>
  <c r="A2341" i="39"/>
  <c r="A2340" i="39"/>
  <c r="A2339" i="39"/>
  <c r="A2338" i="39"/>
  <c r="A2337" i="39"/>
  <c r="A2336" i="39"/>
  <c r="A2335" i="39"/>
  <c r="A2334" i="39"/>
  <c r="A2333" i="39"/>
  <c r="A2332" i="39"/>
  <c r="A2331" i="39"/>
  <c r="A2330" i="39"/>
  <c r="A2329" i="39"/>
  <c r="A2328" i="39"/>
  <c r="A2327" i="39"/>
  <c r="A2326" i="39"/>
  <c r="A2325" i="39"/>
  <c r="A2324" i="39"/>
  <c r="A2323" i="39"/>
  <c r="A2322" i="39"/>
  <c r="A2321" i="39"/>
  <c r="A2320" i="39"/>
  <c r="A2319" i="39"/>
  <c r="A2318" i="39"/>
  <c r="A2317" i="39"/>
  <c r="A2316" i="39"/>
  <c r="A2315" i="39"/>
  <c r="A2314" i="39"/>
  <c r="A2313" i="39"/>
  <c r="A2312" i="39"/>
  <c r="A2311" i="39"/>
  <c r="A2310" i="39"/>
  <c r="A2309" i="39"/>
  <c r="A2308" i="39"/>
  <c r="A2307" i="39"/>
  <c r="A2306" i="39"/>
  <c r="A2305" i="39"/>
  <c r="A2304" i="39"/>
  <c r="A2303" i="39"/>
  <c r="A2302" i="39"/>
  <c r="A2301" i="39"/>
  <c r="A2300" i="39"/>
  <c r="A2299" i="39"/>
  <c r="A2298" i="39"/>
  <c r="A2297" i="39"/>
  <c r="A2296" i="39"/>
  <c r="A2295" i="39"/>
  <c r="A2294" i="39"/>
  <c r="A2293" i="39"/>
  <c r="A2292" i="39"/>
  <c r="A2291" i="39"/>
  <c r="A2290" i="39"/>
  <c r="A2289" i="39"/>
  <c r="A2288" i="39"/>
  <c r="A2287" i="39"/>
  <c r="A2286" i="39"/>
  <c r="A2285" i="39"/>
  <c r="A2284" i="39"/>
  <c r="A2283" i="39"/>
  <c r="A2282" i="39"/>
  <c r="A2281" i="39"/>
  <c r="A2280" i="39"/>
  <c r="A2279" i="39"/>
  <c r="A2278" i="39"/>
  <c r="A2277" i="39"/>
  <c r="A2276" i="39"/>
  <c r="A2275" i="39"/>
  <c r="A2274" i="39"/>
  <c r="A2273" i="39"/>
  <c r="A2272" i="39"/>
  <c r="A2271" i="39"/>
  <c r="A2270" i="39"/>
  <c r="A2269" i="39"/>
  <c r="A2268" i="39"/>
  <c r="A2267" i="39"/>
  <c r="A2266" i="39"/>
  <c r="A2265" i="39"/>
  <c r="A2264" i="39"/>
  <c r="A2263" i="39"/>
  <c r="A2262" i="39"/>
  <c r="A2261" i="39"/>
  <c r="A2260" i="39"/>
  <c r="A2259" i="39"/>
  <c r="A2258" i="39"/>
  <c r="A2257" i="39"/>
  <c r="A2256" i="39"/>
  <c r="A2255" i="39"/>
  <c r="A2254" i="39"/>
  <c r="A2253" i="39"/>
  <c r="A2252" i="39"/>
  <c r="A2251" i="39"/>
  <c r="A2250" i="39"/>
  <c r="A2249" i="39"/>
  <c r="A2248" i="39"/>
  <c r="A2247" i="39"/>
  <c r="A2246" i="39"/>
  <c r="A2245" i="39"/>
  <c r="A2244" i="39"/>
  <c r="A2243" i="39"/>
  <c r="A2242" i="39"/>
  <c r="A2241" i="39"/>
  <c r="A2240" i="39"/>
  <c r="A2239" i="39"/>
  <c r="A2238" i="39"/>
  <c r="A2237" i="39"/>
  <c r="A2236" i="39"/>
  <c r="A2235" i="39"/>
  <c r="A2234" i="39"/>
  <c r="A2233" i="39"/>
  <c r="A2232" i="39"/>
  <c r="A2231" i="39"/>
  <c r="A2230" i="39"/>
  <c r="A2229" i="39"/>
  <c r="A2228" i="39"/>
  <c r="A2227" i="39"/>
  <c r="A2226" i="39"/>
  <c r="A2225" i="39"/>
  <c r="A2224" i="39"/>
  <c r="A2223" i="39"/>
  <c r="A2222" i="39"/>
  <c r="A2221" i="39"/>
  <c r="A2220" i="39"/>
  <c r="A2219" i="39"/>
  <c r="A2218" i="39"/>
  <c r="A2217" i="39"/>
  <c r="A2216" i="39"/>
  <c r="A2215" i="39"/>
  <c r="A2214" i="39"/>
  <c r="A2213" i="39"/>
  <c r="A2212" i="39"/>
  <c r="A2211" i="39"/>
  <c r="A2210" i="39"/>
  <c r="A2209" i="39"/>
  <c r="A2208" i="39"/>
  <c r="A2207" i="39"/>
  <c r="A2206" i="39"/>
  <c r="A2205" i="39"/>
  <c r="A2204" i="39"/>
  <c r="A2203" i="39"/>
  <c r="A2202" i="39"/>
  <c r="A2201" i="39"/>
  <c r="A2200" i="39"/>
  <c r="A2199" i="39"/>
  <c r="A2198" i="39"/>
  <c r="A2197" i="39"/>
  <c r="A2196" i="39"/>
  <c r="A2195" i="39"/>
  <c r="A2194" i="39"/>
  <c r="A2193" i="39"/>
  <c r="A2192" i="39"/>
  <c r="A2191" i="39"/>
  <c r="A2190" i="39"/>
  <c r="A2189" i="39"/>
  <c r="A2188" i="39"/>
  <c r="A2187" i="39"/>
  <c r="A2186" i="39"/>
  <c r="A2185" i="39"/>
  <c r="A2184" i="39"/>
  <c r="A2183" i="39"/>
  <c r="A2182" i="39"/>
  <c r="A2181" i="39"/>
  <c r="A2180" i="39"/>
  <c r="A2179" i="39"/>
  <c r="A2178" i="39"/>
  <c r="A2177" i="39"/>
  <c r="A2176" i="39"/>
  <c r="A2175" i="39"/>
  <c r="A2174" i="39"/>
  <c r="A2173" i="39"/>
  <c r="A2172" i="39"/>
  <c r="A2171" i="39"/>
  <c r="A2170" i="39"/>
  <c r="A2169" i="39"/>
  <c r="A2168" i="39"/>
  <c r="A2167" i="39"/>
  <c r="A2166" i="39"/>
  <c r="A2165" i="39"/>
  <c r="A2164" i="39"/>
  <c r="A2163" i="39"/>
  <c r="A2162" i="39"/>
  <c r="A2161" i="39"/>
  <c r="A2160" i="39"/>
  <c r="A2159" i="39"/>
  <c r="A2158" i="39"/>
  <c r="A2157" i="39"/>
  <c r="A2156" i="39"/>
  <c r="A2155" i="39"/>
  <c r="A2154" i="39"/>
  <c r="A2153" i="39"/>
  <c r="A2152" i="39"/>
  <c r="A2151" i="39"/>
  <c r="A2150" i="39"/>
  <c r="A2149" i="39"/>
  <c r="A2148" i="39"/>
  <c r="A2147" i="39"/>
  <c r="A2146" i="39"/>
  <c r="A2145" i="39"/>
  <c r="A2144" i="39"/>
  <c r="A2143" i="39"/>
  <c r="A2142" i="39"/>
  <c r="A2141" i="39"/>
  <c r="A2140" i="39"/>
  <c r="A2139" i="39"/>
  <c r="A2138" i="39"/>
  <c r="A2137" i="39"/>
  <c r="A2136" i="39"/>
  <c r="A2135" i="39"/>
  <c r="A2134" i="39"/>
  <c r="A2133" i="39"/>
  <c r="A2132" i="39"/>
  <c r="A2131" i="39"/>
  <c r="A2130" i="39"/>
  <c r="A2129" i="39"/>
  <c r="A2128" i="39"/>
  <c r="A2127" i="39"/>
  <c r="A2126" i="39"/>
  <c r="A2125" i="39"/>
  <c r="A2124" i="39"/>
  <c r="A2123" i="39"/>
  <c r="A2122" i="39"/>
  <c r="A2121" i="39"/>
  <c r="A2120" i="39"/>
  <c r="A2119" i="39"/>
  <c r="A2118" i="39"/>
  <c r="A2117" i="39"/>
  <c r="A2116" i="39"/>
  <c r="A2115" i="39"/>
  <c r="A2114" i="39"/>
  <c r="A2113" i="39"/>
  <c r="A2112" i="39"/>
  <c r="A2111" i="39"/>
  <c r="A2110" i="39"/>
  <c r="A2109" i="39"/>
  <c r="A2108" i="39"/>
  <c r="A2107" i="39"/>
  <c r="A2106" i="39"/>
  <c r="A2105" i="39"/>
  <c r="A2104" i="39"/>
  <c r="A2103" i="39"/>
  <c r="A2102" i="39"/>
  <c r="A2101" i="39"/>
  <c r="A2100" i="39"/>
  <c r="A2099" i="39"/>
  <c r="A2098" i="39"/>
  <c r="A2097" i="39"/>
  <c r="A2096" i="39"/>
  <c r="A2095" i="39"/>
  <c r="A2094" i="39"/>
  <c r="A2093" i="39"/>
  <c r="A2092" i="39"/>
  <c r="A2091" i="39"/>
  <c r="A2090" i="39"/>
  <c r="A2089" i="39"/>
  <c r="A2088" i="39"/>
  <c r="A2087" i="39"/>
  <c r="A2086" i="39"/>
  <c r="A2085" i="39"/>
  <c r="A2084" i="39"/>
  <c r="A2083" i="39"/>
  <c r="A2082" i="39"/>
  <c r="A2081" i="39"/>
  <c r="A2080" i="39"/>
  <c r="A2079" i="39"/>
  <c r="A2078" i="39"/>
  <c r="A2077" i="39"/>
  <c r="A2076" i="39"/>
  <c r="A2075" i="39"/>
  <c r="A2074" i="39"/>
  <c r="A2073" i="39"/>
  <c r="A2072" i="39"/>
  <c r="A2071" i="39"/>
  <c r="A2070" i="39"/>
  <c r="A2069" i="39"/>
  <c r="A2068" i="39"/>
  <c r="A2067" i="39"/>
  <c r="A2066" i="39"/>
  <c r="A2065" i="39"/>
  <c r="A2064" i="39"/>
  <c r="A2063" i="39"/>
  <c r="A2062" i="39"/>
  <c r="A2061" i="39"/>
  <c r="A2060" i="39"/>
  <c r="A2059" i="39"/>
  <c r="A2058" i="39"/>
  <c r="A2057" i="39"/>
  <c r="A2056" i="39"/>
  <c r="A2055" i="39"/>
  <c r="A2054" i="39"/>
  <c r="A2053" i="39"/>
  <c r="A2052" i="39"/>
  <c r="A2051" i="39"/>
  <c r="A2050" i="39"/>
  <c r="A2049" i="39"/>
  <c r="A2048" i="39"/>
  <c r="A2047" i="39"/>
  <c r="A2046" i="39"/>
  <c r="A2045" i="39"/>
  <c r="A2044" i="39"/>
  <c r="A2043" i="39"/>
  <c r="A2042" i="39"/>
  <c r="A2041" i="39"/>
  <c r="A2040" i="39"/>
  <c r="A2039" i="39"/>
  <c r="A2038" i="39"/>
  <c r="A2037" i="39"/>
  <c r="A2036" i="39"/>
  <c r="A2035" i="39"/>
  <c r="A2034" i="39"/>
  <c r="A2033" i="39"/>
  <c r="A2032" i="39"/>
  <c r="A2031" i="39"/>
  <c r="A2030" i="39"/>
  <c r="A2029" i="39"/>
  <c r="A2028" i="39"/>
  <c r="A2027" i="39"/>
  <c r="A2026" i="39"/>
  <c r="A2025" i="39"/>
  <c r="A2024" i="39"/>
  <c r="A2023" i="39"/>
  <c r="A2022" i="39"/>
  <c r="A2021" i="39"/>
  <c r="A2020" i="39"/>
  <c r="A2019" i="39"/>
  <c r="A2018" i="39"/>
  <c r="A2017" i="39"/>
  <c r="A2016" i="39"/>
  <c r="A2015" i="39"/>
  <c r="A2014" i="39"/>
  <c r="A2013" i="39"/>
  <c r="A2012" i="39"/>
  <c r="A2011" i="39"/>
  <c r="A2010" i="39"/>
  <c r="A2009" i="39"/>
  <c r="A2008" i="39"/>
  <c r="A2007" i="39"/>
  <c r="A2006" i="39"/>
  <c r="A2005" i="39"/>
  <c r="A2004" i="39"/>
  <c r="A2003" i="39"/>
  <c r="A2002" i="39"/>
  <c r="A2001" i="39"/>
  <c r="A2000" i="39"/>
  <c r="A1999" i="39"/>
  <c r="A1998" i="39"/>
  <c r="A1997" i="39"/>
  <c r="A1996" i="39"/>
  <c r="A1995" i="39"/>
  <c r="A1994" i="39"/>
  <c r="A1993" i="39"/>
  <c r="A1992" i="39"/>
  <c r="A1991" i="39"/>
  <c r="A1990" i="39"/>
  <c r="A1989" i="39"/>
  <c r="A1988" i="39"/>
  <c r="A1987" i="39"/>
  <c r="A1986" i="39"/>
  <c r="A1985" i="39"/>
  <c r="A1984" i="39"/>
  <c r="A1983" i="39"/>
  <c r="A1982" i="39"/>
  <c r="A1981" i="39"/>
  <c r="A1980" i="39"/>
  <c r="A1979" i="39"/>
  <c r="A1978" i="39"/>
  <c r="A1977" i="39"/>
  <c r="A1976" i="39"/>
  <c r="A1975" i="39"/>
  <c r="A1974" i="39"/>
  <c r="A1973" i="39"/>
  <c r="A1972" i="39"/>
  <c r="A1971" i="39"/>
  <c r="A1970" i="39"/>
  <c r="A1969" i="39"/>
  <c r="A1968" i="39"/>
  <c r="A1967" i="39"/>
  <c r="A1966" i="39"/>
  <c r="A1965" i="39"/>
  <c r="A1964" i="39"/>
  <c r="A1963" i="39"/>
  <c r="A1962" i="39"/>
  <c r="A1961" i="39"/>
  <c r="A1960" i="39"/>
  <c r="A1959" i="39"/>
  <c r="A1958" i="39"/>
  <c r="A1957" i="39"/>
  <c r="A1956" i="39"/>
  <c r="A1955" i="39"/>
  <c r="A1954" i="39"/>
  <c r="A1953" i="39"/>
  <c r="A1952" i="39"/>
  <c r="A1951" i="39"/>
  <c r="A1950" i="39"/>
  <c r="A1949" i="39"/>
  <c r="A1948" i="39"/>
  <c r="A1947" i="39"/>
  <c r="A1946" i="39"/>
  <c r="A1945" i="39"/>
  <c r="A1944" i="39"/>
  <c r="A1943" i="39"/>
  <c r="A1942" i="39"/>
  <c r="A1941" i="39"/>
  <c r="A1940" i="39"/>
  <c r="A1939" i="39"/>
  <c r="A1938" i="39"/>
  <c r="A1937" i="39"/>
  <c r="A1936" i="39"/>
  <c r="A1935" i="39"/>
  <c r="A1934" i="39"/>
  <c r="A1933" i="39"/>
  <c r="A1932" i="39"/>
  <c r="A1931" i="39"/>
  <c r="A1930" i="39"/>
  <c r="A1929" i="39"/>
  <c r="A1928" i="39"/>
  <c r="A1927" i="39"/>
  <c r="A1926" i="39"/>
  <c r="A1925" i="39"/>
  <c r="A1924" i="39"/>
  <c r="A1923" i="39"/>
  <c r="A1922" i="39"/>
  <c r="A1921" i="39"/>
  <c r="A1920" i="39"/>
  <c r="A1919" i="39"/>
  <c r="A1918" i="39"/>
  <c r="A1917" i="39"/>
  <c r="A1916" i="39"/>
  <c r="A1915" i="39"/>
  <c r="A1914" i="39"/>
  <c r="A1913" i="39"/>
  <c r="A1912" i="39"/>
  <c r="A1911" i="39"/>
  <c r="A1910" i="39"/>
  <c r="A1909" i="39"/>
  <c r="A1908" i="39"/>
  <c r="A1907" i="39"/>
  <c r="A1906" i="39"/>
  <c r="A1905" i="39"/>
  <c r="A1904" i="39"/>
  <c r="A1903" i="39"/>
  <c r="A1902" i="39"/>
  <c r="A1901" i="39"/>
  <c r="A1900" i="39"/>
  <c r="A1899" i="39"/>
  <c r="A1898" i="39"/>
  <c r="A1897" i="39"/>
  <c r="A1896" i="39"/>
  <c r="A1895" i="39"/>
  <c r="A1894" i="39"/>
  <c r="A1893" i="39"/>
  <c r="A1892" i="39"/>
  <c r="A1891" i="39"/>
  <c r="A1890" i="39"/>
  <c r="A1889" i="39"/>
  <c r="A1888" i="39"/>
  <c r="A1887" i="39"/>
  <c r="A1886" i="39"/>
  <c r="A1885" i="39"/>
  <c r="A1884" i="39"/>
  <c r="A1883" i="39"/>
  <c r="A1882" i="39"/>
  <c r="A1881" i="39"/>
  <c r="A1880" i="39"/>
  <c r="A1879" i="39"/>
  <c r="A1878" i="39"/>
  <c r="A1877" i="39"/>
  <c r="A1876" i="39"/>
  <c r="A1875" i="39"/>
  <c r="A1874" i="39"/>
  <c r="A1873" i="39"/>
  <c r="A1872" i="39"/>
  <c r="A1871" i="39"/>
  <c r="A1870" i="39"/>
  <c r="A1869" i="39"/>
  <c r="A1868" i="39"/>
  <c r="A1867" i="39"/>
  <c r="A1866" i="39"/>
  <c r="A1865" i="39"/>
  <c r="A1864" i="39"/>
  <c r="A1863" i="39"/>
  <c r="A1862" i="39"/>
  <c r="A1861" i="39"/>
  <c r="A1860" i="39"/>
  <c r="A1859" i="39"/>
  <c r="A1858" i="39"/>
  <c r="A1857" i="39"/>
  <c r="A1856" i="39"/>
  <c r="A1855" i="39"/>
  <c r="A1854" i="39"/>
  <c r="A1853" i="39"/>
  <c r="A1852" i="39"/>
  <c r="A1851" i="39"/>
  <c r="A1850" i="39"/>
  <c r="A1849" i="39"/>
  <c r="A1848" i="39"/>
  <c r="A1847" i="39"/>
  <c r="A1846" i="39"/>
  <c r="A1845" i="39"/>
  <c r="A1844" i="39"/>
  <c r="A1843" i="39"/>
  <c r="A1842" i="39"/>
  <c r="A1841" i="39"/>
  <c r="A1840" i="39"/>
  <c r="A1839" i="39"/>
  <c r="A1838" i="39"/>
  <c r="A1837" i="39"/>
  <c r="A1836" i="39"/>
  <c r="A1835" i="39"/>
  <c r="A1834" i="39"/>
  <c r="A1833" i="39"/>
  <c r="A1832" i="39"/>
  <c r="A1831" i="39"/>
  <c r="A1830" i="39"/>
  <c r="A1829" i="39"/>
  <c r="A1828" i="39"/>
  <c r="A1827" i="39"/>
  <c r="A1826" i="39"/>
  <c r="A1825" i="39"/>
  <c r="A1824" i="39"/>
  <c r="A1823" i="39"/>
  <c r="A1822" i="39"/>
  <c r="A1821" i="39"/>
  <c r="A1820" i="39"/>
  <c r="A1819" i="39"/>
  <c r="A1818" i="39"/>
  <c r="A1817" i="39"/>
  <c r="A1816" i="39"/>
  <c r="A1815" i="39"/>
  <c r="A1814" i="39"/>
  <c r="A1813" i="39"/>
  <c r="A1812" i="39"/>
  <c r="A1811" i="39"/>
  <c r="A1810" i="39"/>
  <c r="A1809" i="39"/>
  <c r="A1808" i="39"/>
  <c r="A1807" i="39"/>
  <c r="A1806" i="39"/>
  <c r="A1805" i="39"/>
  <c r="A1804" i="39"/>
  <c r="A1803" i="39"/>
  <c r="A1802" i="39"/>
  <c r="A1801" i="39"/>
  <c r="A1800" i="39"/>
  <c r="A1799" i="39"/>
  <c r="A1798" i="39"/>
  <c r="A1797" i="39"/>
  <c r="A1796" i="39"/>
  <c r="A1795" i="39"/>
  <c r="A1794" i="39"/>
  <c r="A1793" i="39"/>
  <c r="A1792" i="39"/>
  <c r="A1791" i="39"/>
  <c r="A1790" i="39"/>
  <c r="A1789" i="39"/>
  <c r="A1788" i="39"/>
  <c r="A1787" i="39"/>
  <c r="A1786" i="39"/>
  <c r="A1785" i="39"/>
  <c r="A1784" i="39"/>
  <c r="A1783" i="39"/>
  <c r="A1782" i="39"/>
  <c r="A1781" i="39"/>
  <c r="A1780" i="39"/>
  <c r="A1779" i="39"/>
  <c r="A1778" i="39"/>
  <c r="A1777" i="39"/>
  <c r="A1776" i="39"/>
  <c r="A1775" i="39"/>
  <c r="A1774" i="39"/>
  <c r="A1773" i="39"/>
  <c r="A1772" i="39"/>
  <c r="A1771" i="39"/>
  <c r="A1770" i="39"/>
  <c r="A1769" i="39"/>
  <c r="A1768" i="39"/>
  <c r="A1767" i="39"/>
  <c r="A1766" i="39"/>
  <c r="A1765" i="39"/>
  <c r="A1764" i="39"/>
  <c r="A1763" i="39"/>
  <c r="A1762" i="39"/>
  <c r="A1761" i="39"/>
  <c r="A1760" i="39"/>
  <c r="A1759" i="39"/>
  <c r="A1758" i="39"/>
  <c r="A1757" i="39"/>
  <c r="A1756" i="39"/>
  <c r="A1755" i="39"/>
  <c r="A1754" i="39"/>
  <c r="A1753" i="39"/>
  <c r="A1752" i="39"/>
  <c r="A1751" i="39"/>
  <c r="A1750" i="39"/>
  <c r="A1749" i="39"/>
  <c r="A1748" i="39"/>
  <c r="A1747" i="39"/>
  <c r="A1746" i="39"/>
  <c r="A1745" i="39"/>
  <c r="A1744" i="39"/>
  <c r="A1743" i="39"/>
  <c r="A1742" i="39"/>
  <c r="A1741" i="39"/>
  <c r="A1740" i="39"/>
  <c r="A1739" i="39"/>
  <c r="A1738" i="39"/>
  <c r="A1737" i="39"/>
  <c r="A1736" i="39"/>
  <c r="A1735" i="39"/>
  <c r="A1734" i="39"/>
  <c r="A1733" i="39"/>
  <c r="A1732" i="39"/>
  <c r="A1731" i="39"/>
  <c r="A1730" i="39"/>
  <c r="A1729" i="39"/>
  <c r="A1728" i="39"/>
  <c r="A1727" i="39"/>
  <c r="A1726" i="39"/>
  <c r="A1725" i="39"/>
  <c r="A1724" i="39"/>
  <c r="A1723" i="39"/>
  <c r="A1722" i="39"/>
  <c r="A1721" i="39"/>
  <c r="A1720" i="39"/>
  <c r="A1719" i="39"/>
  <c r="A1718" i="39"/>
  <c r="A1717" i="39"/>
  <c r="A1716" i="39"/>
  <c r="A1715" i="39"/>
  <c r="A1714" i="39"/>
  <c r="A1713" i="39"/>
  <c r="A1712" i="39"/>
  <c r="A1711" i="39"/>
  <c r="A1710" i="39"/>
  <c r="A1709" i="39"/>
  <c r="A1708" i="39"/>
  <c r="A1707" i="39"/>
  <c r="A1706" i="39"/>
  <c r="A1705" i="39"/>
  <c r="A1704" i="39"/>
  <c r="A1703" i="39"/>
  <c r="A1702" i="39"/>
  <c r="A1701" i="39"/>
  <c r="A1700" i="39"/>
  <c r="A1699" i="39"/>
  <c r="A1698" i="39"/>
  <c r="A1697" i="39"/>
  <c r="A1696" i="39"/>
  <c r="A1695" i="39"/>
  <c r="A1694" i="39"/>
  <c r="A1693" i="39"/>
  <c r="A1692" i="39"/>
  <c r="A1691" i="39"/>
  <c r="A1690" i="39"/>
  <c r="A1689" i="39"/>
  <c r="A1688" i="39"/>
  <c r="A1687" i="39"/>
  <c r="A1686" i="39"/>
  <c r="A1685" i="39"/>
  <c r="A1684" i="39"/>
  <c r="A1683" i="39"/>
  <c r="A1682" i="39"/>
  <c r="A1681" i="39"/>
  <c r="A1680" i="39"/>
  <c r="A1679" i="39"/>
  <c r="A1678" i="39"/>
  <c r="A1677" i="39"/>
  <c r="A1676" i="39"/>
  <c r="A1675" i="39"/>
  <c r="A1674" i="39"/>
  <c r="A1673" i="39"/>
  <c r="A1672" i="39"/>
  <c r="A1671" i="39"/>
  <c r="A1670" i="39"/>
  <c r="A1669" i="39"/>
  <c r="A1668" i="39"/>
  <c r="A1667" i="39"/>
  <c r="A1666" i="39"/>
  <c r="A1665" i="39"/>
  <c r="A1664" i="39"/>
  <c r="A1663" i="39"/>
  <c r="A1662" i="39"/>
  <c r="A1661" i="39"/>
  <c r="A1660" i="39"/>
  <c r="A1659" i="39"/>
  <c r="A1658" i="39"/>
  <c r="A1657" i="39"/>
  <c r="A1656" i="39"/>
  <c r="A1655" i="39"/>
  <c r="A1654" i="39"/>
  <c r="A1653" i="39"/>
  <c r="A1652" i="39"/>
  <c r="A1651" i="39"/>
  <c r="A1650" i="39"/>
  <c r="A1649" i="39"/>
  <c r="A1648" i="39"/>
  <c r="A1647" i="39"/>
  <c r="A1646" i="39"/>
  <c r="A1645" i="39"/>
  <c r="A1644" i="39"/>
  <c r="A1643" i="39"/>
  <c r="A1642" i="39"/>
  <c r="A1641" i="39"/>
  <c r="A1640" i="39"/>
  <c r="A1639" i="39"/>
  <c r="A1638" i="39"/>
  <c r="A1637" i="39"/>
  <c r="A1636" i="39"/>
  <c r="A1635" i="39"/>
  <c r="A1634" i="39"/>
  <c r="A1633" i="39"/>
  <c r="A1632" i="39"/>
  <c r="A1631" i="39"/>
  <c r="A1630" i="39"/>
  <c r="A1629" i="39"/>
  <c r="A1628" i="39"/>
  <c r="A1627" i="39"/>
  <c r="A1626" i="39"/>
  <c r="A1625" i="39"/>
  <c r="A1624" i="39"/>
  <c r="A1623" i="39"/>
  <c r="A1622" i="39"/>
  <c r="A1621" i="39"/>
  <c r="A1620" i="39"/>
  <c r="A1619" i="39"/>
  <c r="A1618" i="39"/>
  <c r="A1617" i="39"/>
  <c r="A1616" i="39"/>
  <c r="A1615" i="39"/>
  <c r="A1614" i="39"/>
  <c r="A1613" i="39"/>
  <c r="A1612" i="39"/>
  <c r="A1611" i="39"/>
  <c r="A1610" i="39"/>
  <c r="A1609" i="39"/>
  <c r="A1608" i="39"/>
  <c r="A1607" i="39"/>
  <c r="A1606" i="39"/>
  <c r="A1605" i="39"/>
  <c r="A1604" i="39"/>
  <c r="A1603" i="39"/>
  <c r="A1602" i="39"/>
  <c r="A1601" i="39"/>
  <c r="A1600" i="39"/>
  <c r="A1599" i="39"/>
  <c r="A1598" i="39"/>
  <c r="A1597" i="39"/>
  <c r="A1596" i="39"/>
  <c r="A1595" i="39"/>
  <c r="A1594" i="39"/>
  <c r="A1593" i="39"/>
  <c r="A1592" i="39"/>
  <c r="A1591" i="39"/>
  <c r="A1590" i="39"/>
  <c r="A1589" i="39"/>
  <c r="A1588" i="39"/>
  <c r="A1587" i="39"/>
  <c r="A1586" i="39"/>
  <c r="A1585" i="39"/>
  <c r="A1584" i="39"/>
  <c r="A1583" i="39"/>
  <c r="A1582" i="39"/>
  <c r="A1581" i="39"/>
  <c r="A1580" i="39"/>
  <c r="A1579" i="39"/>
  <c r="A1578" i="39"/>
  <c r="A1577" i="39"/>
  <c r="A1576" i="39"/>
  <c r="A1575" i="39"/>
  <c r="A1574" i="39"/>
  <c r="A1573" i="39"/>
  <c r="A1572" i="39"/>
  <c r="A1571" i="39"/>
  <c r="A1570" i="39"/>
  <c r="A1569" i="39"/>
  <c r="A1568" i="39"/>
  <c r="A1567" i="39"/>
  <c r="A1566" i="39"/>
  <c r="A1565" i="39"/>
  <c r="A1564" i="39"/>
  <c r="A1563" i="39"/>
  <c r="A1562" i="39"/>
  <c r="A1561" i="39"/>
  <c r="A1560" i="39"/>
  <c r="A1559" i="39"/>
  <c r="A1558" i="39"/>
  <c r="A1557" i="39"/>
  <c r="A1556" i="39"/>
  <c r="A1555" i="39"/>
  <c r="A1554" i="39"/>
  <c r="A1553" i="39"/>
  <c r="A1552" i="39"/>
  <c r="A1551" i="39"/>
  <c r="A1550" i="39"/>
  <c r="A1549" i="39"/>
  <c r="A1548" i="39"/>
  <c r="A1547" i="39"/>
  <c r="A1546" i="39"/>
  <c r="A1545" i="39"/>
  <c r="A1544" i="39"/>
  <c r="A1543" i="39"/>
  <c r="A1542" i="39"/>
  <c r="A1541" i="39"/>
  <c r="A1540" i="39"/>
  <c r="A1539" i="39"/>
  <c r="A1538" i="39"/>
  <c r="A1537" i="39"/>
  <c r="A1536" i="39"/>
  <c r="A1535" i="39"/>
  <c r="A1534" i="39"/>
  <c r="A1533" i="39"/>
  <c r="A1532" i="39"/>
  <c r="A1531" i="39"/>
  <c r="A1530" i="39"/>
  <c r="A1529" i="39"/>
  <c r="A1528" i="39"/>
  <c r="A1527" i="39"/>
  <c r="A1526" i="39"/>
  <c r="A1525" i="39"/>
  <c r="A1524" i="39"/>
  <c r="A1523" i="39"/>
  <c r="A1522" i="39"/>
  <c r="A1521" i="39"/>
  <c r="A1520" i="39"/>
  <c r="A1519" i="39"/>
  <c r="A1518" i="39"/>
  <c r="A1517" i="39"/>
  <c r="A1516" i="39"/>
  <c r="A1515" i="39"/>
  <c r="A1514" i="39"/>
  <c r="A1513" i="39"/>
  <c r="A1512" i="39"/>
  <c r="A1511" i="39"/>
  <c r="A1510" i="39"/>
  <c r="A1509" i="39"/>
  <c r="A1508" i="39"/>
  <c r="A1507" i="39"/>
  <c r="A1506" i="39"/>
  <c r="A1505" i="39"/>
  <c r="A1504" i="39"/>
  <c r="A1503" i="39"/>
  <c r="A1502" i="39"/>
  <c r="A1501" i="39"/>
  <c r="A1500" i="39"/>
  <c r="A1499" i="39"/>
  <c r="A1498" i="39"/>
  <c r="A1497" i="39"/>
  <c r="A1496" i="39"/>
  <c r="A1495" i="39"/>
  <c r="A1494" i="39"/>
  <c r="A1493" i="39"/>
  <c r="A1492" i="39"/>
  <c r="A1491" i="39"/>
  <c r="A1490" i="39"/>
  <c r="A1489" i="39"/>
  <c r="A1488" i="39"/>
  <c r="A1487" i="39"/>
  <c r="A1486" i="39"/>
  <c r="A1485" i="39"/>
  <c r="A1484" i="39"/>
  <c r="A1483" i="39"/>
  <c r="A1482" i="39"/>
  <c r="A1481" i="39"/>
  <c r="A1480" i="39"/>
  <c r="A1479" i="39"/>
  <c r="A1478" i="39"/>
  <c r="A1477" i="39"/>
  <c r="A1476" i="39"/>
  <c r="A1475" i="39"/>
  <c r="A1474" i="39"/>
  <c r="A1473" i="39"/>
  <c r="A1472" i="39"/>
  <c r="A1471" i="39"/>
  <c r="A1470" i="39"/>
  <c r="A1469" i="39"/>
  <c r="A1468" i="39"/>
  <c r="A1467" i="39"/>
  <c r="A1466" i="39"/>
  <c r="A1465" i="39"/>
  <c r="A1464" i="39"/>
  <c r="A1463" i="39"/>
  <c r="A1462" i="39"/>
  <c r="A1461" i="39"/>
  <c r="A1460" i="39"/>
  <c r="A1459" i="39"/>
  <c r="A1458" i="39"/>
  <c r="A1457" i="39"/>
  <c r="A1456" i="39"/>
  <c r="A1455" i="39"/>
  <c r="A1454" i="39"/>
  <c r="A1453" i="39"/>
  <c r="A1452" i="39"/>
  <c r="A1451" i="39"/>
  <c r="A1450" i="39"/>
  <c r="A1449" i="39"/>
  <c r="A1448" i="39"/>
  <c r="A1447" i="39"/>
  <c r="A1446" i="39"/>
  <c r="A1445" i="39"/>
  <c r="A1444" i="39"/>
  <c r="A1443" i="39"/>
  <c r="A1442" i="39"/>
  <c r="A1441" i="39"/>
  <c r="A1440" i="39"/>
  <c r="A1439" i="39"/>
  <c r="A1438" i="39"/>
  <c r="A1437" i="39"/>
  <c r="A1436" i="39"/>
  <c r="A1435" i="39"/>
  <c r="A1434" i="39"/>
  <c r="A1433" i="39"/>
  <c r="A1432" i="39"/>
  <c r="A1431" i="39"/>
  <c r="A1430" i="39"/>
  <c r="A1429" i="39"/>
  <c r="A1428" i="39"/>
  <c r="A1427" i="39"/>
  <c r="A1426" i="39"/>
  <c r="A1425" i="39"/>
  <c r="A1424" i="39"/>
  <c r="A1423" i="39"/>
  <c r="A1422" i="39"/>
  <c r="A1421" i="39"/>
  <c r="A1420" i="39"/>
  <c r="A1419" i="39"/>
  <c r="A1418" i="39"/>
  <c r="A1417" i="39"/>
  <c r="A1416" i="39"/>
  <c r="A1415" i="39"/>
  <c r="A1414" i="39"/>
  <c r="A1413" i="39"/>
  <c r="A1412" i="39"/>
  <c r="A1411" i="39"/>
  <c r="A1410" i="39"/>
  <c r="A1409" i="39"/>
  <c r="A1408" i="39"/>
  <c r="A1407" i="39"/>
  <c r="A1406" i="39"/>
  <c r="A1405" i="39"/>
  <c r="A1404" i="39"/>
  <c r="A1403" i="39"/>
  <c r="A1402" i="39"/>
  <c r="A1401" i="39"/>
  <c r="A1400" i="39"/>
  <c r="A1399" i="39"/>
  <c r="A1398" i="39"/>
  <c r="A1397" i="39"/>
  <c r="A1396" i="39"/>
  <c r="A1395" i="39"/>
  <c r="A1394" i="39"/>
  <c r="A1393" i="39"/>
  <c r="A1392" i="39"/>
  <c r="A1391" i="39"/>
  <c r="A1390" i="39"/>
  <c r="A1389" i="39"/>
  <c r="A1388" i="39"/>
  <c r="A1387" i="39"/>
  <c r="A1386" i="39"/>
  <c r="A1385" i="39"/>
  <c r="A1384" i="39"/>
  <c r="A1383" i="39"/>
  <c r="A1382" i="39"/>
  <c r="A1381" i="39"/>
  <c r="A1380" i="39"/>
  <c r="A1379" i="39"/>
  <c r="A1378" i="39"/>
  <c r="A1377" i="39"/>
  <c r="A1376" i="39"/>
  <c r="A1375" i="39"/>
  <c r="A1374" i="39"/>
  <c r="A1373" i="39"/>
  <c r="A1372" i="39"/>
  <c r="A1371" i="39"/>
  <c r="A1370" i="39"/>
  <c r="A1369" i="39"/>
  <c r="A1368" i="39"/>
  <c r="A1367" i="39"/>
  <c r="A1366" i="39"/>
  <c r="A1365" i="39"/>
  <c r="A1364" i="39"/>
  <c r="A1363" i="39"/>
  <c r="A1362" i="39"/>
  <c r="A1361" i="39"/>
  <c r="A1360" i="39"/>
  <c r="A1359" i="39"/>
  <c r="A1358" i="39"/>
  <c r="A1357" i="39"/>
  <c r="A1356" i="39"/>
  <c r="A1355" i="39"/>
  <c r="A1354" i="39"/>
  <c r="A1353" i="39"/>
  <c r="A1352" i="39"/>
  <c r="A1351" i="39"/>
  <c r="A1350" i="39"/>
  <c r="A1349" i="39"/>
  <c r="A1348" i="39"/>
  <c r="A1347" i="39"/>
  <c r="A1346" i="39"/>
  <c r="A1345" i="39"/>
  <c r="A1344" i="39"/>
  <c r="A1343" i="39"/>
  <c r="A1342" i="39"/>
  <c r="A1341" i="39"/>
  <c r="A1340" i="39"/>
  <c r="A1339" i="39"/>
  <c r="A1338" i="39"/>
  <c r="A1337" i="39"/>
  <c r="A1336" i="39"/>
  <c r="A1335" i="39"/>
  <c r="A1334" i="39"/>
  <c r="A1333" i="39"/>
  <c r="A1332" i="39"/>
  <c r="A1331" i="39"/>
  <c r="A1330" i="39"/>
  <c r="A1329" i="39"/>
  <c r="A1328" i="39"/>
  <c r="A1327" i="39"/>
  <c r="A1326" i="39"/>
  <c r="A1325" i="39"/>
  <c r="A1324" i="39"/>
  <c r="A1323" i="39"/>
  <c r="A1322" i="39"/>
  <c r="A1321" i="39"/>
  <c r="A1320" i="39"/>
  <c r="A1319" i="39"/>
  <c r="A1318" i="39"/>
  <c r="A1317" i="39"/>
  <c r="A1316" i="39"/>
  <c r="A1315" i="39"/>
  <c r="A1314" i="39"/>
  <c r="A1313" i="39"/>
  <c r="A1312" i="39"/>
  <c r="A1311" i="39"/>
  <c r="A1310" i="39"/>
  <c r="A1309" i="39"/>
  <c r="A1308" i="39"/>
  <c r="A1307" i="39"/>
  <c r="A1306" i="39"/>
  <c r="A1305" i="39"/>
  <c r="A1304" i="39"/>
  <c r="A1303" i="39"/>
  <c r="A1302" i="39"/>
  <c r="A1301" i="39"/>
  <c r="A1300" i="39"/>
  <c r="A1299" i="39"/>
  <c r="A1298" i="39"/>
  <c r="A1297" i="39"/>
  <c r="A1296" i="39"/>
  <c r="A1295" i="39"/>
  <c r="A1294" i="39"/>
  <c r="A1293" i="39"/>
  <c r="A1292" i="39"/>
  <c r="A1291" i="39"/>
  <c r="A1290" i="39"/>
  <c r="A1289" i="39"/>
  <c r="A1288" i="39"/>
  <c r="A1287" i="39"/>
  <c r="A1286" i="39"/>
  <c r="A1285" i="39"/>
  <c r="A1284" i="39"/>
  <c r="A1283" i="39"/>
  <c r="A1282" i="39"/>
  <c r="A1281" i="39"/>
  <c r="A1280" i="39"/>
  <c r="A1279" i="39"/>
  <c r="A1278" i="39"/>
  <c r="A1277" i="39"/>
  <c r="A1276" i="39"/>
  <c r="A1275" i="39"/>
  <c r="A1274" i="39"/>
  <c r="A1273" i="39"/>
  <c r="A1272" i="39"/>
  <c r="A1271" i="39"/>
  <c r="A1270" i="39"/>
  <c r="A1269" i="39"/>
  <c r="A1268" i="39"/>
  <c r="A1267" i="39"/>
  <c r="A1266" i="39"/>
  <c r="A1265" i="39"/>
  <c r="A1264" i="39"/>
  <c r="A1263" i="39"/>
  <c r="A1262" i="39"/>
  <c r="A1261" i="39"/>
  <c r="A1260" i="39"/>
  <c r="A1259" i="39"/>
  <c r="A1258" i="39"/>
  <c r="A1257" i="39"/>
  <c r="A1256" i="39"/>
  <c r="A1255" i="39"/>
  <c r="A1254" i="39"/>
  <c r="A1253" i="39"/>
  <c r="A1252" i="39"/>
  <c r="A1251" i="39"/>
  <c r="A1250" i="39"/>
  <c r="A1249" i="39"/>
  <c r="A1248" i="39"/>
  <c r="A1247" i="39"/>
  <c r="A1246" i="39"/>
  <c r="A1245" i="39"/>
  <c r="A1244" i="39"/>
  <c r="A1243" i="39"/>
  <c r="A1242" i="39"/>
  <c r="A1241" i="39"/>
  <c r="A1240" i="39"/>
  <c r="A1239" i="39"/>
  <c r="A1238" i="39"/>
  <c r="A1237" i="39"/>
  <c r="A1236" i="39"/>
  <c r="A1235" i="39"/>
  <c r="A1234" i="39"/>
  <c r="A1233" i="39"/>
  <c r="A1232" i="39"/>
  <c r="A1231" i="39"/>
  <c r="A1230" i="39"/>
  <c r="A1229" i="39"/>
  <c r="A1228" i="39"/>
  <c r="A1227" i="39"/>
  <c r="A1226" i="39"/>
  <c r="A1225" i="39"/>
  <c r="A1224" i="39"/>
  <c r="A1223" i="39"/>
  <c r="A1222" i="39"/>
  <c r="A1221" i="39"/>
  <c r="A1220" i="39"/>
  <c r="A1219" i="39"/>
  <c r="A1218" i="39"/>
  <c r="A1217" i="39"/>
  <c r="A1216" i="39"/>
  <c r="A1215" i="39"/>
  <c r="A1214" i="39"/>
  <c r="A1213" i="39"/>
  <c r="A1212" i="39"/>
  <c r="A1211" i="39"/>
  <c r="A1210" i="39"/>
  <c r="A1209" i="39"/>
  <c r="A1208" i="39"/>
  <c r="A1207" i="39"/>
  <c r="A1206" i="39"/>
  <c r="A1205" i="39"/>
  <c r="A1204" i="39"/>
  <c r="A1203" i="39"/>
  <c r="A1202" i="39"/>
  <c r="A1201" i="39"/>
  <c r="A1200" i="39"/>
  <c r="A1199" i="39"/>
  <c r="A1198" i="39"/>
  <c r="A1197" i="39"/>
  <c r="A1196" i="39"/>
  <c r="A1195" i="39"/>
  <c r="A1194" i="39"/>
  <c r="A1193" i="39"/>
  <c r="A1192" i="39"/>
  <c r="A1191" i="39"/>
  <c r="A1190" i="39"/>
  <c r="A1189" i="39"/>
  <c r="A1188" i="39"/>
  <c r="A1187" i="39"/>
  <c r="A1186" i="39"/>
  <c r="A1185" i="39"/>
  <c r="A1184" i="39"/>
  <c r="A1183" i="39"/>
  <c r="A1182" i="39"/>
  <c r="A1181" i="39"/>
  <c r="A1180" i="39"/>
  <c r="A1179" i="39"/>
  <c r="A1178" i="39"/>
  <c r="A1177" i="39"/>
  <c r="A1176" i="39"/>
  <c r="A1175" i="39"/>
  <c r="A1174" i="39"/>
  <c r="A1173" i="39"/>
  <c r="A1172" i="39"/>
  <c r="A1171" i="39"/>
  <c r="A1170" i="39"/>
  <c r="A1169" i="39"/>
  <c r="A1168" i="39"/>
  <c r="A1167" i="39"/>
  <c r="A1166" i="39"/>
  <c r="A1165" i="39"/>
  <c r="A1164" i="39"/>
  <c r="A1163" i="39"/>
  <c r="A1162" i="39"/>
  <c r="A1161" i="39"/>
  <c r="A1160" i="39"/>
  <c r="A1159" i="39"/>
  <c r="A1158" i="39"/>
  <c r="A1157" i="39"/>
  <c r="A1156" i="39"/>
  <c r="A1155" i="39"/>
  <c r="A1154" i="39"/>
  <c r="A1153" i="39"/>
  <c r="A1152" i="39"/>
  <c r="A1151" i="39"/>
  <c r="A1150" i="39"/>
  <c r="A1149" i="39"/>
  <c r="A1148" i="39"/>
  <c r="A1147" i="39"/>
  <c r="A1146" i="39"/>
  <c r="A1145" i="39"/>
  <c r="A1144" i="39"/>
  <c r="A1143" i="39"/>
  <c r="A1142" i="39"/>
  <c r="A1141" i="39"/>
  <c r="A1140" i="39"/>
  <c r="A1139" i="39"/>
  <c r="A1138" i="39"/>
  <c r="A1137" i="39"/>
  <c r="A1136" i="39"/>
  <c r="A1135" i="39"/>
  <c r="A1134" i="39"/>
  <c r="A1133" i="39"/>
  <c r="A1132" i="39"/>
  <c r="A1131" i="39"/>
  <c r="A1130" i="39"/>
  <c r="A1129" i="39"/>
  <c r="A1128" i="39"/>
  <c r="A1127" i="39"/>
  <c r="A1126" i="39"/>
  <c r="A1125" i="39"/>
  <c r="A1124" i="39"/>
  <c r="A1123" i="39"/>
  <c r="A1122" i="39"/>
  <c r="A1121" i="39"/>
  <c r="A1120" i="39"/>
  <c r="A1119" i="39"/>
  <c r="A1118" i="39"/>
  <c r="A1117" i="39"/>
  <c r="A1116" i="39"/>
  <c r="A1115" i="39"/>
  <c r="A1114" i="39"/>
  <c r="A1113" i="39"/>
  <c r="A1112" i="39"/>
  <c r="A1111" i="39"/>
  <c r="A1110" i="39"/>
  <c r="A1109" i="39"/>
  <c r="A1108" i="39"/>
  <c r="A1107" i="39"/>
  <c r="A1106" i="39"/>
  <c r="A1105" i="39"/>
  <c r="A1104" i="39"/>
  <c r="A1103" i="39"/>
  <c r="A1102" i="39"/>
  <c r="A1101" i="39"/>
  <c r="A1100" i="39"/>
  <c r="A1099" i="39"/>
  <c r="A1098" i="39"/>
  <c r="A1097" i="39"/>
  <c r="A1096" i="39"/>
  <c r="A1095" i="39"/>
  <c r="A1094" i="39"/>
  <c r="A1093" i="39"/>
  <c r="A1092" i="39"/>
  <c r="A1091" i="39"/>
  <c r="A1090" i="39"/>
  <c r="A1089" i="39"/>
  <c r="A1088" i="39"/>
  <c r="A1087" i="39"/>
  <c r="A1086" i="39"/>
  <c r="A1085" i="39"/>
  <c r="A1084" i="39"/>
  <c r="A1083" i="39"/>
  <c r="A1082" i="39"/>
  <c r="A1081" i="39"/>
  <c r="A1080" i="39"/>
  <c r="A1079" i="39"/>
  <c r="A1078" i="39"/>
  <c r="A1077" i="39"/>
  <c r="A1076" i="39"/>
  <c r="A1075" i="39"/>
  <c r="A1074" i="39"/>
  <c r="A1073" i="39"/>
  <c r="A1072" i="39"/>
  <c r="A1071" i="39"/>
  <c r="A1070" i="39"/>
  <c r="A1069" i="39"/>
  <c r="A1068" i="39"/>
  <c r="A1067" i="39"/>
  <c r="A1066" i="39"/>
  <c r="A1065" i="39"/>
  <c r="A1064" i="39"/>
  <c r="A1063" i="39"/>
  <c r="A1062" i="39"/>
  <c r="A1061" i="39"/>
  <c r="A1060" i="39"/>
  <c r="A1059" i="39"/>
  <c r="A1058" i="39"/>
  <c r="A1057" i="39"/>
  <c r="A1056" i="39"/>
  <c r="A1055" i="39"/>
  <c r="A1054" i="39"/>
  <c r="A1053" i="39"/>
  <c r="A1052" i="39"/>
  <c r="A1051" i="39"/>
  <c r="A1050" i="39"/>
  <c r="A1049" i="39"/>
  <c r="A1048" i="39"/>
  <c r="A1047" i="39"/>
  <c r="A1046" i="39"/>
  <c r="A1045" i="39"/>
  <c r="A1044" i="39"/>
  <c r="A1043" i="39"/>
  <c r="A1042" i="39"/>
  <c r="A1041" i="39"/>
  <c r="A1040" i="39"/>
  <c r="A1039" i="39"/>
  <c r="A1038" i="39"/>
  <c r="A1037" i="39"/>
  <c r="A1036" i="39"/>
  <c r="A1035" i="39"/>
  <c r="A1034" i="39"/>
  <c r="A1033" i="39"/>
  <c r="A1032" i="39"/>
  <c r="A1031" i="39"/>
  <c r="A1030" i="39"/>
  <c r="A1029" i="39"/>
  <c r="A1028" i="39"/>
  <c r="A1027" i="39"/>
  <c r="A1026" i="39"/>
  <c r="A1025" i="39"/>
  <c r="A1024" i="39"/>
  <c r="A1023" i="39"/>
  <c r="A1022" i="39"/>
  <c r="A1021" i="39"/>
  <c r="A1020" i="39"/>
  <c r="A1019" i="39"/>
  <c r="A1018" i="39"/>
  <c r="A1017" i="39"/>
  <c r="A1016" i="39"/>
  <c r="A1015" i="39"/>
  <c r="A1014" i="39"/>
  <c r="A1013" i="39"/>
  <c r="A1012" i="39"/>
  <c r="A1011" i="39"/>
  <c r="A1010" i="39"/>
  <c r="A1009" i="39"/>
  <c r="A1008" i="39"/>
  <c r="A1007" i="39"/>
  <c r="A1006" i="39"/>
  <c r="A1005" i="39"/>
  <c r="A1004" i="39"/>
  <c r="A1003" i="39"/>
  <c r="A1002" i="39"/>
  <c r="A1001" i="39"/>
  <c r="A1000" i="39"/>
  <c r="A999" i="39"/>
  <c r="A998" i="39"/>
  <c r="A997" i="39"/>
  <c r="A996" i="39"/>
  <c r="A995" i="39"/>
  <c r="A994" i="39"/>
  <c r="A993" i="39"/>
  <c r="A992" i="39"/>
  <c r="A991" i="39"/>
  <c r="A990" i="39"/>
  <c r="A989" i="39"/>
  <c r="A988" i="39"/>
  <c r="A987" i="39"/>
  <c r="A986" i="39"/>
  <c r="A985" i="39"/>
  <c r="A984" i="39"/>
  <c r="A983" i="39"/>
  <c r="A982" i="39"/>
  <c r="A981" i="39"/>
  <c r="A980" i="39"/>
  <c r="A979" i="39"/>
  <c r="A978" i="39"/>
  <c r="A977" i="39"/>
  <c r="A976" i="39"/>
  <c r="A975" i="39"/>
  <c r="A974" i="39"/>
  <c r="A973" i="39"/>
  <c r="A972" i="39"/>
  <c r="A971" i="39"/>
  <c r="A970" i="39"/>
  <c r="A969" i="39"/>
  <c r="A968" i="39"/>
  <c r="A967" i="39"/>
  <c r="A966" i="39"/>
  <c r="A965" i="39"/>
  <c r="A964" i="39"/>
  <c r="A963" i="39"/>
  <c r="A962" i="39"/>
  <c r="A961" i="39"/>
  <c r="A960" i="39"/>
  <c r="A959" i="39"/>
  <c r="A958" i="39"/>
  <c r="A957" i="39"/>
  <c r="A956" i="39"/>
  <c r="A955" i="39"/>
  <c r="A954" i="39"/>
  <c r="A953" i="39"/>
  <c r="A952" i="39"/>
  <c r="A951" i="39"/>
  <c r="A950" i="39"/>
  <c r="A949" i="39"/>
  <c r="A948" i="39"/>
  <c r="A947" i="39"/>
  <c r="A946" i="39"/>
  <c r="A945" i="39"/>
  <c r="A944" i="39"/>
  <c r="A943" i="39"/>
  <c r="A942" i="39"/>
  <c r="A941" i="39"/>
  <c r="A940" i="39"/>
  <c r="A939" i="39"/>
  <c r="A938" i="39"/>
  <c r="A937" i="39"/>
  <c r="A936" i="39"/>
  <c r="A935" i="39"/>
  <c r="A934" i="39"/>
  <c r="A933" i="39"/>
  <c r="A932" i="39"/>
  <c r="A931" i="39"/>
  <c r="A930" i="39"/>
  <c r="A929" i="39"/>
  <c r="A928" i="39"/>
  <c r="A927" i="39"/>
  <c r="A926" i="39"/>
  <c r="A925" i="39"/>
  <c r="A924" i="39"/>
  <c r="A923" i="39"/>
  <c r="A922" i="39"/>
  <c r="A921" i="39"/>
  <c r="A920" i="39"/>
  <c r="A919" i="39"/>
  <c r="A918" i="39"/>
  <c r="A917" i="39"/>
  <c r="A916" i="39"/>
  <c r="A915" i="39"/>
  <c r="A914" i="39"/>
  <c r="A913" i="39"/>
  <c r="A912" i="39"/>
  <c r="A911" i="39"/>
  <c r="A910" i="39"/>
  <c r="A909" i="39"/>
  <c r="A908" i="39"/>
  <c r="A907" i="39"/>
  <c r="A906" i="39"/>
  <c r="A905" i="39"/>
  <c r="A904" i="39"/>
  <c r="A903" i="39"/>
  <c r="A902" i="39"/>
  <c r="A901" i="39"/>
  <c r="A900" i="39"/>
  <c r="A899" i="39"/>
  <c r="A898" i="39"/>
  <c r="A897" i="39"/>
  <c r="A896" i="39"/>
  <c r="A895" i="39"/>
  <c r="A894" i="39"/>
  <c r="A893" i="39"/>
  <c r="A892" i="39"/>
  <c r="A891" i="39"/>
  <c r="A890" i="39"/>
  <c r="A889" i="39"/>
  <c r="A888" i="39"/>
  <c r="A887" i="39"/>
  <c r="A886" i="39"/>
  <c r="A885" i="39"/>
  <c r="A884" i="39"/>
  <c r="A883" i="39"/>
  <c r="A882" i="39"/>
  <c r="A881" i="39"/>
  <c r="A880" i="39"/>
  <c r="A879" i="39"/>
  <c r="A878" i="39"/>
  <c r="A877" i="39"/>
  <c r="A876" i="39"/>
  <c r="A875" i="39"/>
  <c r="A874" i="39"/>
  <c r="A873" i="39"/>
  <c r="A872" i="39"/>
  <c r="A871" i="39"/>
  <c r="A870" i="39"/>
  <c r="A869" i="39"/>
  <c r="A868" i="39"/>
  <c r="A867" i="39"/>
  <c r="A866" i="39"/>
  <c r="A865" i="39"/>
  <c r="A864" i="39"/>
  <c r="A863" i="39"/>
  <c r="A862" i="39"/>
  <c r="A861" i="39"/>
  <c r="A860" i="39"/>
  <c r="A859" i="39"/>
  <c r="A858" i="39"/>
  <c r="A857" i="39"/>
  <c r="A856" i="39"/>
  <c r="A855" i="39"/>
  <c r="A854" i="39"/>
  <c r="A853" i="39"/>
  <c r="A852" i="39"/>
  <c r="A851" i="39"/>
  <c r="A850" i="39"/>
  <c r="A849" i="39"/>
  <c r="A848" i="39"/>
  <c r="A847" i="39"/>
  <c r="A846" i="39"/>
  <c r="A845" i="39"/>
  <c r="A844" i="39"/>
  <c r="A843" i="39"/>
  <c r="A842" i="39"/>
  <c r="A841" i="39"/>
  <c r="A840" i="39"/>
  <c r="A839" i="39"/>
  <c r="A838" i="39"/>
  <c r="A837" i="39"/>
  <c r="A836" i="39"/>
  <c r="A835" i="39"/>
  <c r="A834" i="39"/>
  <c r="A833" i="39"/>
  <c r="A832" i="39"/>
  <c r="A831" i="39"/>
  <c r="A830" i="39"/>
  <c r="A829" i="39"/>
  <c r="A828" i="39"/>
  <c r="A827" i="39"/>
  <c r="A826" i="39"/>
  <c r="A825" i="39"/>
  <c r="A824" i="39"/>
  <c r="A823" i="39"/>
  <c r="A822" i="39"/>
  <c r="A821" i="39"/>
  <c r="A820" i="39"/>
  <c r="A819" i="39"/>
  <c r="A818" i="39"/>
  <c r="A817" i="39"/>
  <c r="A816" i="39"/>
  <c r="A815" i="39"/>
  <c r="A814" i="39"/>
  <c r="A813" i="39"/>
  <c r="A812" i="39"/>
  <c r="A811" i="39"/>
  <c r="A810" i="39"/>
  <c r="A809" i="39"/>
  <c r="A808" i="39"/>
  <c r="A807" i="39"/>
  <c r="A806" i="39"/>
  <c r="A805" i="39"/>
  <c r="A804" i="39"/>
  <c r="A803" i="39"/>
  <c r="A802" i="39"/>
  <c r="A801" i="39"/>
  <c r="A800" i="39"/>
  <c r="A799" i="39"/>
  <c r="A798" i="39"/>
  <c r="A797" i="39"/>
  <c r="A796" i="39"/>
  <c r="A795" i="39"/>
  <c r="A794" i="39"/>
  <c r="A793" i="39"/>
  <c r="A792" i="39"/>
  <c r="A791" i="39"/>
  <c r="A790" i="39"/>
  <c r="A789" i="39"/>
  <c r="A788" i="39"/>
  <c r="A787" i="39"/>
  <c r="A786" i="39"/>
  <c r="A785" i="39"/>
  <c r="A784" i="39"/>
  <c r="A783" i="39"/>
  <c r="A782" i="39"/>
  <c r="A781" i="39"/>
  <c r="A780" i="39"/>
  <c r="A779" i="39"/>
  <c r="A778" i="39"/>
  <c r="A777" i="39"/>
  <c r="A776" i="39"/>
  <c r="A775" i="39"/>
  <c r="A774" i="39"/>
  <c r="A773" i="39"/>
  <c r="A772" i="39"/>
  <c r="A771" i="39"/>
  <c r="A770" i="39"/>
  <c r="A769" i="39"/>
  <c r="A768" i="39"/>
  <c r="A767" i="39"/>
  <c r="A766" i="39"/>
  <c r="A765" i="39"/>
  <c r="A764" i="39"/>
  <c r="A763" i="39"/>
  <c r="A762" i="39"/>
  <c r="A761" i="39"/>
  <c r="A760" i="39"/>
  <c r="A759" i="39"/>
  <c r="A758" i="39"/>
  <c r="A757" i="39"/>
  <c r="A756" i="39"/>
  <c r="A755" i="39"/>
  <c r="A754" i="39"/>
  <c r="A753" i="39"/>
  <c r="A752" i="39"/>
  <c r="A751" i="39"/>
  <c r="A750" i="39"/>
  <c r="A749" i="39"/>
  <c r="A748" i="39"/>
  <c r="A747" i="39"/>
  <c r="A746" i="39"/>
  <c r="A745" i="39"/>
  <c r="A744" i="39"/>
  <c r="A743" i="39"/>
  <c r="A742" i="39"/>
  <c r="A741" i="39"/>
  <c r="A740" i="39"/>
  <c r="A739" i="39"/>
  <c r="A738" i="39"/>
  <c r="A737" i="39"/>
  <c r="A736" i="39"/>
  <c r="A735" i="39"/>
  <c r="A734" i="39"/>
  <c r="A733" i="39"/>
  <c r="A732" i="39"/>
  <c r="A731" i="39"/>
  <c r="A730" i="39"/>
  <c r="A729" i="39"/>
  <c r="A728" i="39"/>
  <c r="A727" i="39"/>
  <c r="A726" i="39"/>
  <c r="A725" i="39"/>
  <c r="A724" i="39"/>
  <c r="A723" i="39"/>
  <c r="A722" i="39"/>
  <c r="A721" i="39"/>
  <c r="A720" i="39"/>
  <c r="A719" i="39"/>
  <c r="A718" i="39"/>
  <c r="A717" i="39"/>
  <c r="A716" i="39"/>
  <c r="A715" i="39"/>
  <c r="A714" i="39"/>
  <c r="A713" i="39"/>
  <c r="A712" i="39"/>
  <c r="A711" i="39"/>
  <c r="A710" i="39"/>
  <c r="A709" i="39"/>
  <c r="A708" i="39"/>
  <c r="A707" i="39"/>
  <c r="A706" i="39"/>
  <c r="A705" i="39"/>
  <c r="A704" i="39"/>
  <c r="A703" i="39"/>
  <c r="A702" i="39"/>
  <c r="A701" i="39"/>
  <c r="A700" i="39"/>
  <c r="A699" i="39"/>
  <c r="A698" i="39"/>
  <c r="A697" i="39"/>
  <c r="A696" i="39"/>
  <c r="A695" i="39"/>
  <c r="A694" i="39"/>
  <c r="A693" i="39"/>
  <c r="A692" i="39"/>
  <c r="A691" i="39"/>
  <c r="A690" i="39"/>
  <c r="A689" i="39"/>
  <c r="A688" i="39"/>
  <c r="A687" i="39"/>
  <c r="A686" i="39"/>
  <c r="A685" i="39"/>
  <c r="A684" i="39"/>
  <c r="A683" i="39"/>
  <c r="A682" i="39"/>
  <c r="A681" i="39"/>
  <c r="A680" i="39"/>
  <c r="A679" i="39"/>
  <c r="A678" i="39"/>
  <c r="A677" i="39"/>
  <c r="A676" i="39"/>
  <c r="A675" i="39"/>
  <c r="A674" i="39"/>
  <c r="A673" i="39"/>
  <c r="A672" i="39"/>
  <c r="A671" i="39"/>
  <c r="A670" i="39"/>
  <c r="A669" i="39"/>
  <c r="A668" i="39"/>
  <c r="A667" i="39"/>
  <c r="A666" i="39"/>
  <c r="A665" i="39"/>
  <c r="A664" i="39"/>
  <c r="A663" i="39"/>
  <c r="A662" i="39"/>
  <c r="A661" i="39"/>
  <c r="A660" i="39"/>
  <c r="A659" i="39"/>
  <c r="A658" i="39"/>
  <c r="A657" i="39"/>
  <c r="A656" i="39"/>
  <c r="A655" i="39"/>
  <c r="A654" i="39"/>
  <c r="A653" i="39"/>
  <c r="A652" i="39"/>
  <c r="A651" i="39"/>
  <c r="A650" i="39"/>
  <c r="A649" i="39"/>
  <c r="A648" i="39"/>
  <c r="A647" i="39"/>
  <c r="A646" i="39"/>
  <c r="A645" i="39"/>
  <c r="A644" i="39"/>
  <c r="A643" i="39"/>
  <c r="A642" i="39"/>
  <c r="A641" i="39"/>
  <c r="A640" i="39"/>
  <c r="A639" i="39"/>
  <c r="A638" i="39"/>
  <c r="A637" i="39"/>
  <c r="A636" i="39"/>
  <c r="A635" i="39"/>
  <c r="A634" i="39"/>
  <c r="A633" i="39"/>
  <c r="A632" i="39"/>
  <c r="A631" i="39"/>
  <c r="A630" i="39"/>
  <c r="A629" i="39"/>
  <c r="A628" i="39"/>
  <c r="A627" i="39"/>
  <c r="A626" i="39"/>
  <c r="A625" i="39"/>
  <c r="A624" i="39"/>
  <c r="A623" i="39"/>
  <c r="A622" i="39"/>
  <c r="A621" i="39"/>
  <c r="A620" i="39"/>
  <c r="A619" i="39"/>
  <c r="A618" i="39"/>
  <c r="A617" i="39"/>
  <c r="A616" i="39"/>
  <c r="A615" i="39"/>
  <c r="A614" i="39"/>
  <c r="A613" i="39"/>
  <c r="A612" i="39"/>
  <c r="A611" i="39"/>
  <c r="A610" i="39"/>
  <c r="A609" i="39"/>
  <c r="A608" i="39"/>
  <c r="A607" i="39"/>
  <c r="A606" i="39"/>
  <c r="A605" i="39"/>
  <c r="A604" i="39"/>
  <c r="A603" i="39"/>
  <c r="A602" i="39"/>
  <c r="A601" i="39"/>
  <c r="A600" i="39"/>
  <c r="A599" i="39"/>
  <c r="A598" i="39"/>
  <c r="A597" i="39"/>
  <c r="A596" i="39"/>
  <c r="A595" i="39"/>
  <c r="A594" i="39"/>
  <c r="A593" i="39"/>
  <c r="A592" i="39"/>
  <c r="A591" i="39"/>
  <c r="A590" i="39"/>
  <c r="A589" i="39"/>
  <c r="A588" i="39"/>
  <c r="A587" i="39"/>
  <c r="A586" i="39"/>
  <c r="A585" i="39"/>
  <c r="A584" i="39"/>
  <c r="A583" i="39"/>
  <c r="A582" i="39"/>
  <c r="A581" i="39"/>
  <c r="A580" i="39"/>
  <c r="A579" i="39"/>
  <c r="A578" i="39"/>
  <c r="A577" i="39"/>
  <c r="A576" i="39"/>
  <c r="A575" i="39"/>
  <c r="A574" i="39"/>
  <c r="A573" i="39"/>
  <c r="A572" i="39"/>
  <c r="A571" i="39"/>
  <c r="A570" i="39"/>
  <c r="A569" i="39"/>
  <c r="A568" i="39"/>
  <c r="A567" i="39"/>
  <c r="A566" i="39"/>
  <c r="A565" i="39"/>
  <c r="A564" i="39"/>
  <c r="A563" i="39"/>
  <c r="A562" i="39"/>
  <c r="A561" i="39"/>
  <c r="A560" i="39"/>
  <c r="A559" i="39"/>
  <c r="A558" i="39"/>
  <c r="A557" i="39"/>
  <c r="A556" i="39"/>
  <c r="A555" i="39"/>
  <c r="A554" i="39"/>
  <c r="A553" i="39"/>
  <c r="A552" i="39"/>
  <c r="A551" i="39"/>
  <c r="A550" i="39"/>
  <c r="A549" i="39"/>
  <c r="A548" i="39"/>
  <c r="A547" i="39"/>
  <c r="A546" i="39"/>
  <c r="A545" i="39"/>
  <c r="A544" i="39"/>
  <c r="A543" i="39"/>
  <c r="A542" i="39"/>
  <c r="A541" i="39"/>
  <c r="A540" i="39"/>
  <c r="A539" i="39"/>
  <c r="A538" i="39"/>
  <c r="A537" i="39"/>
  <c r="A536" i="39"/>
  <c r="A535" i="39"/>
  <c r="A534" i="39"/>
  <c r="A533" i="39"/>
  <c r="A532" i="39"/>
  <c r="A531" i="39"/>
  <c r="A530" i="39"/>
  <c r="A529" i="39"/>
  <c r="A528" i="39"/>
  <c r="A527" i="39"/>
  <c r="A526" i="39"/>
  <c r="A525" i="39"/>
  <c r="A524" i="39"/>
  <c r="A523" i="39"/>
  <c r="A522" i="39"/>
  <c r="A521" i="39"/>
  <c r="A520" i="39"/>
  <c r="A519" i="39"/>
  <c r="A518" i="39"/>
  <c r="A517" i="39"/>
  <c r="A516" i="39"/>
  <c r="A515" i="39"/>
  <c r="A514" i="39"/>
  <c r="A513" i="39"/>
  <c r="A512" i="39"/>
  <c r="A511" i="39"/>
  <c r="A510" i="39"/>
  <c r="A509" i="39"/>
  <c r="A508" i="39"/>
  <c r="A507" i="39"/>
  <c r="A506" i="39"/>
  <c r="A505" i="39"/>
  <c r="A504" i="39"/>
  <c r="A503" i="39"/>
  <c r="A502" i="39"/>
  <c r="A501" i="39"/>
  <c r="A500" i="39"/>
  <c r="A499" i="39"/>
  <c r="A498" i="39"/>
  <c r="A497" i="39"/>
  <c r="A496" i="39"/>
  <c r="A495" i="39"/>
  <c r="A494" i="39"/>
  <c r="A493" i="39"/>
  <c r="A492" i="39"/>
  <c r="A491" i="39"/>
  <c r="A490" i="39"/>
  <c r="A489" i="39"/>
  <c r="A488" i="39"/>
  <c r="A487" i="39"/>
  <c r="A486" i="39"/>
  <c r="A485" i="39"/>
  <c r="A484" i="39"/>
  <c r="A483" i="39"/>
  <c r="A482" i="39"/>
  <c r="A481" i="39"/>
  <c r="A480" i="39"/>
  <c r="A479" i="39"/>
  <c r="A478" i="39"/>
  <c r="A477" i="39"/>
  <c r="A476" i="39"/>
  <c r="A475" i="39"/>
  <c r="A474" i="39"/>
  <c r="A473" i="39"/>
  <c r="A472" i="39"/>
  <c r="A471" i="39"/>
  <c r="A470" i="39"/>
  <c r="A469" i="39"/>
  <c r="A468" i="39"/>
  <c r="A467" i="39"/>
  <c r="A466" i="39"/>
  <c r="A465" i="39"/>
  <c r="A464" i="39"/>
  <c r="A463" i="39"/>
  <c r="A462" i="39"/>
  <c r="A461" i="39"/>
  <c r="A460" i="39"/>
  <c r="A459" i="39"/>
  <c r="A458" i="39"/>
  <c r="A457" i="39"/>
  <c r="A456" i="39"/>
  <c r="A455" i="39"/>
  <c r="A454" i="39"/>
  <c r="A453" i="39"/>
  <c r="A452" i="39"/>
  <c r="A451" i="39"/>
  <c r="A450" i="39"/>
  <c r="A449" i="39"/>
  <c r="A448" i="39"/>
  <c r="A447" i="39"/>
  <c r="A446" i="39"/>
  <c r="A445" i="39"/>
  <c r="A444" i="39"/>
  <c r="A443" i="39"/>
  <c r="A442" i="39"/>
  <c r="A441" i="39"/>
  <c r="A440" i="39"/>
  <c r="A439" i="39"/>
  <c r="A438" i="39"/>
  <c r="A437" i="39"/>
  <c r="A436" i="39"/>
  <c r="A435" i="39"/>
  <c r="A434" i="39"/>
  <c r="A433" i="39"/>
  <c r="A432" i="39"/>
  <c r="A431" i="39"/>
  <c r="A430" i="39"/>
  <c r="A429" i="39"/>
  <c r="A428" i="39"/>
  <c r="A427" i="39"/>
  <c r="A426" i="39"/>
  <c r="A425" i="39"/>
  <c r="A424" i="39"/>
  <c r="A423" i="39"/>
  <c r="A422" i="39"/>
  <c r="A421" i="39"/>
  <c r="A420" i="39"/>
  <c r="A419" i="39"/>
  <c r="A418" i="39"/>
  <c r="A417" i="39"/>
  <c r="A416" i="39"/>
  <c r="A415" i="39"/>
  <c r="A414" i="39"/>
  <c r="A413" i="39"/>
  <c r="A412" i="39"/>
  <c r="A411" i="39"/>
  <c r="A410" i="39"/>
  <c r="A409" i="39"/>
  <c r="A408" i="39"/>
  <c r="A407" i="39"/>
  <c r="A406" i="39"/>
  <c r="A405" i="39"/>
  <c r="A404" i="39"/>
  <c r="A403" i="39"/>
  <c r="A402" i="39"/>
  <c r="A401" i="39"/>
  <c r="A400" i="39"/>
  <c r="A399" i="39"/>
  <c r="A398" i="39"/>
  <c r="A397" i="39"/>
  <c r="A396" i="39"/>
  <c r="A395" i="39"/>
  <c r="A394" i="39"/>
  <c r="A393" i="39"/>
  <c r="A392" i="39"/>
  <c r="A391" i="39"/>
  <c r="A390" i="39"/>
  <c r="A389" i="39"/>
  <c r="A388" i="39"/>
  <c r="A387" i="39"/>
  <c r="A386" i="39"/>
  <c r="A385" i="39"/>
  <c r="A384" i="39"/>
  <c r="A383" i="39"/>
  <c r="A382" i="39"/>
  <c r="A381" i="39"/>
  <c r="A380" i="39"/>
  <c r="A379" i="39"/>
  <c r="A378" i="39"/>
  <c r="A377" i="39"/>
  <c r="A376" i="39"/>
  <c r="A375" i="39"/>
  <c r="A374" i="39"/>
  <c r="A373" i="39"/>
  <c r="A372" i="39"/>
  <c r="A371" i="39"/>
  <c r="A370" i="39"/>
  <c r="A369" i="39"/>
  <c r="A368" i="39"/>
  <c r="A367" i="39"/>
  <c r="A366" i="39"/>
  <c r="A365"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F14" i="34" l="1"/>
  <c r="F13" i="34"/>
  <c r="F12" i="34"/>
  <c r="F11" i="34"/>
  <c r="F10" i="34"/>
  <c r="F9" i="34"/>
  <c r="F8" i="34"/>
  <c r="F7" i="34"/>
  <c r="F6" i="34"/>
  <c r="F5" i="34"/>
  <c r="F4" i="34"/>
  <c r="F16" i="34" l="1"/>
  <c r="H15" i="34"/>
  <c r="D14" i="34"/>
  <c r="H14" i="34" s="1"/>
  <c r="D13" i="34"/>
  <c r="H13" i="34" s="1"/>
  <c r="D12" i="34"/>
  <c r="H12" i="34" s="1"/>
  <c r="D11" i="34"/>
  <c r="H11" i="34" s="1"/>
  <c r="D10" i="34"/>
  <c r="H10" i="34" s="1"/>
  <c r="D9" i="34"/>
  <c r="H9" i="34" s="1"/>
  <c r="D8" i="34"/>
  <c r="H8" i="34" s="1"/>
  <c r="D7" i="34"/>
  <c r="H7" i="34" s="1"/>
  <c r="D6" i="34"/>
  <c r="H6" i="34" s="1"/>
  <c r="D5" i="34"/>
  <c r="H5" i="34" s="1"/>
  <c r="D4" i="34"/>
  <c r="H4" i="34" s="1"/>
  <c r="D16" i="34" l="1"/>
  <c r="H16" i="34" s="1"/>
  <c r="E1288" i="10"/>
  <c r="E1289" i="10"/>
  <c r="E1290" i="10"/>
  <c r="E1291" i="10"/>
  <c r="E1292" i="10"/>
  <c r="E1293" i="10"/>
  <c r="E1294" i="10"/>
  <c r="E1295" i="10"/>
  <c r="E1296" i="10"/>
  <c r="E1297" i="10"/>
  <c r="E1298" i="10"/>
  <c r="E1299" i="10"/>
  <c r="E1300" i="10"/>
  <c r="E1301" i="10"/>
  <c r="E1302" i="10"/>
  <c r="E1303" i="10"/>
  <c r="E1304" i="10"/>
  <c r="E1305" i="10"/>
  <c r="E1306" i="10"/>
  <c r="E1307" i="10"/>
  <c r="E1308" i="10"/>
  <c r="E1309" i="10"/>
  <c r="E1310" i="10"/>
  <c r="E1311" i="10"/>
  <c r="E1312" i="10"/>
  <c r="E1313" i="10"/>
  <c r="E1314" i="10"/>
  <c r="E1315" i="10"/>
  <c r="E1316" i="10"/>
  <c r="E1317" i="10"/>
  <c r="E1318" i="10"/>
  <c r="E1319" i="10"/>
  <c r="E1320" i="10"/>
  <c r="E1321" i="10"/>
  <c r="E1322" i="10"/>
  <c r="E1323" i="10"/>
  <c r="E1324" i="10"/>
  <c r="E1325" i="10"/>
  <c r="E1326" i="10"/>
  <c r="E1327" i="10"/>
  <c r="E1328" i="10"/>
  <c r="E1329" i="10"/>
  <c r="E1330" i="10"/>
  <c r="E1331" i="10"/>
  <c r="E1332" i="10"/>
  <c r="E1333" i="10"/>
  <c r="E1334" i="10"/>
  <c r="E1335" i="10"/>
  <c r="E1336" i="10"/>
  <c r="E1337" i="10"/>
  <c r="E1338" i="10"/>
  <c r="E1287" i="10"/>
</calcChain>
</file>

<file path=xl/sharedStrings.xml><?xml version="1.0" encoding="utf-8"?>
<sst xmlns="http://schemas.openxmlformats.org/spreadsheetml/2006/main" count="49477" uniqueCount="13654">
  <si>
    <t>Change Date</t>
  </si>
  <si>
    <t>ADD/DEL/MOD</t>
  </si>
  <si>
    <t>Sheet</t>
  </si>
  <si>
    <t>Row</t>
  </si>
  <si>
    <t>Item</t>
  </si>
  <si>
    <t>Change Description</t>
  </si>
  <si>
    <t>Reason</t>
  </si>
  <si>
    <t>ADD</t>
  </si>
  <si>
    <t>Assignment_Endorsements</t>
  </si>
  <si>
    <t>Multiple</t>
  </si>
  <si>
    <t>Added end. 4017 to 121012, 121670, 100051 and 100050</t>
  </si>
  <si>
    <t>CTE Request</t>
  </si>
  <si>
    <t>Added end. 8453 to 03002, 03008, 03051, 03159</t>
  </si>
  <si>
    <t>SDE K-12 Content Team Decision</t>
  </si>
  <si>
    <t>MOD</t>
  </si>
  <si>
    <t>Districts and Schools</t>
  </si>
  <si>
    <t>Update School Names</t>
  </si>
  <si>
    <t>District Change Request</t>
  </si>
  <si>
    <t>Assignment Changes</t>
  </si>
  <si>
    <t>Update list of Assignments</t>
  </si>
  <si>
    <t>Update list of Assignments and Endorsements</t>
  </si>
  <si>
    <t>Option Set Details</t>
  </si>
  <si>
    <t>Calendar Type</t>
  </si>
  <si>
    <t>SA</t>
  </si>
  <si>
    <t>Update/Add (SA) and (SR) language</t>
  </si>
  <si>
    <t>Missing definition and examples</t>
  </si>
  <si>
    <t>SR</t>
  </si>
  <si>
    <t>Update Provider List</t>
  </si>
  <si>
    <t>New online providers</t>
  </si>
  <si>
    <t>100050</t>
  </si>
  <si>
    <t>Updated Endorsement List</t>
  </si>
  <si>
    <t>140550</t>
  </si>
  <si>
    <t>Change Course Code Designator to No</t>
  </si>
  <si>
    <t>Misflagged - This is not a Course</t>
  </si>
  <si>
    <t>New School Year Changes</t>
  </si>
  <si>
    <t>DEL</t>
  </si>
  <si>
    <t>Removed Endorsement</t>
  </si>
  <si>
    <t>Added Endorsement</t>
  </si>
  <si>
    <t>Change Title</t>
  </si>
  <si>
    <t>Collection</t>
  </si>
  <si>
    <t>v11</t>
  </si>
  <si>
    <t>Edit</t>
  </si>
  <si>
    <t>File List</t>
  </si>
  <si>
    <t>Items</t>
  </si>
  <si>
    <t>19-20</t>
  </si>
  <si>
    <t>Change</t>
  </si>
  <si>
    <t>Modified</t>
  </si>
  <si>
    <t>►</t>
  </si>
  <si>
    <t>Master Course Schedule</t>
  </si>
  <si>
    <t>Student Demographics</t>
  </si>
  <si>
    <t>Student Course Enrollment</t>
  </si>
  <si>
    <t>Student Attendance</t>
  </si>
  <si>
    <t>District Calendars</t>
  </si>
  <si>
    <t>Special Education Students</t>
  </si>
  <si>
    <t>Gifted Students</t>
  </si>
  <si>
    <t>Staff Demographics and Employment</t>
  </si>
  <si>
    <t>Staff Assignments</t>
  </si>
  <si>
    <t>Disciplinary Action</t>
  </si>
  <si>
    <t>Program Contacts</t>
  </si>
  <si>
    <t>Annual School Finance</t>
  </si>
  <si>
    <t>Total Possible Items</t>
  </si>
  <si>
    <t>Key</t>
  </si>
  <si>
    <t>Added</t>
  </si>
  <si>
    <t>Removed</t>
  </si>
  <si>
    <t>Section</t>
  </si>
  <si>
    <t>Section Name</t>
  </si>
  <si>
    <t>Item Number</t>
  </si>
  <si>
    <t>Item Description</t>
  </si>
  <si>
    <t>Field Name</t>
  </si>
  <si>
    <t>Repeatable</t>
  </si>
  <si>
    <t>Definition</t>
  </si>
  <si>
    <t>Office</t>
  </si>
  <si>
    <t>Steward</t>
  </si>
  <si>
    <t>Data Type</t>
  </si>
  <si>
    <t>Length</t>
  </si>
  <si>
    <t>Format</t>
  </si>
  <si>
    <t>Option Set Name</t>
  </si>
  <si>
    <t>Min Value</t>
  </si>
  <si>
    <t>Max Value</t>
  </si>
  <si>
    <t>Required</t>
  </si>
  <si>
    <t>Logic</t>
  </si>
  <si>
    <t xml:space="preserve">Why It Is Collected </t>
  </si>
  <si>
    <t>Federal</t>
  </si>
  <si>
    <t>State</t>
  </si>
  <si>
    <t>Collect Agg/Disagg</t>
  </si>
  <si>
    <t>Report Agg/DisAgg</t>
  </si>
  <si>
    <t>Validation Why</t>
  </si>
  <si>
    <t>ISEE - v11</t>
  </si>
  <si>
    <t>0</t>
  </si>
  <si>
    <t>1</t>
  </si>
  <si>
    <t>School Identification Code</t>
  </si>
  <si>
    <t>schoolId</t>
  </si>
  <si>
    <t>The SDE assigned four-digit number associated with the school.</t>
  </si>
  <si>
    <t>Option Set</t>
  </si>
  <si>
    <t>9999</t>
  </si>
  <si>
    <t>Schools</t>
  </si>
  <si>
    <t>PSF, ESEA/ESSA, Certification, SPED,  Validation</t>
  </si>
  <si>
    <t>Y</t>
  </si>
  <si>
    <t>DisAgg</t>
  </si>
  <si>
    <t>2</t>
  </si>
  <si>
    <t>Course Code</t>
  </si>
  <si>
    <t>courseCode</t>
  </si>
  <si>
    <t xml:space="preserve">The Idaho state course code that best outlines the particular course section.  This code should be the same code used when matching  records between Staff Assignments, Student Course Enrollments and Master Course Schedule files.  </t>
  </si>
  <si>
    <t>999999</t>
  </si>
  <si>
    <t>PSF, ESEA/ESSA, Certification, SPED,  Adv. Opps, OSBE, Validation</t>
  </si>
  <si>
    <t>3</t>
  </si>
  <si>
    <t>Course Type</t>
  </si>
  <si>
    <t>courseType</t>
  </si>
  <si>
    <t>The structure and environment for the course.</t>
  </si>
  <si>
    <t>X</t>
  </si>
  <si>
    <t>PSF, ESEA/ESSA, Certification, Adv. Opps,  Validation</t>
  </si>
  <si>
    <t>4</t>
  </si>
  <si>
    <t>Instructional Setting</t>
  </si>
  <si>
    <t>setting</t>
  </si>
  <si>
    <t>Regarding instruction type, the typical instructional setting for this course section.</t>
  </si>
  <si>
    <t>XX</t>
  </si>
  <si>
    <t>PSF, ESEA/ESSA, Certification, SPED,  Adv. Opps, Validation</t>
  </si>
  <si>
    <t>5</t>
  </si>
  <si>
    <t>Minutes Per Week</t>
  </si>
  <si>
    <t>minsWeek</t>
  </si>
  <si>
    <t>Minutes per week the class is in session.  If course is a block schedule class with different times per week (e.g. meets M/W/F one week and T/Th the next) then average the time across the two weeks.</t>
  </si>
  <si>
    <t>Integer</t>
  </si>
  <si>
    <t>PSF, CTE, Validation</t>
  </si>
  <si>
    <t>N</t>
  </si>
  <si>
    <t>State minimum requirements</t>
  </si>
  <si>
    <t>6</t>
  </si>
  <si>
    <t>Content Grade Level</t>
  </si>
  <si>
    <t>gradeLevel</t>
  </si>
  <si>
    <t>The instructional content grade level (regardless of the grade level of the students enrolled).</t>
  </si>
  <si>
    <t>PSF, Certification, SPED,  Adv. Opps, OSBE, Validation</t>
  </si>
  <si>
    <t>7</t>
  </si>
  <si>
    <t>Section Period</t>
  </si>
  <si>
    <t>period</t>
  </si>
  <si>
    <t>The period of the day for the instructional course/assignment section</t>
  </si>
  <si>
    <t>VarChar</t>
  </si>
  <si>
    <t>XXXXXXXXXXXXXXX</t>
  </si>
  <si>
    <t>Validation</t>
  </si>
  <si>
    <t>8</t>
  </si>
  <si>
    <t>Section Identification</t>
  </si>
  <si>
    <t>sectionId</t>
  </si>
  <si>
    <t xml:space="preserve">The unique identifier for the specific section of an instructional course/assignment. </t>
  </si>
  <si>
    <t>XXXXXXXXXXXXXXXXXXXXXXXXX</t>
  </si>
  <si>
    <t>ESEA/ESSA, Adv. Opps, Validation</t>
  </si>
  <si>
    <t>9</t>
  </si>
  <si>
    <t>Section Alias Name</t>
  </si>
  <si>
    <t>sectionAlias</t>
  </si>
  <si>
    <t xml:space="preserve">The district section name associated with the section ID number for the specific section of an instructional course/assignment. </t>
  </si>
  <si>
    <t>10</t>
  </si>
  <si>
    <t>Section Start Date</t>
  </si>
  <si>
    <t>sectionStartDate</t>
  </si>
  <si>
    <t xml:space="preserve">The date in which the section is to start; matching Staff Assignments and Student Course Enrollments should not start before this date. </t>
  </si>
  <si>
    <t>Date</t>
  </si>
  <si>
    <t>MM/DD/YYYY or MM/DD/YY</t>
  </si>
  <si>
    <t>11</t>
  </si>
  <si>
    <t>Section End Date</t>
  </si>
  <si>
    <t>sectionEndDate</t>
  </si>
  <si>
    <t xml:space="preserve">The date in which the section is to end; matching Staff Assignments and Student Course Enrollments should not end after this date. </t>
  </si>
  <si>
    <t>12</t>
  </si>
  <si>
    <t>Provider School</t>
  </si>
  <si>
    <t>providerSchool</t>
  </si>
  <si>
    <t>The institution providing instruction of a non-regular course, i.e. virtual or distance learning.</t>
  </si>
  <si>
    <t>Conditional</t>
  </si>
  <si>
    <t>PSF, ESEA/ESSA, Certification, Adv. Opps., CTE</t>
  </si>
  <si>
    <t>13</t>
  </si>
  <si>
    <t>Provider School Name</t>
  </si>
  <si>
    <t>providerSchoolName</t>
  </si>
  <si>
    <t>The name of the institution providing instruction of a non-regular course, i.e. virtual or distance learning. Use this for ProviderSchool code 9999 or 0999 option sets.</t>
  </si>
  <si>
    <t>14</t>
  </si>
  <si>
    <t>Provider Instructor</t>
  </si>
  <si>
    <t>providerInstructor</t>
  </si>
  <si>
    <t>The EDUID of the teacher of the course.  This is the employee of the provider school.  Only applies to non-regular course, for example virtual or distance learning courses.</t>
  </si>
  <si>
    <t>15</t>
  </si>
  <si>
    <t>Provider Instructor Name</t>
  </si>
  <si>
    <t>providerInstructorName</t>
  </si>
  <si>
    <t>The Name of the teacher of the course.  This is the employee of the provider school.  Only applies to non-regular course, for example virtual or distance learning courses.</t>
  </si>
  <si>
    <t>Idaho State Student ID</t>
  </si>
  <si>
    <t>idStuId</t>
  </si>
  <si>
    <t>The student's assigned unique Idaho identification number.</t>
  </si>
  <si>
    <t>PSF, Validation</t>
  </si>
  <si>
    <t>SDE Validation, SDE Research, Sub-group reporting</t>
  </si>
  <si>
    <t>Last Name</t>
  </si>
  <si>
    <t>lastName</t>
  </si>
  <si>
    <t>The complete legal surname/family name(s). That which may be inherited (passed) to an individual at birth, baptism, or during another naming ceremony, or through legal change.</t>
  </si>
  <si>
    <t>SDE Validation</t>
  </si>
  <si>
    <t>First Name</t>
  </si>
  <si>
    <t>firstName</t>
  </si>
  <si>
    <t>The complete legal given first name(s) given to an individual at birth, baptism, or during another naming ceremony, or through legal change.</t>
  </si>
  <si>
    <t>Middle Name</t>
  </si>
  <si>
    <t>middleName</t>
  </si>
  <si>
    <t>The complete legal given secondary name(s) given to an individual at birth, baptism, or during another naming ceremony.</t>
  </si>
  <si>
    <t>Optional</t>
  </si>
  <si>
    <t>Name Suffix</t>
  </si>
  <si>
    <t>suffix</t>
  </si>
  <si>
    <t>An appendage, if any, used to denote an individual's generation in his family (e.g., Jr., Sr., III).</t>
  </si>
  <si>
    <t>Birth Date</t>
  </si>
  <si>
    <t>birthDate</t>
  </si>
  <si>
    <t>The month, day, and year on which an individual was born.</t>
  </si>
  <si>
    <t>Validation, PSF, SPED, Edfacts</t>
  </si>
  <si>
    <t>Gender</t>
  </si>
  <si>
    <t>gender</t>
  </si>
  <si>
    <t>A person's gender -- either Male or Female</t>
  </si>
  <si>
    <t>ESEA/ESSA, EdFacts, OCR, EDEN</t>
  </si>
  <si>
    <t>Is Hispanic</t>
  </si>
  <si>
    <t>hispanic</t>
  </si>
  <si>
    <t>A flag indicating if the individual is Hispanic or Latino. An indication that the person traces his or her origin or descent to Mexico, Puerto Rico, Cuba, Central and South America, and other Spanish cultures, regardless of race.</t>
  </si>
  <si>
    <t>Yes/No</t>
  </si>
  <si>
    <t>Is Asian</t>
  </si>
  <si>
    <t>asian</t>
  </si>
  <si>
    <t xml:space="preserve">A flag indicating if the individual is Asian. A person having origins in any of the original peoples of the Far East, Southeast Asia, or the Indian Subcontinent. This area includes, for example, Cambodia, China, India, Japan, Korea, Malaysia, Pakistan, the Philippine Islands, Thailand, and Vietnam.
</t>
  </si>
  <si>
    <t>Is American Indian or Alaska Native</t>
  </si>
  <si>
    <t>indian</t>
  </si>
  <si>
    <t xml:space="preserve">A flag indicating if the individual is American Indian or Alaskan Native.  A person having origins in any of the original peoples of North and South America (including Central America), and who maintains cultural identification through tribal affiliation or community attachment.
</t>
  </si>
  <si>
    <t>Is Black or African American</t>
  </si>
  <si>
    <t>black</t>
  </si>
  <si>
    <t xml:space="preserve">A flag indicating if the individual is African American. A person having origins in any of the black racial groups of Africa.
</t>
  </si>
  <si>
    <t>Is Native Hawaiian or Pacific Islander</t>
  </si>
  <si>
    <t>islander</t>
  </si>
  <si>
    <t>A flag indicating if the individual is Native Hawaiian or Other Pacific Islander. A person having origins in any of the original peoples of Hawaii, Guam, Samoa, or other Pacific Islands.</t>
  </si>
  <si>
    <t>Is White</t>
  </si>
  <si>
    <t>white</t>
  </si>
  <si>
    <t>A flag indicating if the individual is White or Caucasian. A person having origins in any of the original peoples of Europe, Middle East, or North Africa.</t>
  </si>
  <si>
    <t>Base School ID</t>
  </si>
  <si>
    <t>baseSchoolId</t>
  </si>
  <si>
    <t>The SDE assigned four-digit number associated with the school (within your district) primarily responsible for the academic instruction, educational services and achievement of the student for the current enrollment period.</t>
  </si>
  <si>
    <t>PSF, ESEA/ESSA, EdFacts, OCR, EDEN</t>
  </si>
  <si>
    <t>County of Residence</t>
  </si>
  <si>
    <t>county</t>
  </si>
  <si>
    <t xml:space="preserve">The County of residence for the student's home address.  </t>
  </si>
  <si>
    <t>99</t>
  </si>
  <si>
    <t>Idaho Counties</t>
  </si>
  <si>
    <t>PSF, Adv. Opps</t>
  </si>
  <si>
    <t>16</t>
  </si>
  <si>
    <t>Zip Code</t>
  </si>
  <si>
    <t>zip</t>
  </si>
  <si>
    <t>The Postal Service zip code for the student's home address.  Either just the first five digits or the full zip+4 (without any dashes or spaces).</t>
  </si>
  <si>
    <t>Character</t>
  </si>
  <si>
    <t>99999 or 999999999</t>
  </si>
  <si>
    <t>Validation, State for Forest Fund Calculations,  Direct Certification</t>
  </si>
  <si>
    <t>17</t>
  </si>
  <si>
    <t>Is Private or Home Schooled</t>
  </si>
  <si>
    <t>phSchool</t>
  </si>
  <si>
    <t>A flag indicating if student is private/home schooled while currently enrolled in courses at the local School.</t>
  </si>
  <si>
    <t>PH School</t>
  </si>
  <si>
    <t>PSF, Edfacts Validation</t>
  </si>
  <si>
    <t>18</t>
  </si>
  <si>
    <t>Grade Level</t>
  </si>
  <si>
    <t xml:space="preserve">The code identifying the grade level of the student. </t>
  </si>
  <si>
    <t>Birthdate, Student Demographics, Course Enrollement, Provider School Table</t>
  </si>
  <si>
    <t>19</t>
  </si>
  <si>
    <t>Grade Point Average UnWeighted</t>
  </si>
  <si>
    <t>uGPA</t>
  </si>
  <si>
    <t>The unweighted cumulative grade point average covering all high school transcript credits. Calculated on a 4.0 maximum scale. Used in aiding the student with the Idaho Opportunity Scholarship as well as the application process for Idaho’s public colleges and universities.</t>
  </si>
  <si>
    <t>Board of Ed</t>
  </si>
  <si>
    <t>Carson Howell</t>
  </si>
  <si>
    <t>Number</t>
  </si>
  <si>
    <t>9.99</t>
  </si>
  <si>
    <t>0.00</t>
  </si>
  <si>
    <t>4.00</t>
  </si>
  <si>
    <t>OSBE</t>
  </si>
  <si>
    <t>20</t>
  </si>
  <si>
    <t>Economic Disadvantage Status</t>
  </si>
  <si>
    <t>econDisStatus</t>
  </si>
  <si>
    <t>An indicator of how the student meets the criteria for classification as having an economic disadvantage status; using Direct Certification, eligibility of free or reduced price lunches through a National School Lunch Program, or other qualifying measures such as household income surveys.</t>
  </si>
  <si>
    <t>Economic Disadvantage</t>
  </si>
  <si>
    <t>USDA, EDFacts, ESEA/ESSA</t>
  </si>
  <si>
    <t>21</t>
  </si>
  <si>
    <t>Is Special Ed</t>
  </si>
  <si>
    <t>specialEd</t>
  </si>
  <si>
    <t>A flag indicating if the student has an active Individualized Education Program (IEP) or Service Plan (SP) under the IDEA, part B.</t>
  </si>
  <si>
    <t>22</t>
  </si>
  <si>
    <t>Is 504</t>
  </si>
  <si>
    <t>A cumulative flag indicating if the student has (or had) an active education plan under the rules of section 504 of the Rehabilitation act, during their current base school enrollment in the current school-year.</t>
  </si>
  <si>
    <t>IDEA and OSEP compliance, EDFacts, OCR</t>
  </si>
  <si>
    <t>23</t>
  </si>
  <si>
    <t>At Risk</t>
  </si>
  <si>
    <t>atRisk</t>
  </si>
  <si>
    <r>
      <t xml:space="preserve">A cumulative flag indicating if, at any time during their current base school enrollment in the current school-year, the youth has met the requirement for "At-Risk" within the district. 
33-1001(3) "At-risk student" means a student in grades 6 through 12 who:
(a)  Meets at least three (3) of the following criteria:
   (i) Has repeated at least one (1) grade;
   (ii) Has absenteeism greater than ten percent (10%) during the preceding semester;
   (iii) Has an overall grade point average less than 1.5 on a 4.0 scale prior to enrolling in an alternative secondary program;
   (iv) Has failed one (1) or more academic subjects in the past year;
   (v) Is below proficient, based on local criteria, standardized tests, or both;
   (vi) Is two (2) or more credits per year behind the rate required to graduate or for grade promotion; or
   (vii) Has attended three (3) or more schools within the previous two (2) years, not including dual enrollment;
</t>
    </r>
    <r>
      <rPr>
        <b/>
        <sz val="10"/>
        <rFont val="MS Reference Sans Serif"/>
        <family val="2"/>
      </rPr>
      <t>OR</t>
    </r>
    <r>
      <rPr>
        <sz val="10"/>
        <rFont val="MS Reference Sans Serif"/>
        <family val="2"/>
      </rPr>
      <t xml:space="preserve">
(b)  Meets any of the following criteria:
   (i) Has documented substance abuse or a pattern of substance abuse;
   (ii) Is pregnant or a parent;
   (iii) Is an emancipated youth or unaccompanied youth;
   (iv) Is a previous dropout;
   (v) Has a serious personal, emotional, or medical issue or issues;
   (vi) Has a court or agency referral; or
   (vii) Demonstrates behavior detrimental to the student’s academic progress.</t>
    </r>
  </si>
  <si>
    <t>PSF</t>
  </si>
  <si>
    <t>24</t>
  </si>
  <si>
    <t>Military Connected Student</t>
  </si>
  <si>
    <t>militaryConnected</t>
  </si>
  <si>
    <t>The identification of how a student is military connected as a dependent of at least one Active Duty member (parent or guardian) of the United States Armed Forces military services.</t>
  </si>
  <si>
    <t>Military Connection</t>
  </si>
  <si>
    <t>ESEA/ESSA</t>
  </si>
  <si>
    <t>25</t>
  </si>
  <si>
    <t>Is Title I Served</t>
  </si>
  <si>
    <t>servedTitleI</t>
  </si>
  <si>
    <t>A cumulative flag indicating if the student has received services under the rules of Title IA of ESSA at any time during their current base school enrollment in the current school-year. For students attending a Title I, Part A public school operating a Schoolwide Program report Yes for all students.</t>
  </si>
  <si>
    <t>Title Program Funding</t>
  </si>
  <si>
    <t>26</t>
  </si>
  <si>
    <t xml:space="preserve">Is Idaho Resident </t>
  </si>
  <si>
    <t>idResident</t>
  </si>
  <si>
    <t>A flag indicating if the student is a permanent resident of Idaho. (read more below)
Border In Students - No 
Foreign Exchange Visitors/Students - No</t>
  </si>
  <si>
    <t>PSF, EDFacts</t>
  </si>
  <si>
    <t xml:space="preserve"> </t>
  </si>
  <si>
    <t>27</t>
  </si>
  <si>
    <t>On Educational (F1) Visa</t>
  </si>
  <si>
    <t>onVisa</t>
  </si>
  <si>
    <t>A flag indicating if the student is on an Educational (F-1) Visa. (read more below)
F-1 visa students can only attend schools that have a SEVP certification with Department of Homeland Security (DHS). 
F-1 visa students are issued Form I-20s.</t>
  </si>
  <si>
    <t>Yes/No/NA</t>
  </si>
  <si>
    <t>28</t>
  </si>
  <si>
    <t>Is Gifted/Talented</t>
  </si>
  <si>
    <t>gifted</t>
  </si>
  <si>
    <t>A flag indicating if the student is Gifted and/or Talented.</t>
  </si>
  <si>
    <t>Is Neglected or Delinquent</t>
  </si>
  <si>
    <t>nOrD</t>
  </si>
  <si>
    <t>A flag indicating if the student is Neglected or Delinquent under the rules of Title I D</t>
  </si>
  <si>
    <t>EDFacts, Title Program Funding</t>
  </si>
  <si>
    <t>29</t>
  </si>
  <si>
    <t>Is Homeless</t>
  </si>
  <si>
    <t>homeless</t>
  </si>
  <si>
    <t>A cumulative flag indicating whether an individual ever lacked a fixed, regular, and adequate nighttime residence during their current base school enrollment in the current school-year. Includes 1) children and youths who are sharing the housing of other persons due to loss of housing, economic hardship, or similar reason; are living in motels, hotels, trailer parks, or camping grounds due to the lack of alternative accommodations; are living in emergency or transitional shelters; are abandoned in hospitals; 2) children and youths who have a primary nighttime residence that is a public or private place not designed for or ordinarily used as a regular sleeping accommodation for human beings…  3) children and youths who are living in cars, parks, public spaces, abandoned buildings, substandard housing, bus or train stations, or similar settings; and 4) migratory children who qualify as homeless for the purposes of this subtitle because the children are living in circumstances described in 1 through 3.</t>
  </si>
  <si>
    <t>30</t>
  </si>
  <si>
    <t>If Homeless, is an unaccompanied youth</t>
  </si>
  <si>
    <t>homelessUAY</t>
  </si>
  <si>
    <t>A cumulative flag for a student who is (or was) homeless during their current base school enrollment in the current school-year. Was this student ever identified as an unaccompanied youth; a youth who was not in the physical custody of a parent or guardian AND who fit the McKinney-Vento definition of homeless? This field is required when [homeless ] = Y</t>
  </si>
  <si>
    <t>31</t>
  </si>
  <si>
    <t>Homeless Residence</t>
  </si>
  <si>
    <t>homelessResidence</t>
  </si>
  <si>
    <t>An indication of a homeless student's initial primary nighttime residence at the time they were first identified as being homeless during their current base school enrollment in the current school-year.</t>
  </si>
  <si>
    <t>32</t>
  </si>
  <si>
    <t>Is Bus Rider</t>
  </si>
  <si>
    <t>busRider</t>
  </si>
  <si>
    <t xml:space="preserve">A flag indicating if the student is eligible to receive transportation to and from school, by the LEA.
Student eligibility for state funded student transportation services is defined in Idaho Codes 33-1501, 33-1502, and 33-5208(4).
Resides within the LEA boundary, supported by physical address, or resides within the LEA boundaries and meets the safety busing criteria, supported by address, and are registered to ride. 
Students with disability only need meet LEA residence, supported  by physical address and are registered to ride. 
If homeless are transported and registered to ride, claim as eligible. 
A student with disabilities whose Individualized Education Plan (IEP) requires transportation is eligible for transportation as a related service (IDEA) under the Student Transportation Support Program regardless of distance from the school.
Students who attend school at an alternate location as assigned by the local board of trustees may be expected to walk reasonable distances between schools (IC Idaho Code 33-1501).  
Transporting or shuttling students between schools or buildings in conjunction with non-reimbursable programs is a non-reimbursable expense and all such mileage shall be documented and tracked as non-reimbursable shuttle miles. 
</t>
  </si>
  <si>
    <t>33</t>
  </si>
  <si>
    <t>Is Border Student</t>
  </si>
  <si>
    <t>borderStudent</t>
  </si>
  <si>
    <t>A flag indicating if this is a student crossing state lines to attend school.  Border Out means an Idaho resident attending in another state, and the Idaho district is paying tuition for that student.  Border In means a resident of another state attending an Idaho school, for which the Idaho district is receiving tuition (excluded from funding calculations).  Include the ID for the exchange district in the border district ID field.</t>
  </si>
  <si>
    <t>Border Student</t>
  </si>
  <si>
    <t>PFS, EDFacts</t>
  </si>
  <si>
    <t>Transportation</t>
  </si>
  <si>
    <t>34</t>
  </si>
  <si>
    <t>Other Border District ID</t>
  </si>
  <si>
    <t>borderId</t>
  </si>
  <si>
    <t>For border students, the SDE assigned ID for the other district involved in the exchange of this border student. Contact SDE for this identifier.</t>
  </si>
  <si>
    <t>35</t>
  </si>
  <si>
    <t>Is Immigrant</t>
  </si>
  <si>
    <t>immigrant</t>
  </si>
  <si>
    <t>An indication that the child is eligible as “immigrant children and youth,” which is defined under Title III in Section 3201(5) of the ESEA, referring to individuals who: (A) are aged 3 through 21; (B) were not born in any State; and (C) have not been attending one or more schools in any one or more States for more than 3 full academic years. 
Note: “State” is defined in Section 3201(13) of the ESEA to include the 50 States, the District of Columbia, and Puerto Rico. Therefore, students born in Puerto Rico may not be included as “immigrant” students under Title III. 
Note: The term “immigrant” as used in Title III is not related to an individual's legal status in the United States.
Note: A student is NOT considered a Title III immigrant if the student has been attending one or more schools in any States for a total of more than 3 full academic years.</t>
  </si>
  <si>
    <t>EdFacts, ESEA/ESSA</t>
  </si>
  <si>
    <t>36</t>
  </si>
  <si>
    <t>Immigrant US School Begin Date</t>
  </si>
  <si>
    <t>immigrantEntry</t>
  </si>
  <si>
    <t>For Immigrant students, the year, month and day of initial enrollment into any United States school. The month and year are all that are critical. -- use the first of the month if the day of the date is unknown.
Note: Only report for [immigrant] = Y</t>
  </si>
  <si>
    <t>37</t>
  </si>
  <si>
    <t>Immigrant Native Language</t>
  </si>
  <si>
    <t>nativeLanguage</t>
  </si>
  <si>
    <t>For Immigrant students, the dominant or most frequent language spoken in the home. 
(Note: A list of language codes is currently maintained and updated by the ISO as ISO 639-2) 
Note: Only report for [immigrant] = Y</t>
  </si>
  <si>
    <t>Languages</t>
  </si>
  <si>
    <t>38</t>
  </si>
  <si>
    <t>Immigrant Home Country Code</t>
  </si>
  <si>
    <t>country</t>
  </si>
  <si>
    <t>For Immigrant students, the code for the country in which an individual is born. 
(Note: A list of countries and codes is currently maintained and updated by the International Organization for Standardization as ISO 3166.)
Note: Only report for [immigrant] = Y</t>
  </si>
  <si>
    <t>Country</t>
  </si>
  <si>
    <t>39</t>
  </si>
  <si>
    <t>Typically Developing Peer</t>
  </si>
  <si>
    <t>tdPeer</t>
  </si>
  <si>
    <t>Is the student enrolled as a Typically Developing Peer in an early childhood or pre-kindergarten program.  Typically Developing Peers act as role models for early childhood special education students.</t>
  </si>
  <si>
    <t>Title programs, SPED</t>
  </si>
  <si>
    <t>40</t>
  </si>
  <si>
    <t>Earned Industry Certification</t>
  </si>
  <si>
    <t>earnedIndustryCert</t>
  </si>
  <si>
    <t>For Seniors, upon exit, has this student earned an industry recognized, CTE approved, certificate? 
(See complete list of approved certs on the IDCTE Certs tab)
IDAPA 08.02.03.112.03 - College and career readiness is determined by any High School participation in advanced opportunities, earning industry recognized certification(s), and/or participation in recognized high school apprenticeship program(s).</t>
  </si>
  <si>
    <t>41</t>
  </si>
  <si>
    <t>Is Chronically Absent</t>
  </si>
  <si>
    <t>chronicallyAbsent</t>
  </si>
  <si>
    <t>A flag indicating if the student was enrolled in the baseSchool for at least 10 school days at any time during the school year, and missed at least 10% of the total school days in which they were enrolled at the baseSchool. Absent means, students who miss more than 50% of a school day, for any reason. Grades K-12 only. Report upon School Exit.</t>
  </si>
  <si>
    <t>42</t>
  </si>
  <si>
    <t>District Entry Date</t>
  </si>
  <si>
    <t>districtEntryDate</t>
  </si>
  <si>
    <t>The month, day, and year on which the student (re)entered and began to receive instructional services in the district during the current school year.</t>
  </si>
  <si>
    <t>PSF, EdFacts, Adv. Opps.</t>
  </si>
  <si>
    <t>43</t>
  </si>
  <si>
    <t>District Entry Reason</t>
  </si>
  <si>
    <t>districtEntryType</t>
  </si>
  <si>
    <t>The process by which a student entered the school district.</t>
  </si>
  <si>
    <t>Entry Reasons</t>
  </si>
  <si>
    <t>44</t>
  </si>
  <si>
    <t>School Entry Date</t>
  </si>
  <si>
    <t>schoolEntryDate</t>
  </si>
  <si>
    <t>The month, day, and year on which the student entered and began to receive instructional services at the school during the current school year.</t>
  </si>
  <si>
    <t>45</t>
  </si>
  <si>
    <t>School Entry Reason</t>
  </si>
  <si>
    <t>schoolEntryType</t>
  </si>
  <si>
    <t>The process by which a student entered the school.</t>
  </si>
  <si>
    <t>46</t>
  </si>
  <si>
    <t>School Exit Date</t>
  </si>
  <si>
    <t>schoolExitDate</t>
  </si>
  <si>
    <t>The month, day, and year of the date of an individual's last attendance in school, the day on which an individual graduated, or the date on which it becomes known officially that an individual left that school  for this particular school year. (including changing schools within the district)</t>
  </si>
  <si>
    <t>47</t>
  </si>
  <si>
    <t>School Exit Reason</t>
  </si>
  <si>
    <t>schoolExitType</t>
  </si>
  <si>
    <t>The circumstances under which the student has exited from the school.</t>
  </si>
  <si>
    <t>Exit Reasons</t>
  </si>
  <si>
    <t>48</t>
  </si>
  <si>
    <t>District Exit Date</t>
  </si>
  <si>
    <t>districtExitDate</t>
  </si>
  <si>
    <t>The month, day, and year of the individual's last day of attendance (if known) within the District, the day on which an individual graduated, or the date on which it becomes known officially that an individual left the District for this particular school year.</t>
  </si>
  <si>
    <t>49</t>
  </si>
  <si>
    <t>District Exit Reason</t>
  </si>
  <si>
    <t>districtExitType</t>
  </si>
  <si>
    <t>The circumstances under which the student exited from membership in the district</t>
  </si>
  <si>
    <t xml:space="preserve">  0</t>
  </si>
  <si>
    <t>SLDS, Validation</t>
  </si>
  <si>
    <t>The SDE assigned four-digit number associated with the school where the student is enrolled in courses.</t>
  </si>
  <si>
    <t>PSF, EdFacts,  ESEA/ESSA, Certification, SPED, Adv. Opps.</t>
  </si>
  <si>
    <t xml:space="preserve">The Idaho state course code that best outlines the particular course section.  This code should be the same code used when matching  records between Staff Assignments, Student Course Enrollments and Master Course Schedule files. </t>
  </si>
  <si>
    <t>PSF, EdFacts,  ESEA/ESSA, Certification, SPED, Adv. Opps., CTE</t>
  </si>
  <si>
    <t>The unique identifier for the specific section of an instructional course/assignment.</t>
  </si>
  <si>
    <t>The district section name associated with the section ID number for the specific section of an instructional course/assignment.</t>
  </si>
  <si>
    <t>Course Entry Date</t>
  </si>
  <si>
    <t>entryDate</t>
  </si>
  <si>
    <t>The date in which the student started receiving instruction for the course.</t>
  </si>
  <si>
    <t>Course Exit Date</t>
  </si>
  <si>
    <t>exitDate</t>
  </si>
  <si>
    <t>The date in which the student stopped receiving instruction for the course.</t>
  </si>
  <si>
    <t>Course Exit Reason</t>
  </si>
  <si>
    <t>exitReason</t>
  </si>
  <si>
    <t>The reason in which the student exited course.</t>
  </si>
  <si>
    <t>EdFacts,  ESEA/ESSA,  Adv. Opps.</t>
  </si>
  <si>
    <t>Credits Offered</t>
  </si>
  <si>
    <t>creditsOffered</t>
  </si>
  <si>
    <t xml:space="preserve">The number of offered credit(s),  or credit like unit which is to be earned, awarded or otherwise given to the student, by the school, for meeting or displaying competency, providing adequate growth to support advancing the student to the next grade or class section. </t>
  </si>
  <si>
    <t>EdFacts,  ESEA/ESSA,  Adv. Opps., CTE, OSBE</t>
  </si>
  <si>
    <t>Credits Earned</t>
  </si>
  <si>
    <t>creditEarned</t>
  </si>
  <si>
    <t>Upon exiting a course, the credit or credit-like unit which has been earned, awarded or otherwise given to the student for meeting or displaying competency, advancing to the next grade or class section.</t>
  </si>
  <si>
    <t>50.0</t>
  </si>
  <si>
    <t>Credit Recovery</t>
  </si>
  <si>
    <t>creditRecovery</t>
  </si>
  <si>
    <t xml:space="preserve">Currently for Alternative High School courses only; Is this course for “credit recovery” for this student? A credit recovery course is that course which the student reenrolled to attempt to receive credit for a previously failed or incomplete course credit.
IDAPA 08.02.03.112.03(c)(i) School Quality Measures by School Category - Credit recovery and accumulation. ** FOR ALTERNATIVE HIGH SCHOOL COURSE ENROLLMENT ONLY ** </t>
  </si>
  <si>
    <t>Final Grade</t>
  </si>
  <si>
    <t>grade</t>
  </si>
  <si>
    <t>The final grade awarded to the student at course exit.  This field is a District decisional value which is required whenever creditEarned is greater than 0. May be reflected as;   P, Pass, F, Fail, A+, B-, C, D, UG – Ungraded, NG – Not Graded or numeric values such as 75, 80, 90, 97, etc.</t>
  </si>
  <si>
    <t>XXXX</t>
  </si>
  <si>
    <t>Dual Credit</t>
  </si>
  <si>
    <t>dualCredit</t>
  </si>
  <si>
    <t xml:space="preserve">Is this student enrolled in this course to earn Dual Credit (both high school and college credit)? Dual Credit means simultaneous credits to be awarded to the student on his or her secondary AND postsecondary transcript for the completion of a single course. </t>
  </si>
  <si>
    <t>College credit issued</t>
  </si>
  <si>
    <t>Ccissued</t>
  </si>
  <si>
    <t>If course is a dual credit course and student is receiving dual credit, has the college issued full credit for successfully completing the course?</t>
  </si>
  <si>
    <t>Support D/C</t>
  </si>
  <si>
    <t>College Credits Offered</t>
  </si>
  <si>
    <t>collegeCredits</t>
  </si>
  <si>
    <t>The number of credits to be awarded by the college for dual credit.</t>
  </si>
  <si>
    <t>College issuing credit</t>
  </si>
  <si>
    <t>CollegeID</t>
  </si>
  <si>
    <t>If student received dual credit, which college/university issued the college credit?</t>
  </si>
  <si>
    <t>College Credit</t>
  </si>
  <si>
    <t>XXXXXXXXX</t>
  </si>
  <si>
    <t>School ID</t>
  </si>
  <si>
    <t>The SDE assigned four-digit number associated with the school where the student is enrolled.</t>
  </si>
  <si>
    <t>Calendar Number</t>
  </si>
  <si>
    <t>calendarId</t>
  </si>
  <si>
    <t>A unique identifier for different calendars in use with the district.  Use "1" if only one calendar applies.  Example differences are if different grade bands have different calendars or for year round schools, if groups of students are in different tracks.</t>
  </si>
  <si>
    <t>999999999999999</t>
  </si>
  <si>
    <t>date</t>
  </si>
  <si>
    <t>The date of this attendance record.</t>
  </si>
  <si>
    <t>Daily Attendance</t>
  </si>
  <si>
    <t>attendance</t>
  </si>
  <si>
    <t>The attendance for the given student on the selected day.  For most students this should be one of 0, .5 or 1.0.  (0 or .5 Kindergarten only).  For students in alternative high schools, and private/homeschool students on a DR calendar, this should be the hours of attendance -- All others, this is an FTE for the day. Less than 2.5 hours should be reported as 0, 2.5 hours to 4 hours is 0.5 days, and more than four hours available for instruction is 1.0 days.</t>
  </si>
  <si>
    <t>Decimal</t>
  </si>
  <si>
    <t>99.999</t>
  </si>
  <si>
    <t>PSF, EDFacts, Validation</t>
  </si>
  <si>
    <t>DistrictCalendars</t>
  </si>
  <si>
    <t xml:space="preserve">A unique identifier for different calendars in use with the district.  Example differences are if different grade bands have different calendars or, for year round schools, if groups of students are in different tracks attending different days.  All students on the same calendar are expected to have the same attendance.   Within a given school year, you can not change the calendarType associated with the Calendar ID. </t>
  </si>
  <si>
    <t>calendarType</t>
  </si>
  <si>
    <t>The type of calendar described such as R-Regular, A-Alternative High School (hours), K-Kindergarten, DR-Dual Enrollment, etc.  The calendar type may not change for a given calendar ID within a given school year.</t>
  </si>
  <si>
    <t>1-2</t>
  </si>
  <si>
    <t>X or XX</t>
  </si>
  <si>
    <t>Kindergarten Session Type</t>
  </si>
  <si>
    <t>kSessionType</t>
  </si>
  <si>
    <t>The way that Kindergarten classes are scheduled for this Calendar.  Options are in the option set.  This field is required when the [Calendar Type] = K</t>
  </si>
  <si>
    <t>The calendar day for the current record.</t>
  </si>
  <si>
    <t>Instructional Time</t>
  </si>
  <si>
    <t>instructionTime</t>
  </si>
  <si>
    <t>The time available for instruction.  For most schools this should be 0, 0.5 or 1.0.  Less than 2.5 hours of instruction time should be reported as 0, 2.5 hours to 3.99 hours of instruction time is 0.5 days, and 4.0 hours or more of instruction time is 1.0 days.  The total of all time categories should not exceed 1.0 for any given day.  For alternative calendars or dual enrollment calendars, instruction time is entered in hours rather than .5 half or 1.0 whole days.</t>
  </si>
  <si>
    <t>99.9</t>
  </si>
  <si>
    <t>Emergency Closure Time</t>
  </si>
  <si>
    <t>emergClosureTime</t>
  </si>
  <si>
    <t>The time when the school had an unplanned closure. Neither students nor staff are expected to attend. Reasons for the closure include such things as weather events or widespread illness.  For most schools this should be 0, 0.5, or 1.0 days.  Less than 2.5 hours should be reported as 0, 2.5 hours to 4 hours is 0.5 days, and more than four hours as 1.0. For alternative calendars or dual enrollment calendars, instruction time is entered in hours rather than in ADA.</t>
  </si>
  <si>
    <t>Non-instructional Time</t>
  </si>
  <si>
    <t>nonInstrucTime</t>
  </si>
  <si>
    <t>The time used for non-instruction -- vacation, staff development, or as a placeholder for non-instructional days.  For most schools this should be 0, 0.5, or 1.0.  Less than 2.5 hours should be reported as 0, 2.5 hours to 4 hours is 0.5 days, and more than four hours is 1.0 day.   For alternative calendars or dual enrollment calendars, instruction time is entered in hours rather than in ADA.</t>
  </si>
  <si>
    <t>Special Education</t>
  </si>
  <si>
    <t>Resident School ID</t>
  </si>
  <si>
    <t>resSchoolId</t>
  </si>
  <si>
    <t>The SDE assigned four-digit number associated with the school responsible for the students primary education.</t>
  </si>
  <si>
    <t>IDEA and OSEP compliance, EDFacts</t>
  </si>
  <si>
    <t>Service School ID</t>
  </si>
  <si>
    <t>servSchoolId</t>
  </si>
  <si>
    <t>The SDE assigned four-digit number associated with the school responsible for the students special education services.</t>
  </si>
  <si>
    <t>Exceptionality 1</t>
  </si>
  <si>
    <t>exceptionality1</t>
  </si>
  <si>
    <t>The primary exceptionality of the student.</t>
  </si>
  <si>
    <t>Exceptionality</t>
  </si>
  <si>
    <t>Agg</t>
  </si>
  <si>
    <t>Environment</t>
  </si>
  <si>
    <t>environment</t>
  </si>
  <si>
    <t>The least restrictive environment (LRE) within which the student receives their education.</t>
  </si>
  <si>
    <t>Special Ed Environment</t>
  </si>
  <si>
    <t>minPerWeek</t>
  </si>
  <si>
    <t>The number of minutes per week that the PK student is under district supervision. Districts should include all the time they are incharge of the student. Example:
• Direct services
• Bus time
• Recess time
• Consultation</t>
  </si>
  <si>
    <t>2100</t>
  </si>
  <si>
    <t>Early Childhood Referred by DHW</t>
  </si>
  <si>
    <t>ECReferredDhw</t>
  </si>
  <si>
    <t>Was child referred by Department of Health and Welfare, Infant Toddler Program?</t>
  </si>
  <si>
    <t>EC Eligibility Decision Timeliness</t>
  </si>
  <si>
    <t>ECDecTim</t>
  </si>
  <si>
    <t>Was the eligibility determination made prior to the child's third birthday? If determined eligible, the individual education program (IEP) must also be developed prior to the child’s third birthday to qualify as Yes.</t>
  </si>
  <si>
    <t>Eligibility Determination was late</t>
  </si>
  <si>
    <t>ECDecLate</t>
  </si>
  <si>
    <t xml:space="preserve">If eligibility determination and/or IEP occurred after the child's third birthday, report number of days late. 
</t>
  </si>
  <si>
    <t>999</t>
  </si>
  <si>
    <t>Report &gt; 0, when ECDecTim = N. Else, leave blank.</t>
  </si>
  <si>
    <t>Eligibility Determination late reason</t>
  </si>
  <si>
    <t>ECLateRea</t>
  </si>
  <si>
    <t>If eligibility determination and/or IEP are late, report reason for delay.</t>
  </si>
  <si>
    <t>Early Childhood Determination Late</t>
  </si>
  <si>
    <t>Late Reason of other explanation</t>
  </si>
  <si>
    <t>ECLROther</t>
  </si>
  <si>
    <t>If eligibility determination for special education and related services was late, and reason was other, explain</t>
  </si>
  <si>
    <t>Initial Determination Date</t>
  </si>
  <si>
    <t>IDSpedDate</t>
  </si>
  <si>
    <t>The date of the student's first eligiblity determination for special education services and related services whether eligible or not. This is the Initial Determination date of eligibility</t>
  </si>
  <si>
    <t>Program Entry Date</t>
  </si>
  <si>
    <t>SEEntryDate</t>
  </si>
  <si>
    <t>The date the student first received special education services during the current school year within the enrolled District.</t>
  </si>
  <si>
    <t>Active IEP Date</t>
  </si>
  <si>
    <t>IEPDate</t>
  </si>
  <si>
    <t>The current IEP meeting date. The date that a fully constituted IEP team met and came to consensus on the current IEP.</t>
  </si>
  <si>
    <t>DisAgg/Agg</t>
  </si>
  <si>
    <t>Initial Consent Date</t>
  </si>
  <si>
    <t>consentDate</t>
  </si>
  <si>
    <t>The date the LEA received the parent's written (signed) consent for initial assessment.  This starts the clock for the 60 day timeline. Required if IDSpedDate is after the last day of the prior school year or if 60DTline is reported.</t>
  </si>
  <si>
    <t>60-day timeline</t>
  </si>
  <si>
    <t>60DTline</t>
  </si>
  <si>
    <t>A flag indicating if the determination for special education eligiblity was completed within 60 calendar days of reciept of parental consent for assessment. Required if IDSpedDate is after the last day of the prior School Year or if consentDate is reported.</t>
  </si>
  <si>
    <t>Days late</t>
  </si>
  <si>
    <t>DaysLate</t>
  </si>
  <si>
    <t>If eligiblity determination was not completed within the required 60 calendar day timeline, indicate the number of days late. Report ONLY when 60DTline = No</t>
  </si>
  <si>
    <t>Late Determination Reason</t>
  </si>
  <si>
    <t>LDRea</t>
  </si>
  <si>
    <t>The reason the determination was late. Report ONLY when 60DTline = No</t>
  </si>
  <si>
    <t>Special Ed Determination Late</t>
  </si>
  <si>
    <t>If late due to state exception rule</t>
  </si>
  <si>
    <t>ExRule</t>
  </si>
  <si>
    <t>Explanation for choosing state exception rule (SE) as the reason determination was late. Report ONLY when LDRea = SE</t>
  </si>
  <si>
    <t>State Exception Rule</t>
  </si>
  <si>
    <t>Sped Eligibility</t>
  </si>
  <si>
    <t>SpedEligible</t>
  </si>
  <si>
    <t xml:space="preserve">A flag indicating if the child was found eligible for special education services based on the most recent evaluation decision. </t>
  </si>
  <si>
    <t>Special Ed Eligibility (Yes/No/Undetermined)</t>
  </si>
  <si>
    <t>Undetermined Reason</t>
  </si>
  <si>
    <t>UndetRea</t>
  </si>
  <si>
    <t>The Reason for selecting undetermined for eligibility of special education services.</t>
  </si>
  <si>
    <t>Special Ed Status</t>
  </si>
  <si>
    <t>SEStatus</t>
  </si>
  <si>
    <t>The status of the student relative to special education (active, inactive, tested-ineligible)</t>
  </si>
  <si>
    <t>Program Status</t>
  </si>
  <si>
    <t>Special Ed Exit Date</t>
  </si>
  <si>
    <t>SEExitDate</t>
  </si>
  <si>
    <t>The date the student left special education services for the current school year.</t>
  </si>
  <si>
    <t>MM/dd/YYYY OR MM/DD/YY</t>
  </si>
  <si>
    <t>Special Ed Exit Reason</t>
  </si>
  <si>
    <t>SEExitReason</t>
  </si>
  <si>
    <t>If the student left special education services, the reason that they exited.</t>
  </si>
  <si>
    <t>Program Exit Reason</t>
  </si>
  <si>
    <t>Case Manager Idaho Staff ID</t>
  </si>
  <si>
    <t>caseManager</t>
  </si>
  <si>
    <t>The Case Manager's unique Idaho Staff Identification Number. (i.e.. Sped Director, Special Education Teacher, etc.) Report the Sped Director in the case where staff is contracted.</t>
  </si>
  <si>
    <t>XXXXXXXXXX</t>
  </si>
  <si>
    <t>Notes</t>
  </si>
  <si>
    <t>notes</t>
  </si>
  <si>
    <t>Any comments or explanatory notes for the data in this record.</t>
  </si>
  <si>
    <t>optional</t>
  </si>
  <si>
    <t>Gifted</t>
  </si>
  <si>
    <t>EDUID</t>
  </si>
  <si>
    <t>The SDE assigned four-digit number associated with the school where the student receives their education, i.e. where they are served</t>
  </si>
  <si>
    <t>State Funding - not used for Edfacts</t>
  </si>
  <si>
    <t>Academically Gifted</t>
  </si>
  <si>
    <t>academicGift</t>
  </si>
  <si>
    <t>A flag indicating if the student is academically gifted.</t>
  </si>
  <si>
    <t>Creatively Gifted</t>
  </si>
  <si>
    <t>creativeGift</t>
  </si>
  <si>
    <t>A flag indicating if the student is creatively gifted.</t>
  </si>
  <si>
    <t>Intellectually Gifted</t>
  </si>
  <si>
    <t>intellectualGift</t>
  </si>
  <si>
    <t>A flag indicating if the student is intellectually gifted</t>
  </si>
  <si>
    <t>Leadership Gifted</t>
  </si>
  <si>
    <t>leadershipGift</t>
  </si>
  <si>
    <t>A flag indicating if the student is gifted in the area of leadership.</t>
  </si>
  <si>
    <t>Visual/Performing Arts Gifted</t>
  </si>
  <si>
    <t>artsGift</t>
  </si>
  <si>
    <t>A flag indicating if the student is gifted in the visual or performing arts.</t>
  </si>
  <si>
    <t>Gifted Status</t>
  </si>
  <si>
    <t>GTStatus</t>
  </si>
  <si>
    <t>The status of the student relative to gifted/talented education (active or inactive)</t>
  </si>
  <si>
    <t>Gifted Program Entry Date</t>
  </si>
  <si>
    <t>GTEntryDate</t>
  </si>
  <si>
    <t>The date the student first received services for gifted/talented students during the current school year within the enrolled District.</t>
  </si>
  <si>
    <t>GAT Identified Date</t>
  </si>
  <si>
    <t>GTIdDate</t>
  </si>
  <si>
    <t>The date the student was first identified as qualifying for gifted/talented</t>
  </si>
  <si>
    <t>Gifted Talented Exit Date</t>
  </si>
  <si>
    <t>GTExitDate</t>
  </si>
  <si>
    <t>The date the student left gifted and talented services for the current school year.</t>
  </si>
  <si>
    <t>Gifted Talented Exit Reason</t>
  </si>
  <si>
    <t>GTExitReason</t>
  </si>
  <si>
    <t>If the student left gifted and talented services during the current school year, the reason that they exited.</t>
  </si>
  <si>
    <t>Gifted Exit Reason</t>
  </si>
  <si>
    <t>Staff Demographics</t>
  </si>
  <si>
    <t>Idaho Staff ID</t>
  </si>
  <si>
    <t>idStaffId</t>
  </si>
  <si>
    <t>The staff members assigned unique Idaho identification number.</t>
  </si>
  <si>
    <t>SLDS, EDUID</t>
  </si>
  <si>
    <t xml:space="preserve">The complete legal surname/family name(s). That which may be inherited (passed) to an individual at birth, baptism, or during another naming ceremony, or through legal change. </t>
  </si>
  <si>
    <t>Certification, State funding, Validation</t>
  </si>
  <si>
    <t>An appendage, if any, used to denote an individual's generation in his family or title (e.g., Jr., Sr., III, PhD, etc.).</t>
  </si>
  <si>
    <t>Former Name(s)</t>
  </si>
  <si>
    <t>formerName</t>
  </si>
  <si>
    <t>Any names that were used in the past by the employee</t>
  </si>
  <si>
    <t xml:space="preserve">EdFacts, </t>
  </si>
  <si>
    <t>Proficient in Language other than English</t>
  </si>
  <si>
    <t>language</t>
  </si>
  <si>
    <t>If this staff member is proficient in a language other than English, the code for that language.  If the staff member is proficient in more than one other language, choose the most proficient.</t>
  </si>
  <si>
    <t>XXX</t>
  </si>
  <si>
    <t>Has Certified Assignments</t>
  </si>
  <si>
    <t>isCertified</t>
  </si>
  <si>
    <t>Is this staff member to be treated as a Certified staff member?  That is, they have certified assignments, are on a contract, and all the fields applying to certified staff must be completed.</t>
  </si>
  <si>
    <t>PSF, Career Ladder, Certification, EdFacts</t>
  </si>
  <si>
    <t>Is Paraprofessional</t>
  </si>
  <si>
    <t>isParaPro</t>
  </si>
  <si>
    <t>For paraprofessionals working with students; the type of paraprofessional; Regular or Title 1? Must have para-professional instructional assignments, is not to be treated as a certified staff member.</t>
  </si>
  <si>
    <t>Parapro Type</t>
  </si>
  <si>
    <t>Initial  Certification Year</t>
  </si>
  <si>
    <t>certificationYear</t>
  </si>
  <si>
    <t>The date teachers or administrators first received certification, regardless of state issuing the certification.  Leave blank for non-certified employees.</t>
  </si>
  <si>
    <t>YYYY</t>
  </si>
  <si>
    <t>1950</t>
  </si>
  <si>
    <t>Initial Certification State</t>
  </si>
  <si>
    <t>certificationState</t>
  </si>
  <si>
    <t>The state where the initial teaching certification was granted.</t>
  </si>
  <si>
    <t>State Province</t>
  </si>
  <si>
    <t>Highest Degree Claimed</t>
  </si>
  <si>
    <t>highestDegree</t>
  </si>
  <si>
    <t>The highest degree claimed by the employee for funding purposes.</t>
  </si>
  <si>
    <t>Education Degree</t>
  </si>
  <si>
    <t>Year of Degree Claimed</t>
  </si>
  <si>
    <t>degreeYear</t>
  </si>
  <si>
    <t>The year in which the highest degree being claimed was earned</t>
  </si>
  <si>
    <t>Institution Where Highest Claimed Degree was Obtained</t>
  </si>
  <si>
    <t>claimDegreeInst</t>
  </si>
  <si>
    <t>The name of the institution that granted the highest degree the employee has Claimed for funding purposes</t>
  </si>
  <si>
    <t>Higher Ed Institutions</t>
  </si>
  <si>
    <t>State of Institution Granting Claimed Degree</t>
  </si>
  <si>
    <t>claimDegreeState</t>
  </si>
  <si>
    <t>The two character postal code where the Institution of claimed Highest degree is based</t>
  </si>
  <si>
    <t>Major for Degree Claimed</t>
  </si>
  <si>
    <t>claimedMajor</t>
  </si>
  <si>
    <t>The Major of the highest degree claimed for funding purposes</t>
  </si>
  <si>
    <t>99.9999</t>
  </si>
  <si>
    <t>CIP Codes</t>
  </si>
  <si>
    <t>Minor of Degree Claimed</t>
  </si>
  <si>
    <t>claimedMinor</t>
  </si>
  <si>
    <t>The Minor (if any) of the highest degree claimed for funding</t>
  </si>
  <si>
    <t>Additional Credits beyond the claimed highest degree</t>
  </si>
  <si>
    <t>addlCredits</t>
  </si>
  <si>
    <t>College transcript credit earned beyond the highest degree claimed -- Not the total credits earned, but just those beyond the degree claimed for funding</t>
  </si>
  <si>
    <t>999.99</t>
  </si>
  <si>
    <t>200.00</t>
  </si>
  <si>
    <t>Additional Degree 1</t>
  </si>
  <si>
    <t>addlDegree1</t>
  </si>
  <si>
    <t>The first additional degree earned by this employee other than the one claimed for funding.  Need not be earned prior to the claimed degree.</t>
  </si>
  <si>
    <t>Year of Additional Degree 1</t>
  </si>
  <si>
    <t>degree1Year</t>
  </si>
  <si>
    <t>Year that the first additional degree was earned</t>
  </si>
  <si>
    <t>Institution Granting Additional Degree 1</t>
  </si>
  <si>
    <t>degree1Institution</t>
  </si>
  <si>
    <t>The name of the institution that granted the first additional degree</t>
  </si>
  <si>
    <t>Institution's State for Additional Degree 1</t>
  </si>
  <si>
    <t>degree1State</t>
  </si>
  <si>
    <t>The two character postal code where the Institution of the first additional degree is based</t>
  </si>
  <si>
    <t>Degree 1 Major</t>
  </si>
  <si>
    <t>degree1Major</t>
  </si>
  <si>
    <t>The major area of study for the first additional degree</t>
  </si>
  <si>
    <t>Degree 1 Minor (if any)</t>
  </si>
  <si>
    <t>degree1Minor</t>
  </si>
  <si>
    <t>the minor area of study for the first additional degree</t>
  </si>
  <si>
    <t>Additional Degree 2</t>
  </si>
  <si>
    <t>addlDegree2</t>
  </si>
  <si>
    <t>The second additional degree earned by this employee other than the one claimed for funding.  Need not be earned prior to the claimed degree.</t>
  </si>
  <si>
    <t>Year of Additional Degree 2</t>
  </si>
  <si>
    <t>degree2Year</t>
  </si>
  <si>
    <t>Year that the second additional degree was earned</t>
  </si>
  <si>
    <t>Institution Granting Additional Degree 2</t>
  </si>
  <si>
    <t>degree2Institution</t>
  </si>
  <si>
    <t>The name of the institution that granted the second additional degree</t>
  </si>
  <si>
    <t>Institution's State for Additional Degree 2</t>
  </si>
  <si>
    <t>degree2State</t>
  </si>
  <si>
    <t>The two character postal code where the Institution of the second additional degree is based</t>
  </si>
  <si>
    <t>Degree 2 Major</t>
  </si>
  <si>
    <t>degree2Major</t>
  </si>
  <si>
    <t>The major area of study for the second additional degree</t>
  </si>
  <si>
    <t>Degree 2 Minor</t>
  </si>
  <si>
    <t>degree2Minor</t>
  </si>
  <si>
    <t>the minor area of study for the second additional degree</t>
  </si>
  <si>
    <t>Additional Degree 3</t>
  </si>
  <si>
    <t>addlDegree3</t>
  </si>
  <si>
    <t>The third additional degree earned by this employee other than the one claimed for funding.  Need not be earned prior to the claimed degree.</t>
  </si>
  <si>
    <t>Year of Additional Degree 3</t>
  </si>
  <si>
    <t>degree3Year</t>
  </si>
  <si>
    <t>Year that the third additional degree was earned</t>
  </si>
  <si>
    <t>Institution Granting Additional Degree 3</t>
  </si>
  <si>
    <t>degree3Institution</t>
  </si>
  <si>
    <t>The name of the institution that granted the third additional degree</t>
  </si>
  <si>
    <t>Institution's State for Additional Degree 3</t>
  </si>
  <si>
    <t>degree3State</t>
  </si>
  <si>
    <t>The two character postal code where the Institution of the third additional degree is based</t>
  </si>
  <si>
    <t>Degree 3 Major</t>
  </si>
  <si>
    <t>degree3Major</t>
  </si>
  <si>
    <t>The major area of study for the third additional degree</t>
  </si>
  <si>
    <t>Degree 3 Minor</t>
  </si>
  <si>
    <t>degree3Minor</t>
  </si>
  <si>
    <t>the minor area of study for the third additional degree</t>
  </si>
  <si>
    <t>Additional Degree 4</t>
  </si>
  <si>
    <t>addlDegree4</t>
  </si>
  <si>
    <t>The fourth additional degree earned by this employee other than the one claimed for funding.  Need not be earned prior to the claimed degree.</t>
  </si>
  <si>
    <t>Year of Additional Degree 4</t>
  </si>
  <si>
    <t>degree4Year</t>
  </si>
  <si>
    <t>Year that the fourth additional degree was earned</t>
  </si>
  <si>
    <t>Institution Granting Additional Degree 4</t>
  </si>
  <si>
    <t>degree4Institution</t>
  </si>
  <si>
    <t>The name of the institution that granted the fourth additional degree</t>
  </si>
  <si>
    <t>Institution's State for Additional Degree 4</t>
  </si>
  <si>
    <t>degree4State</t>
  </si>
  <si>
    <t>The two character postal code where the Institution of the fourth additional degree is based</t>
  </si>
  <si>
    <t>Degree 4 Major</t>
  </si>
  <si>
    <t>degree4Major</t>
  </si>
  <si>
    <t>The major area of study for the fourth additional degree</t>
  </si>
  <si>
    <t>50</t>
  </si>
  <si>
    <t>Degree 4 Minor</t>
  </si>
  <si>
    <t>degree4Minor</t>
  </si>
  <si>
    <t>the minor area of study for the fourth additional degree</t>
  </si>
  <si>
    <t>51</t>
  </si>
  <si>
    <t>Non cert Minimum Credits Date</t>
  </si>
  <si>
    <t>minCreditsDate</t>
  </si>
  <si>
    <t>For non-certified paraprofessional instructional assistants, the date they met the NCLB minimum college credits threshold.</t>
  </si>
  <si>
    <t>52</t>
  </si>
  <si>
    <t>Minimum Credits Institution</t>
  </si>
  <si>
    <t>minCreditsIHE</t>
  </si>
  <si>
    <t>For non-certified paraprofessional instructional assistants, the institution granting the credits</t>
  </si>
  <si>
    <t>53</t>
  </si>
  <si>
    <t>Minimum Credits Institution State</t>
  </si>
  <si>
    <t>minCreditsIHEState</t>
  </si>
  <si>
    <t>For non-certified paraprofessional instructional assistants, the state where the institution that granted the credit is based</t>
  </si>
  <si>
    <t>54</t>
  </si>
  <si>
    <t>Parapro High School Diploma Type</t>
  </si>
  <si>
    <t>paraHSDiplomaType</t>
  </si>
  <si>
    <t>For non-certified paraprofessional instructional assistants, Did they receive a regular High school diploma or a GED (or equivalent)</t>
  </si>
  <si>
    <t>Parapro High School Degree</t>
  </si>
  <si>
    <t>PSF, ESEA/ESSA</t>
  </si>
  <si>
    <t>55</t>
  </si>
  <si>
    <t>ParaPro Exam Date</t>
  </si>
  <si>
    <t>paraExamDate</t>
  </si>
  <si>
    <t>For non-certified paraprofessional instructional assistants, the date they passed the ETS Paraprofessional Exam</t>
  </si>
  <si>
    <t>56</t>
  </si>
  <si>
    <t>ParaPro Exam Score</t>
  </si>
  <si>
    <t>paraExamScore</t>
  </si>
  <si>
    <t>For non-certified paraprofessional instructional assistants, the score from the ETS paraprofessional Exam</t>
  </si>
  <si>
    <t>57</t>
  </si>
  <si>
    <t>Is ParaPro Praxis</t>
  </si>
  <si>
    <t>paraPraxis</t>
  </si>
  <si>
    <t>For non-certified paraprofessional instructional assistants, A flag indicating if they took the Praxis or ETS Paraprofessional Exam</t>
  </si>
  <si>
    <t>58</t>
  </si>
  <si>
    <t>Is ParaPro Out of State</t>
  </si>
  <si>
    <t>paraExamOS</t>
  </si>
  <si>
    <t>For non-certified paraprofessional instructional assistants, a flag indicating if the ETS paraprofessional exam was taken in another state</t>
  </si>
  <si>
    <t>59</t>
  </si>
  <si>
    <t>The SDE assigned four-digit number associated with the school where the employee has their primary responsibility or where they receive their mail.</t>
  </si>
  <si>
    <t>60</t>
  </si>
  <si>
    <t>Transcript Year</t>
  </si>
  <si>
    <t>transcriptYear</t>
  </si>
  <si>
    <t>The most recent year the staff member received college transcript credits.</t>
  </si>
  <si>
    <t>PSF, Career Ladder, Certification</t>
  </si>
  <si>
    <t>61</t>
  </si>
  <si>
    <t>Prior Idaho Teaching Experience</t>
  </si>
  <si>
    <t>idahoK12Experience</t>
  </si>
  <si>
    <t>The total accumulated number of completed years of certificated public school educational experience (K-12) in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</si>
  <si>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PSF, Career Ladder</t>
  </si>
  <si>
    <t>62</t>
  </si>
  <si>
    <t>Prior Public Teaching Experience</t>
  </si>
  <si>
    <t>k12PublicExperience</t>
  </si>
  <si>
    <t>The total accumulated number of completed years of certificated public school educational experience (K-12) in another state (excluding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</si>
  <si>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63</t>
  </si>
  <si>
    <t>Prior Private/Parochial Teaching Experience</t>
  </si>
  <si>
    <t>k12PrivateExperience</t>
  </si>
  <si>
    <t>The total accumulated number of completed years of certificated non-public educational experience (K-12) at an accredited non-public school. 
• Must be 50% or more in a certificated position.
• Each year is considered on its own; partial years cannot be combined.
• A certificated employee new to the profession always begins with zero years of experience. 
• Leave blank for non-certified staff</t>
  </si>
  <si>
    <t>64</t>
  </si>
  <si>
    <t>Prior Idaho Higher Ed Teaching Experience</t>
  </si>
  <si>
    <t>idahoHEExperience</t>
  </si>
  <si>
    <t>The total accumulated number of completed years of experience with an Idaho accredited college or university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</si>
  <si>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65</t>
  </si>
  <si>
    <t>Prior Higher Ed Teaching Experience - other states</t>
  </si>
  <si>
    <t>HEExperience</t>
  </si>
  <si>
    <t>The total accumulated number of completed years of experience with an accredited college or university in another state (excluding Idaho)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</si>
  <si>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66</t>
  </si>
  <si>
    <t>Employment Date</t>
  </si>
  <si>
    <t>hireDate</t>
  </si>
  <si>
    <t>The month, day, and year the employee began current, continuous employment with the district/charter. If a non-certificated employee is being added as a certificated employee, use the date of certificated employment.</t>
  </si>
  <si>
    <t>67</t>
  </si>
  <si>
    <t>Years in District</t>
  </si>
  <si>
    <t>yearsInDistrict</t>
  </si>
  <si>
    <t>For certified and/or administrative staff, the number of years working on contract.  Count starts with one. Includes the current year.</t>
  </si>
  <si>
    <t>68</t>
  </si>
  <si>
    <t>Employment Status</t>
  </si>
  <si>
    <t>employmentStatus</t>
  </si>
  <si>
    <t>The employee's employment status</t>
  </si>
  <si>
    <t>PSF, Career Ladder, Certification, EDFacts</t>
  </si>
  <si>
    <t>69</t>
  </si>
  <si>
    <t>Contract 1 Type</t>
  </si>
  <si>
    <t>contractType1</t>
  </si>
  <si>
    <t>For certified staff, the type of contract that was actually signed for the current school year.</t>
  </si>
  <si>
    <t>Contract Type</t>
  </si>
  <si>
    <t>70</t>
  </si>
  <si>
    <t>Contract 1 Base Salary</t>
  </si>
  <si>
    <t>baseSalary1</t>
  </si>
  <si>
    <t>For certified staff, the base salary on the Contract rounded to the nearest dollar.</t>
  </si>
  <si>
    <t>71</t>
  </si>
  <si>
    <t>Contract 1 Days</t>
  </si>
  <si>
    <t>contractDays1</t>
  </si>
  <si>
    <t>For certified staff, The annual number of days based on a five day work week contracted in contract 1.</t>
  </si>
  <si>
    <t>261</t>
  </si>
  <si>
    <t>72</t>
  </si>
  <si>
    <t>Contract 1 Hours</t>
  </si>
  <si>
    <t>contractHours1</t>
  </si>
  <si>
    <t>For certified staff, the total annual  hours contracted in contract 1 for the year.</t>
  </si>
  <si>
    <t>2080</t>
  </si>
  <si>
    <t>73</t>
  </si>
  <si>
    <t>Contract 1 FTE</t>
  </si>
  <si>
    <t>contractFTE1</t>
  </si>
  <si>
    <t>The full-time equivalent for contract 1.  FTE is calculated by dividing the amount of time employed by the time normally required for a full-time position.</t>
  </si>
  <si>
    <t>1.00</t>
  </si>
  <si>
    <t>Staff Demographic match</t>
  </si>
  <si>
    <t>74</t>
  </si>
  <si>
    <t>Contract 1 Funding Code 1</t>
  </si>
  <si>
    <t>c1FundSource1</t>
  </si>
  <si>
    <t>The code for how the employee is funded - source 1</t>
  </si>
  <si>
    <t>Funding Source</t>
  </si>
  <si>
    <t>75</t>
  </si>
  <si>
    <t>Contract 1 Percent Source 1</t>
  </si>
  <si>
    <t>c1PercentSource1</t>
  </si>
  <si>
    <t>The percentage of funding from source 1</t>
  </si>
  <si>
    <t>100.00</t>
  </si>
  <si>
    <t>76</t>
  </si>
  <si>
    <t>Contract 1 Funding Code 2</t>
  </si>
  <si>
    <t>c1FundSource2</t>
  </si>
  <si>
    <t>The code for how the employee is funded - source 2 - if any</t>
  </si>
  <si>
    <t>77</t>
  </si>
  <si>
    <t>Contract 1 Percent Source 2</t>
  </si>
  <si>
    <t>c1PercentSource2</t>
  </si>
  <si>
    <t>The percentage of funding from source 2</t>
  </si>
  <si>
    <t>78</t>
  </si>
  <si>
    <t>Contract 1 Funding Code 3</t>
  </si>
  <si>
    <t>c1FundSource3</t>
  </si>
  <si>
    <t>The code for how the employee is funded - source 3 - if any</t>
  </si>
  <si>
    <t>79</t>
  </si>
  <si>
    <t>Contract 1 Percent Source 3</t>
  </si>
  <si>
    <t>c1PercentSource3</t>
  </si>
  <si>
    <t>The percentage of funding from source 3</t>
  </si>
  <si>
    <t>80</t>
  </si>
  <si>
    <t>Contract 1 Funding Code 4</t>
  </si>
  <si>
    <t>c1FundSource4</t>
  </si>
  <si>
    <t>The code for how the employee is funded - source 4 - if any</t>
  </si>
  <si>
    <t>81</t>
  </si>
  <si>
    <t>Contract 1 Percent Source 4</t>
  </si>
  <si>
    <t>c1PercentSource4</t>
  </si>
  <si>
    <t>The percentage of funding from source 4</t>
  </si>
  <si>
    <t>82</t>
  </si>
  <si>
    <t>Contract 2 Type</t>
  </si>
  <si>
    <t>contractType2</t>
  </si>
  <si>
    <t>For certified staff, the type of additional contract  that was actually signed for the current school year. Must have contract 1 data to use contract 2.</t>
  </si>
  <si>
    <t>83</t>
  </si>
  <si>
    <t>Contract 2 Base Salary</t>
  </si>
  <si>
    <t>baseSalary2</t>
  </si>
  <si>
    <t>The base salary on contract 2, if any, rounded to the nearest dollar.</t>
  </si>
  <si>
    <t>84</t>
  </si>
  <si>
    <t>Contract 2 Days</t>
  </si>
  <si>
    <t>contractDays2</t>
  </si>
  <si>
    <t>For certified staff, the annual number of days if any, based on a five day work week contracted on contract 2.</t>
  </si>
  <si>
    <t>85</t>
  </si>
  <si>
    <t>Contract 2 Hours</t>
  </si>
  <si>
    <t>contractHours2</t>
  </si>
  <si>
    <t>For certified staff, the total annual hours contracted in contract 2, if any, for the year.</t>
  </si>
  <si>
    <t>86</t>
  </si>
  <si>
    <t>Contract 2 FTE</t>
  </si>
  <si>
    <t>contractFTE2</t>
  </si>
  <si>
    <t>The full time equivalent for contract 2.  The FTE is calculated by dividing the amount of time employed by the time normally required for a full-time position.</t>
  </si>
  <si>
    <t>87</t>
  </si>
  <si>
    <t>Contract 2 Funding Code 1</t>
  </si>
  <si>
    <t>c2FundSource1</t>
  </si>
  <si>
    <t>88</t>
  </si>
  <si>
    <t>Contract 2 Percent Source 1</t>
  </si>
  <si>
    <t>c2PercentSource1</t>
  </si>
  <si>
    <t>89</t>
  </si>
  <si>
    <t>Contract 2 Funding Code 2</t>
  </si>
  <si>
    <t>c2FundSource2</t>
  </si>
  <si>
    <t>90</t>
  </si>
  <si>
    <t>Contract 2 Percent Source 2</t>
  </si>
  <si>
    <t>c2PercentSource2</t>
  </si>
  <si>
    <t>91</t>
  </si>
  <si>
    <t>Contract 2 Funding Code 3</t>
  </si>
  <si>
    <t>c2FundSource3</t>
  </si>
  <si>
    <t>92</t>
  </si>
  <si>
    <t>Contract 2 Percent Source 3</t>
  </si>
  <si>
    <t>c2PercentSource3</t>
  </si>
  <si>
    <t>93</t>
  </si>
  <si>
    <t>Contract 2 Funding Code 4</t>
  </si>
  <si>
    <t>c2FundSource4</t>
  </si>
  <si>
    <t>94</t>
  </si>
  <si>
    <t>Contract 2 Percent Source 4</t>
  </si>
  <si>
    <t>c2PercentSource4</t>
  </si>
  <si>
    <t>95</t>
  </si>
  <si>
    <t>Contract 3 Type</t>
  </si>
  <si>
    <t>contractType3</t>
  </si>
  <si>
    <t>For certified staff, the type of second additional contract that was actually signed for the current school year. Must have contract 2 data to use contract 3.</t>
  </si>
  <si>
    <t>96</t>
  </si>
  <si>
    <t>Contract 3 Base Salary</t>
  </si>
  <si>
    <t>baseSalary3</t>
  </si>
  <si>
    <t>The base salary on contract 3, if any, rounded to the nearest dollar.</t>
  </si>
  <si>
    <t>97</t>
  </si>
  <si>
    <t>Contract 3 Days</t>
  </si>
  <si>
    <t>contractDays3</t>
  </si>
  <si>
    <t>For certified staff, the annual number of days if any, based on a five day work week contracted on contract 3.</t>
  </si>
  <si>
    <t>98</t>
  </si>
  <si>
    <t>Contract 3 Hours</t>
  </si>
  <si>
    <t>contractHours3</t>
  </si>
  <si>
    <t>For certified staff, the total annual hours contracted in contract 3, if any, for the year.</t>
  </si>
  <si>
    <t>Contract 3 FTE</t>
  </si>
  <si>
    <t>contractFTE3</t>
  </si>
  <si>
    <t>The full time equivalent for contract 3.  The FTE is calculated by dividing the amount of time employed by the time normally required for a full-time position.</t>
  </si>
  <si>
    <t>100</t>
  </si>
  <si>
    <t>Contract 3 Funding Code 1</t>
  </si>
  <si>
    <t>c3FundSource1</t>
  </si>
  <si>
    <t>101</t>
  </si>
  <si>
    <t>Contract 3 Percent Source 1</t>
  </si>
  <si>
    <t>c3PercentSource1</t>
  </si>
  <si>
    <t>102</t>
  </si>
  <si>
    <t>Contract 3 Funding Code 2</t>
  </si>
  <si>
    <t>c3FundSource2</t>
  </si>
  <si>
    <t>103</t>
  </si>
  <si>
    <t>Contract 3 Percent Source 2</t>
  </si>
  <si>
    <t>c3PercentSource2</t>
  </si>
  <si>
    <t>104</t>
  </si>
  <si>
    <t>Contract 3 Funding Code 3</t>
  </si>
  <si>
    <t>c3FundSource3</t>
  </si>
  <si>
    <t>105</t>
  </si>
  <si>
    <t>Contract 3 Percent Source 3</t>
  </si>
  <si>
    <t>c3PercentSource3</t>
  </si>
  <si>
    <t>106</t>
  </si>
  <si>
    <t>Contract 3 Funding Code 4</t>
  </si>
  <si>
    <t>c3FundSource4</t>
  </si>
  <si>
    <t>107</t>
  </si>
  <si>
    <t>Contract 3 Percent Source 4</t>
  </si>
  <si>
    <t>c3PercentSource4</t>
  </si>
  <si>
    <t>108</t>
  </si>
  <si>
    <t>Extra Pay 1 Code</t>
  </si>
  <si>
    <t>extraPay1</t>
  </si>
  <si>
    <t>For certified and/or administrative staff, the code for the  special or supplemental duties performed which are not in the base pay.</t>
  </si>
  <si>
    <t>Extra Pay Type</t>
  </si>
  <si>
    <t>109</t>
  </si>
  <si>
    <t>Extra Pay 1 Amount</t>
  </si>
  <si>
    <t>extraPayAmount1</t>
  </si>
  <si>
    <t>The amount of extra pay received rounded to the nearest dollar.</t>
  </si>
  <si>
    <t>110</t>
  </si>
  <si>
    <t>Extra Pay 2 Code</t>
  </si>
  <si>
    <t>extraPay2</t>
  </si>
  <si>
    <t>111</t>
  </si>
  <si>
    <t>Extra Pay 2 Amount</t>
  </si>
  <si>
    <t>extraPayAmount2</t>
  </si>
  <si>
    <t>112</t>
  </si>
  <si>
    <t>Extra Pay 3 Code</t>
  </si>
  <si>
    <t>extraPay3</t>
  </si>
  <si>
    <t>113</t>
  </si>
  <si>
    <t>Extra Pay 3 Amount</t>
  </si>
  <si>
    <t>extraPayAmount3</t>
  </si>
  <si>
    <t>114</t>
  </si>
  <si>
    <t>Extra Pay 4 Code</t>
  </si>
  <si>
    <t>extraPay4</t>
  </si>
  <si>
    <t>115</t>
  </si>
  <si>
    <t>Extra Pay 4 Amount</t>
  </si>
  <si>
    <t>extraPayAmount4</t>
  </si>
  <si>
    <t>116</t>
  </si>
  <si>
    <t>Non Certified Funding Code 1</t>
  </si>
  <si>
    <t>ncFundSource1</t>
  </si>
  <si>
    <t>The code for how this non-certified assignment is funded - source 1</t>
  </si>
  <si>
    <t>PSF, ESEA</t>
  </si>
  <si>
    <t>117</t>
  </si>
  <si>
    <t>Non Certified Percent Source 1</t>
  </si>
  <si>
    <t>ncPercentSource1</t>
  </si>
  <si>
    <t>118</t>
  </si>
  <si>
    <t>Non Certified Funding Code 2</t>
  </si>
  <si>
    <t>ncFundSource2</t>
  </si>
  <si>
    <t>The code for how this non-certified assignment is funded - source 2 - if any</t>
  </si>
  <si>
    <t>119</t>
  </si>
  <si>
    <t>Non Certified Percent Source 2</t>
  </si>
  <si>
    <t>ncPercentSource2</t>
  </si>
  <si>
    <t>120</t>
  </si>
  <si>
    <t>Non Certified Funding Code 3</t>
  </si>
  <si>
    <t>ncFundSource3</t>
  </si>
  <si>
    <t>The code for how this non-certified assignment is funded - source 3 - if any</t>
  </si>
  <si>
    <t>121</t>
  </si>
  <si>
    <t>Non Certified Percent Source 3</t>
  </si>
  <si>
    <t>ncPercentSource3</t>
  </si>
  <si>
    <t>122</t>
  </si>
  <si>
    <t>Non Certified Funding Code 4</t>
  </si>
  <si>
    <t>ncFundSource4</t>
  </si>
  <si>
    <t>The code for how this non-certified assignment is funded - source 4 - if any</t>
  </si>
  <si>
    <t>123</t>
  </si>
  <si>
    <t>Non Certified Percent Source 4</t>
  </si>
  <si>
    <t>ncPercentSource4</t>
  </si>
  <si>
    <t>124</t>
  </si>
  <si>
    <t>Inactive/Termination Date</t>
  </si>
  <si>
    <t>terminationDate</t>
  </si>
  <si>
    <t>The month, day, and year that the employee became or will become inactive or terminated.</t>
  </si>
  <si>
    <t>125</t>
  </si>
  <si>
    <t>Inactive/Termination Reason Code</t>
  </si>
  <si>
    <t>terminationReason</t>
  </si>
  <si>
    <t>The reason an employee became or will become inactive</t>
  </si>
  <si>
    <t>Staff Exit Reason</t>
  </si>
  <si>
    <t>126</t>
  </si>
  <si>
    <t>The SDE assigned four-digit number associated with the school where the assignment is held.</t>
  </si>
  <si>
    <t>Contract Number</t>
  </si>
  <si>
    <t>contractNo</t>
  </si>
  <si>
    <t>The contract (1, 2 or 3) associated with this assignment.</t>
  </si>
  <si>
    <t>Assignment Code</t>
  </si>
  <si>
    <t>assignment</t>
  </si>
  <si>
    <t xml:space="preserve">The Idaho state assignment code that best outlines the particular assignment.  This code should be the same code used when matching instructional staff records between Staff Assignments, Student Course Enrollments and Master Course Schedule files.  </t>
  </si>
  <si>
    <t>Staff Assignment Code</t>
  </si>
  <si>
    <t>Teaching Role</t>
  </si>
  <si>
    <t>teachingRole</t>
  </si>
  <si>
    <t>For Teachers, the primary role they play in the classroom</t>
  </si>
  <si>
    <t>FTE</t>
  </si>
  <si>
    <t>The amount of time required to perform this specific assignment stated as a proportion of a full-time equivalent position.</t>
  </si>
  <si>
    <t>9.999</t>
  </si>
  <si>
    <t>1.999</t>
  </si>
  <si>
    <t>Non-certified Rate</t>
  </si>
  <si>
    <t>noncertRate</t>
  </si>
  <si>
    <t>The employee's rate of pay per hour.</t>
  </si>
  <si>
    <t>Non-certified Hours per week</t>
  </si>
  <si>
    <t>noncertHours</t>
  </si>
  <si>
    <t>Enter the number of hours (rounded to the nearest half hour that the employee works each week; a 40-hour, 14 minute week would be reported as 40.0 while a 40-hour, 15 minute week would be reported as 40.5.</t>
  </si>
  <si>
    <t>99.5</t>
  </si>
  <si>
    <t>Non-certified Weeks</t>
  </si>
  <si>
    <t>noncertWeeks</t>
  </si>
  <si>
    <t>Enter the number of weeks that the employee is scheduled to work during the fiscal year (rounded to the nearest whole week)</t>
  </si>
  <si>
    <t>Assignment Start Date</t>
  </si>
  <si>
    <t>startDate</t>
  </si>
  <si>
    <t>The date this assignment starts.</t>
  </si>
  <si>
    <t>Assignment End Date</t>
  </si>
  <si>
    <t>endDate</t>
  </si>
  <si>
    <t>The date this assignment ends.</t>
  </si>
  <si>
    <t>Discipline Action File</t>
  </si>
  <si>
    <t>Incident Identifier</t>
  </si>
  <si>
    <t>incidentId</t>
  </si>
  <si>
    <t>A local (school or district) assigned unique identifier for each particular incident.  NOTE:  if multiple students are involved in a single incident that results in discipline for more than one student, the incident ID would be the same for all students involved in the incident while the actionId would be different for each student.</t>
  </si>
  <si>
    <t>Action Date</t>
  </si>
  <si>
    <t>actionDate</t>
  </si>
  <si>
    <t>Date the Disciplinary action was imposed</t>
  </si>
  <si>
    <t>Unique Action ID</t>
  </si>
  <si>
    <t>actionId</t>
  </si>
  <si>
    <t>A local (school or the district) assigned unique identifier (within the school or the district) to identify each specific disciplinary action for this student.</t>
  </si>
  <si>
    <t>Primary Action Type Code</t>
  </si>
  <si>
    <t>primaryAction</t>
  </si>
  <si>
    <t xml:space="preserve">The type of disciplinary action taken.  Only the actions ISS, OSS, URI, RHO, EXP, PLT or EXM  with duration of at least 1/2 day are required to be reported, unless the juvenile justice or law enforcement was involved. </t>
  </si>
  <si>
    <t>Disciplinary Action Type</t>
  </si>
  <si>
    <t>Original Duration</t>
  </si>
  <si>
    <t>origDuration</t>
  </si>
  <si>
    <t>The original length in school days, rounded to the nearest half day, of the disciplinary action.  Only actions of at least 1/2 day are required to be reported, unless juvenile justice was involved.</t>
  </si>
  <si>
    <t>Reporting District ID</t>
  </si>
  <si>
    <t>reportingDistrictId</t>
  </si>
  <si>
    <t>The SDE assigned district number in the Idaho Education Directory for the district that provides the educational services to the student and that is imposing the disciplinary action.</t>
  </si>
  <si>
    <t>Districts</t>
  </si>
  <si>
    <t>Responsible District ID</t>
  </si>
  <si>
    <t>responsibleDistrictId</t>
  </si>
  <si>
    <t>For students with an IEP, the SDE assigned district number for the district responsible for the IEP</t>
  </si>
  <si>
    <t>Reporting School ID</t>
  </si>
  <si>
    <t>The SDE assigned four-digit number associated with the school providing educational services to the student</t>
  </si>
  <si>
    <t>Student has IEP</t>
  </si>
  <si>
    <t>IEP</t>
  </si>
  <si>
    <t>Does the student have an active IEP under IDEA at the time of the disciplinary action</t>
  </si>
  <si>
    <t>Interim Removal Reason</t>
  </si>
  <si>
    <t>interimReason</t>
  </si>
  <si>
    <t>The reason children with disabilities were unilaterally removed to an interim alternative education setting.  Required when action is URI or RHO.</t>
  </si>
  <si>
    <t>IDEA Interim Removal Reason</t>
  </si>
  <si>
    <t>Weapon Involved</t>
  </si>
  <si>
    <t>weapon</t>
  </si>
  <si>
    <t>A flag indicating if an incident triggering this disciplinary action involved a weapon</t>
  </si>
  <si>
    <t>Weapon Type</t>
  </si>
  <si>
    <t>weaponType</t>
  </si>
  <si>
    <t>If a weapon was involved, the code for the type of weapon</t>
  </si>
  <si>
    <t>Justice System Involved</t>
  </si>
  <si>
    <t>justiceSystem</t>
  </si>
  <si>
    <t>A flag indicating if juvenile justice or law enforcement was involved.  Does not include referral to a school resource officer, if the referral goes no further.</t>
  </si>
  <si>
    <t>Modified Duration</t>
  </si>
  <si>
    <t>modDuration</t>
  </si>
  <si>
    <t>If the originally imposed duration was modified, the final modified duration imposed.</t>
  </si>
  <si>
    <t>Modified Duration Reason</t>
  </si>
  <si>
    <t>modDurationReason</t>
  </si>
  <si>
    <t>If the originally imposed duration was modified, the reason the duration was modified.</t>
  </si>
  <si>
    <t>Related to Zero Tolerance Policy</t>
  </si>
  <si>
    <t>zeroTolerance</t>
  </si>
  <si>
    <t>An indication of whether or not the action taken was imposed as a consequence of state or local zero tolerance policies</t>
  </si>
  <si>
    <t>Educational Services After Removal</t>
  </si>
  <si>
    <t>services</t>
  </si>
  <si>
    <t>A flag indicating if educational services were provided while the student was removed from his/her regular setting for disciplinary reasons.</t>
  </si>
  <si>
    <t>Contacts</t>
  </si>
  <si>
    <t>Idaho District Identifier</t>
  </si>
  <si>
    <t>districtId</t>
  </si>
  <si>
    <t>The Idaho assigned district identifier.</t>
  </si>
  <si>
    <t>NNN</t>
  </si>
  <si>
    <t>The SDE assigned four-digit number associated with the school for which this role applies.  District level roles should be assigned to the district main administration building identifier.</t>
  </si>
  <si>
    <t>NNNN</t>
  </si>
  <si>
    <t>Role Code</t>
  </si>
  <si>
    <t>roleCode</t>
  </si>
  <si>
    <t>The role code associated with the program for which a designated person needs to receive communication.</t>
  </si>
  <si>
    <t>Program Contact Role</t>
  </si>
  <si>
    <t>Role Title</t>
  </si>
  <si>
    <t>roleTitle</t>
  </si>
  <si>
    <t xml:space="preserve">A role title for the "OTH" (Other) role code. If roleCode = OTH then this field is required to describe the persons role. Do not use this field if their title is one of the available option sets for roleCode. </t>
  </si>
  <si>
    <t>Primary Contact</t>
  </si>
  <si>
    <t>isPrimaryContact</t>
  </si>
  <si>
    <t>A flag indicating if this person is the primary contact for the role.</t>
  </si>
  <si>
    <t>Idaho Staff Contact Educational Identifier</t>
  </si>
  <si>
    <t>The staff members last name.  Must match with the EDUID system</t>
  </si>
  <si>
    <t>The staff member's first name.  Must match with the EDUID system</t>
  </si>
  <si>
    <t>Primary Job Title</t>
  </si>
  <si>
    <t>jobTitle</t>
  </si>
  <si>
    <t>The staff member's primary job title.</t>
  </si>
  <si>
    <t>Primary Email</t>
  </si>
  <si>
    <t>roleEmail</t>
  </si>
  <si>
    <t>The primary email address to use to contact this staff member about this program role.</t>
  </si>
  <si>
    <t>Contact Building or School ID</t>
  </si>
  <si>
    <t>contactSchoolId</t>
  </si>
  <si>
    <t>If this person is based out of a centralized alternative location in the school district, the SDE assigned four-digit number associated with the school for that location.  This is the preferred location for contacting this individual.</t>
  </si>
  <si>
    <t>Primary Phone</t>
  </si>
  <si>
    <t>phone1</t>
  </si>
  <si>
    <t>An optional primary phone number to use to contact this individual about this role.  If not provided, the phone for the contact building or school will be used, or the role building's phone number</t>
  </si>
  <si>
    <t>NNNNNNNNNN</t>
  </si>
  <si>
    <t>Primary Phone Extension</t>
  </si>
  <si>
    <t>phone1Extension</t>
  </si>
  <si>
    <t>An optional extension for the primary phone</t>
  </si>
  <si>
    <t>NNNNN</t>
  </si>
  <si>
    <t>Primary Phone Type</t>
  </si>
  <si>
    <t>phone1Type</t>
  </si>
  <si>
    <t>The type of phone for the primary phone. (i.e. c -cell, a-administrative assistant, etc.)</t>
  </si>
  <si>
    <t>Phone Type</t>
  </si>
  <si>
    <t>Secondary Phone</t>
  </si>
  <si>
    <t>phone2</t>
  </si>
  <si>
    <t>An optional secondary phone number to use  in attempts to contact this person in relation to this role.  Must be blank if primary phone is blank.</t>
  </si>
  <si>
    <t>Secondary Phone Extension</t>
  </si>
  <si>
    <t>phone2Extension</t>
  </si>
  <si>
    <t>An optional extension for the secondary phone</t>
  </si>
  <si>
    <t>Secondary Phone Type</t>
  </si>
  <si>
    <t>phone2Type</t>
  </si>
  <si>
    <t>The type of phone for the secondary phone. (i.e. c -cell, a-administrative assistant, etc.)</t>
  </si>
  <si>
    <t>Alternate Address Line 1</t>
  </si>
  <si>
    <t>altAddressLine1</t>
  </si>
  <si>
    <t>The first line of an alternate address to use when mailing information about this role to this individual.  If left blank, the address of the contact school will be used.  If both are blank then the mailing address of the role school will be used.</t>
  </si>
  <si>
    <t>Alternate Address Line 2</t>
  </si>
  <si>
    <t>altAddressLine2</t>
  </si>
  <si>
    <t>Alternate City</t>
  </si>
  <si>
    <t>altCity</t>
  </si>
  <si>
    <t>The city for the alternate mailing address</t>
  </si>
  <si>
    <t>Alternate State Code</t>
  </si>
  <si>
    <t>altStateCode</t>
  </si>
  <si>
    <t>The state postal code for the alternate mailing address.</t>
  </si>
  <si>
    <t>Alternate Zip Code</t>
  </si>
  <si>
    <t>altZipCode</t>
  </si>
  <si>
    <t>The five or nine digit zip code for the alternate mailing address.</t>
  </si>
  <si>
    <t>School Finance</t>
  </si>
  <si>
    <t>Record Type</t>
  </si>
  <si>
    <t>recType</t>
  </si>
  <si>
    <t>The indicator of the type of record being reported. (bal, rev, exp)</t>
  </si>
  <si>
    <t>CHAR</t>
  </si>
  <si>
    <t>AAA</t>
  </si>
  <si>
    <t>District Identification Code</t>
  </si>
  <si>
    <t>The SDE assigned three-digit number associated with the LEA.</t>
  </si>
  <si>
    <t>INT</t>
  </si>
  <si>
    <t>If recType = exp, then required.</t>
  </si>
  <si>
    <t>Location Identification Code</t>
  </si>
  <si>
    <t>locationCode</t>
  </si>
  <si>
    <t>The local three-digit code often used by the LEA to identify a particular building for reporting expenditures.</t>
  </si>
  <si>
    <t>If recType &lt;&gt; exp, then blank.</t>
  </si>
  <si>
    <t>Fund Number</t>
  </si>
  <si>
    <t>fundNumber</t>
  </si>
  <si>
    <r>
      <t xml:space="preserve">The predefined </t>
    </r>
    <r>
      <rPr>
        <i/>
        <sz val="10"/>
        <rFont val="MS Reference Sans Serif"/>
        <family val="2"/>
      </rPr>
      <t>Fund Number,</t>
    </r>
    <r>
      <rPr>
        <sz val="10"/>
        <rFont val="MS Reference Sans Serif"/>
        <family val="2"/>
      </rPr>
      <t xml:space="preserve"> accounting entity with a self-balancing set of accounts that includes all cash and other financial resources, together with all related liabilities and residual equities, which are segregated for the purpose of carrying on a specific activity or attaining certain objectives in accordance with special regulations, restrictions, or limitations.</t>
    </r>
  </si>
  <si>
    <t>Fund number</t>
  </si>
  <si>
    <t>Account Code</t>
  </si>
  <si>
    <t>accountCode</t>
  </si>
  <si>
    <r>
      <t xml:space="preserve">The predefined </t>
    </r>
    <r>
      <rPr>
        <i/>
        <sz val="10"/>
        <rFont val="MS Reference Sans Serif"/>
        <family val="2"/>
      </rPr>
      <t xml:space="preserve">Revenue or Balance Sheet Code used for; (a) </t>
    </r>
    <r>
      <rPr>
        <sz val="10"/>
        <rFont val="MS Reference Sans Serif"/>
        <family val="2"/>
      </rPr>
      <t>recording Revenues and other receivables by source; and/or (b) tracking financial transactions for each Balance Sheet fund. 
Revenue codes are additions to assets of a school which do not increase a liability, do not represent the recovery of an expenditure and do not represent the cancellation of a certain liability without a corresponding increase in other liabilities or a decrease in assets.  
Balance sheet account codes only report assets, deferred outflows of resources, liabilities, deferred inflows of resources, and equity accounts and are considered “snapshots” of how these accounts stand as of a certain point in time.</t>
    </r>
  </si>
  <si>
    <t>If recType &lt;&gt; exp, then required.</t>
  </si>
  <si>
    <t>Function Code</t>
  </si>
  <si>
    <t>functionCode</t>
  </si>
  <si>
    <r>
      <t xml:space="preserve">The predefined </t>
    </r>
    <r>
      <rPr>
        <i/>
        <sz val="10"/>
        <rFont val="MS Reference Sans Serif"/>
        <family val="2"/>
      </rPr>
      <t>Function Code</t>
    </r>
    <r>
      <rPr>
        <sz val="10"/>
        <rFont val="MS Reference Sans Serif"/>
        <family val="2"/>
      </rPr>
      <t xml:space="preserve"> used for describing the activity or tasks for which services or material objects are acquired. Function codes are classified into five broad areas: instruction, support services, non-instructional services, facilities acquisition and other services.  
The function codes also describe a plan and organization of activities and procedures designed to accomplish a predetermined objective or set of objectives. </t>
    </r>
  </si>
  <si>
    <t>If recType = exp, then blank.</t>
  </si>
  <si>
    <t>Object Code</t>
  </si>
  <si>
    <t>objectCode</t>
  </si>
  <si>
    <r>
      <t xml:space="preserve">The predefined </t>
    </r>
    <r>
      <rPr>
        <i/>
        <sz val="10"/>
        <rFont val="MS Reference Sans Serif"/>
        <family val="2"/>
      </rPr>
      <t>Object Code</t>
    </r>
    <r>
      <rPr>
        <sz val="10"/>
        <rFont val="MS Reference Sans Serif"/>
        <family val="2"/>
      </rPr>
      <t xml:space="preserve"> used to describe the service or commodity obtained as a result of a specific expenditure. Eight major categories are used:  salaries, benefits, purchased services, supplies/materials, capital objects, debt retirement, insurance/judgment, transfers.
Major categories are subdivided by schools to obtain more specific detail for their internal accounting purposes.  </t>
    </r>
  </si>
  <si>
    <t>Fiscal Year</t>
  </si>
  <si>
    <t>fiscalYear</t>
  </si>
  <si>
    <t>The fiscal year (July 1 - June 30) an LEA used for budgeting, accounting, and reporting financials.</t>
  </si>
  <si>
    <t>Amount</t>
  </si>
  <si>
    <t>amount</t>
  </si>
  <si>
    <t>An amount, rounded to the nearest whole dollar, for this record. No decimals or commas.</t>
  </si>
  <si>
    <t>Collection Option Set Document Map</t>
  </si>
  <si>
    <t>District ID</t>
  </si>
  <si>
    <t>Provider Schools</t>
  </si>
  <si>
    <t>Special Ed Eligibility</t>
  </si>
  <si>
    <t>Code</t>
  </si>
  <si>
    <t>Option Name</t>
  </si>
  <si>
    <t>Option Definition</t>
  </si>
  <si>
    <t>Examples (under continual maintenance)</t>
  </si>
  <si>
    <t>320001</t>
  </si>
  <si>
    <t>Fund Balance, July 1</t>
  </si>
  <si>
    <t>320002</t>
  </si>
  <si>
    <t>Adjustments</t>
  </si>
  <si>
    <t>320003</t>
  </si>
  <si>
    <t>Adjusted Fund Balance July 1</t>
  </si>
  <si>
    <t>111000</t>
  </si>
  <si>
    <t>Cash</t>
  </si>
  <si>
    <t>112000</t>
  </si>
  <si>
    <t>Investments</t>
  </si>
  <si>
    <t>113000</t>
  </si>
  <si>
    <t>Taxes Receivable</t>
  </si>
  <si>
    <t>114000</t>
  </si>
  <si>
    <t>Other Receivables</t>
  </si>
  <si>
    <t>115000</t>
  </si>
  <si>
    <t>Inventories</t>
  </si>
  <si>
    <t>116000</t>
  </si>
  <si>
    <t>Other Current Assets</t>
  </si>
  <si>
    <t>121000</t>
  </si>
  <si>
    <t>Sites</t>
  </si>
  <si>
    <t>122000</t>
  </si>
  <si>
    <t>Buildings</t>
  </si>
  <si>
    <t>123000</t>
  </si>
  <si>
    <t>Equipment</t>
  </si>
  <si>
    <t>124000</t>
  </si>
  <si>
    <t>Construction in Progress</t>
  </si>
  <si>
    <t>131000</t>
  </si>
  <si>
    <t>Amount Available in Debt Services</t>
  </si>
  <si>
    <t>132000</t>
  </si>
  <si>
    <t>Amount to be Provided G.L.T.D.</t>
  </si>
  <si>
    <t>211000</t>
  </si>
  <si>
    <t>Interfund Payable</t>
  </si>
  <si>
    <t>213000</t>
  </si>
  <si>
    <t>Accounts Payable</t>
  </si>
  <si>
    <t>214000</t>
  </si>
  <si>
    <t>Contracts Payable</t>
  </si>
  <si>
    <t>215000</t>
  </si>
  <si>
    <t>Construction Contracts Payable</t>
  </si>
  <si>
    <t>216000</t>
  </si>
  <si>
    <t>Current Portion-Bonds Payable</t>
  </si>
  <si>
    <t>217000</t>
  </si>
  <si>
    <t>Salaries/Benefits Payable</t>
  </si>
  <si>
    <t>218000</t>
  </si>
  <si>
    <t>Payroll Withholdings</t>
  </si>
  <si>
    <t>219000</t>
  </si>
  <si>
    <t>Current Loans Payable</t>
  </si>
  <si>
    <t>221000</t>
  </si>
  <si>
    <t>Deferred Revenues</t>
  </si>
  <si>
    <t>222000</t>
  </si>
  <si>
    <t>Returnable Revenues</t>
  </si>
  <si>
    <t>223000</t>
  </si>
  <si>
    <t>Other Liabilities</t>
  </si>
  <si>
    <t>231000</t>
  </si>
  <si>
    <t>Bonds Payable - N.C.P.</t>
  </si>
  <si>
    <t>232000</t>
  </si>
  <si>
    <t>Loans Payable - N.C.P.</t>
  </si>
  <si>
    <t>233000</t>
  </si>
  <si>
    <t>Lease Obligations</t>
  </si>
  <si>
    <t>234000</t>
  </si>
  <si>
    <t>Other L.C. Liabilities</t>
  </si>
  <si>
    <t>310600</t>
  </si>
  <si>
    <t>Reserved for Inventories</t>
  </si>
  <si>
    <t>Other Reserved</t>
  </si>
  <si>
    <t>320100</t>
  </si>
  <si>
    <t>Unreserved - designated</t>
  </si>
  <si>
    <t>320200</t>
  </si>
  <si>
    <t>Unreserved - undesignated</t>
  </si>
  <si>
    <t>330000</t>
  </si>
  <si>
    <t>Investment in General Fixed Assets</t>
  </si>
  <si>
    <t>340000</t>
  </si>
  <si>
    <t>Contributed Capital</t>
  </si>
  <si>
    <t>350000</t>
  </si>
  <si>
    <t>Retained Earnings - Int. Service</t>
  </si>
  <si>
    <t>411100</t>
  </si>
  <si>
    <t>Taxes - General M &amp; O</t>
  </si>
  <si>
    <t>411200</t>
  </si>
  <si>
    <t>Taxes - Supplemental</t>
  </si>
  <si>
    <t>411300</t>
  </si>
  <si>
    <t>Taxes - Emergency</t>
  </si>
  <si>
    <t>411400</t>
  </si>
  <si>
    <t>Taxes - Tort</t>
  </si>
  <si>
    <t>411500</t>
  </si>
  <si>
    <t>Taxes - Cooperative</t>
  </si>
  <si>
    <t>411600</t>
  </si>
  <si>
    <t>Taxes - Tuition</t>
  </si>
  <si>
    <t>411700</t>
  </si>
  <si>
    <t>Taxes - Migrant</t>
  </si>
  <si>
    <t>411900</t>
  </si>
  <si>
    <t>Taxes - Other</t>
  </si>
  <si>
    <t>412100</t>
  </si>
  <si>
    <t>Taxes - Plant Facility</t>
  </si>
  <si>
    <t>412500</t>
  </si>
  <si>
    <t>Taxes - Bond &amp; Interest</t>
  </si>
  <si>
    <t>413000</t>
  </si>
  <si>
    <t>Penalty: Delinquent Taxes</t>
  </si>
  <si>
    <t>414100</t>
  </si>
  <si>
    <t>Tuition From Individuals</t>
  </si>
  <si>
    <t>414200</t>
  </si>
  <si>
    <t>Tuition From Districts in Idaho</t>
  </si>
  <si>
    <t>414300</t>
  </si>
  <si>
    <t>Tuition From Out of State Districts</t>
  </si>
  <si>
    <t>415000</t>
  </si>
  <si>
    <t>Earnings on Investments</t>
  </si>
  <si>
    <t>416100</t>
  </si>
  <si>
    <t>School Food Service</t>
  </si>
  <si>
    <t>416200</t>
  </si>
  <si>
    <t>Meal Sales:  Non-reimbur.</t>
  </si>
  <si>
    <t>416900</t>
  </si>
  <si>
    <t>Other Food Sales</t>
  </si>
  <si>
    <t>417100</t>
  </si>
  <si>
    <t>Admissions/Activities</t>
  </si>
  <si>
    <t>417200</t>
  </si>
  <si>
    <t>Bookstore Sales</t>
  </si>
  <si>
    <t>417300</t>
  </si>
  <si>
    <t>Clubs Org. Dues Etc.</t>
  </si>
  <si>
    <t>417400</t>
  </si>
  <si>
    <t>School Fees &amp; Charges</t>
  </si>
  <si>
    <t>417900</t>
  </si>
  <si>
    <t>Other Student Revenues</t>
  </si>
  <si>
    <t>418100</t>
  </si>
  <si>
    <t>Community Service</t>
  </si>
  <si>
    <t>419100</t>
  </si>
  <si>
    <t>Rentals</t>
  </si>
  <si>
    <t>419200</t>
  </si>
  <si>
    <t>Contributions/Donations</t>
  </si>
  <si>
    <t>419300</t>
  </si>
  <si>
    <t>Transportation Fees</t>
  </si>
  <si>
    <t>419900</t>
  </si>
  <si>
    <t>Other Local</t>
  </si>
  <si>
    <t>429000</t>
  </si>
  <si>
    <t>Other County</t>
  </si>
  <si>
    <t>431100</t>
  </si>
  <si>
    <t>Base Support Program</t>
  </si>
  <si>
    <t>431200</t>
  </si>
  <si>
    <t>Transportation Support</t>
  </si>
  <si>
    <t>431400</t>
  </si>
  <si>
    <t>Exceptional Child Support</t>
  </si>
  <si>
    <t>431500</t>
  </si>
  <si>
    <t>Border Tuition Support</t>
  </si>
  <si>
    <t>431600</t>
  </si>
  <si>
    <t>Tuition Equivalency</t>
  </si>
  <si>
    <t>431800</t>
  </si>
  <si>
    <t>Benefit Apportionment</t>
  </si>
  <si>
    <t>431900</t>
  </si>
  <si>
    <t>Other State Support</t>
  </si>
  <si>
    <t>432100</t>
  </si>
  <si>
    <t>Driver Education Program</t>
  </si>
  <si>
    <t>432400</t>
  </si>
  <si>
    <t>Professional Technical Program</t>
  </si>
  <si>
    <t>437000</t>
  </si>
  <si>
    <t>Lottery/Additional State Maintenance</t>
  </si>
  <si>
    <t>438000</t>
  </si>
  <si>
    <t>Revenue in Lieu of/Ag Equip. Taxes</t>
  </si>
  <si>
    <t>439000</t>
  </si>
  <si>
    <t>Other State Revenue</t>
  </si>
  <si>
    <t>442000</t>
  </si>
  <si>
    <t>Indirect Unrestricted Federal</t>
  </si>
  <si>
    <t>443000</t>
  </si>
  <si>
    <t>Direct Restricted Federal</t>
  </si>
  <si>
    <t>445100</t>
  </si>
  <si>
    <t>Title I - ESSA</t>
  </si>
  <si>
    <t>445200</t>
  </si>
  <si>
    <t xml:space="preserve">Title VI, ESSA - Innovative Practices </t>
  </si>
  <si>
    <t>445300</t>
  </si>
  <si>
    <t>Perkins IV - Vocational Technical Act</t>
  </si>
  <si>
    <t>445400</t>
  </si>
  <si>
    <t>Adult Education</t>
  </si>
  <si>
    <t>445500</t>
  </si>
  <si>
    <t>Child Nutrition Reimbursement</t>
  </si>
  <si>
    <t>445600</t>
  </si>
  <si>
    <t>IDEA Part B (School-Age, Preschool)</t>
  </si>
  <si>
    <t>445900</t>
  </si>
  <si>
    <t>Other Indirect Restricted Federal</t>
  </si>
  <si>
    <t>448200</t>
  </si>
  <si>
    <t>Impact Aid - Public Law 874</t>
  </si>
  <si>
    <t>451000</t>
  </si>
  <si>
    <t>Proceeds: Bonds Cap Leases, et al</t>
  </si>
  <si>
    <t>453000</t>
  </si>
  <si>
    <t>Sale or Compensation for Loss of Fixed Assets</t>
  </si>
  <si>
    <t>460000</t>
  </si>
  <si>
    <t>Transfers - In</t>
  </si>
  <si>
    <t>I</t>
  </si>
  <si>
    <t>Border Student In</t>
  </si>
  <si>
    <t xml:space="preserve">A border student from outside Idaho coming into the district </t>
  </si>
  <si>
    <t>O</t>
  </si>
  <si>
    <t>Border Student Out</t>
  </si>
  <si>
    <t>A student from a border district going out of the state of Idaho for services</t>
  </si>
  <si>
    <t>Not a Border Student</t>
  </si>
  <si>
    <t>Any student served within their home district or within an Idaho district</t>
  </si>
  <si>
    <t>A</t>
  </si>
  <si>
    <t>Alternative High Schools</t>
  </si>
  <si>
    <t>Calendar applying to Alternative High schools -- time expressed in hours</t>
  </si>
  <si>
    <t>DR</t>
  </si>
  <si>
    <t>Dual Enrollment Calendar</t>
  </si>
  <si>
    <t>Calendar applying to dual enrolled students (Private/Home Schooled ONLY) - Time expressed in hours or 1/10th of hour.</t>
  </si>
  <si>
    <t>Private/Home School Students Only</t>
  </si>
  <si>
    <t>K</t>
  </si>
  <si>
    <t>Kindergarten</t>
  </si>
  <si>
    <t>Calendar applying to Kindergarten students</t>
  </si>
  <si>
    <t>R</t>
  </si>
  <si>
    <t>Regular School</t>
  </si>
  <si>
    <t>Calendar applying to Regular schools -- Time expressed in half days</t>
  </si>
  <si>
    <t>Summer Alternate</t>
  </si>
  <si>
    <t>Calendar applying to Summer Alternative High schools -- time expressed in hours</t>
  </si>
  <si>
    <t>Alternative summer schools</t>
  </si>
  <si>
    <t>Summer Regular</t>
  </si>
  <si>
    <t>Calendar applying to Summer Regular schools -- Time expressed in half days</t>
  </si>
  <si>
    <t>Regular summer schools and summer JDC schools</t>
  </si>
  <si>
    <t>CIP CODES</t>
  </si>
  <si>
    <t>See CIP Codes Tab</t>
  </si>
  <si>
    <t>0602</t>
  </si>
  <si>
    <t>Boise State University (0602)</t>
  </si>
  <si>
    <t>College/University/Other</t>
  </si>
  <si>
    <t>0607</t>
  </si>
  <si>
    <t>College of Southern Idaho (0607)</t>
  </si>
  <si>
    <t>0608</t>
  </si>
  <si>
    <t>Idaho State University (0608)</t>
  </si>
  <si>
    <t>0610</t>
  </si>
  <si>
    <t>Lewis-Clark State College (0610)</t>
  </si>
  <si>
    <t>0614</t>
  </si>
  <si>
    <t>North Idaho College (0614)</t>
  </si>
  <si>
    <t>0615</t>
  </si>
  <si>
    <t>Eastern Idaho Technical College (0615)</t>
  </si>
  <si>
    <t>0631</t>
  </si>
  <si>
    <t>University of Idaho (0631)</t>
  </si>
  <si>
    <t>0660</t>
  </si>
  <si>
    <t>College of Western Idaho (0660)</t>
  </si>
  <si>
    <t>0999</t>
  </si>
  <si>
    <t>Other Idaho College or University (0999)</t>
  </si>
  <si>
    <t>2895</t>
  </si>
  <si>
    <t>Northwest Nazarene University (2895)</t>
  </si>
  <si>
    <t>2897</t>
  </si>
  <si>
    <t>BYU - Utah (2897)</t>
  </si>
  <si>
    <t>2898</t>
  </si>
  <si>
    <t>Treasure Valley Community College</t>
  </si>
  <si>
    <t>8845</t>
  </si>
  <si>
    <t>BYU - Idaho (8845)</t>
  </si>
  <si>
    <t>8896</t>
  </si>
  <si>
    <t>College of Idaho (8896)</t>
  </si>
  <si>
    <t>General Category - Out-of-State (9999)</t>
  </si>
  <si>
    <t>Grade 1</t>
  </si>
  <si>
    <t>Content is intended for grade 1</t>
  </si>
  <si>
    <t>Grade 2</t>
  </si>
  <si>
    <t>Content is intended for grade 2</t>
  </si>
  <si>
    <t>Grade 3</t>
  </si>
  <si>
    <t>Content is intended for grade 3</t>
  </si>
  <si>
    <t>Grade 4</t>
  </si>
  <si>
    <t>Content is intended for grade 4</t>
  </si>
  <si>
    <t>Grade 5</t>
  </si>
  <si>
    <t>Content is intended for grade 5</t>
  </si>
  <si>
    <t>Grade 6</t>
  </si>
  <si>
    <t>Content is intended for grade 6</t>
  </si>
  <si>
    <t>Grade 7</t>
  </si>
  <si>
    <t>Content is intended for grade 7</t>
  </si>
  <si>
    <t>Grade 8</t>
  </si>
  <si>
    <t>Content is intended for grade 8</t>
  </si>
  <si>
    <t>Grade 9</t>
  </si>
  <si>
    <t>Content is intended for grade 9</t>
  </si>
  <si>
    <t>Grade 10</t>
  </si>
  <si>
    <t>Content is intended for grade 10</t>
  </si>
  <si>
    <t>Grade 11</t>
  </si>
  <si>
    <t>Content is intended for grade 11</t>
  </si>
  <si>
    <t>Grade 12</t>
  </si>
  <si>
    <t>Content is intended for grade 12</t>
  </si>
  <si>
    <t>KG</t>
  </si>
  <si>
    <t>Content is intended for grade KG</t>
  </si>
  <si>
    <t>MX</t>
  </si>
  <si>
    <t>Mixed Grades</t>
  </si>
  <si>
    <t>Content is intended for grade MX</t>
  </si>
  <si>
    <t>PK</t>
  </si>
  <si>
    <t>Preschool</t>
  </si>
  <si>
    <t>Content is intended for grade PK</t>
  </si>
  <si>
    <t>Category 1 Contracts</t>
  </si>
  <si>
    <t xml:space="preserve">For certificated instructional employees on a limited one-year contract as provided in section 33-514A, Idaho Code. </t>
  </si>
  <si>
    <t>Category 2 Contracts</t>
  </si>
  <si>
    <t xml:space="preserve">For certificated instructional employees in the first and second years of continuous employment with the same school district. </t>
  </si>
  <si>
    <t>Category 3 Contracts</t>
  </si>
  <si>
    <t>For certificated instructional employees during the third year of continuous employment by the same school district.</t>
  </si>
  <si>
    <t>Administrator Contract</t>
  </si>
  <si>
    <t>For certificated administrative employees.</t>
  </si>
  <si>
    <t>AE</t>
  </si>
  <si>
    <t>Approved Alternative Evening School</t>
  </si>
  <si>
    <t>For certificated staff performing duties in an Alternative Evening School program</t>
  </si>
  <si>
    <t>AR</t>
  </si>
  <si>
    <t>Retired Administrator Contract</t>
  </si>
  <si>
    <t>For retired certificated administrative employees who are currently drawing PERSI retirement benefits.</t>
  </si>
  <si>
    <t>AS</t>
  </si>
  <si>
    <t>Approved Alternative Summer School</t>
  </si>
  <si>
    <t>For certificated staff performing duties in an approved Alternative Summer School program</t>
  </si>
  <si>
    <t>C</t>
  </si>
  <si>
    <t>Continuing or Renewable (Tenure) Contract</t>
  </si>
  <si>
    <t>For certificated instructional employees who have attained renewable contract status as provided in Section 33-515, Idaho Code.</t>
  </si>
  <si>
    <t xml:space="preserve">Retired Teacher Contract </t>
  </si>
  <si>
    <t>For retired certificated instructional employees who are currently drawing PERSI retirement benefits.</t>
  </si>
  <si>
    <t>RS</t>
  </si>
  <si>
    <t>Regular Summer School</t>
  </si>
  <si>
    <t>Limited use: For certificated employees performing duties only in a regular summer school program</t>
  </si>
  <si>
    <t>CH</t>
  </si>
  <si>
    <t>Charter General Contract</t>
  </si>
  <si>
    <t>For charter school teachers on a general contract approved by the charter school’s board. Idaho Code 33-5206</t>
  </si>
  <si>
    <t>NE</t>
  </si>
  <si>
    <t>Non-Employee Contract</t>
  </si>
  <si>
    <t>Limited use:  For certificated non-employee contracts.  LEA’s who render services from non-employee contracts will need to ensure that they hold a current and valid Idaho certificate for the services being rendered.  LEA’s should consult the Department of Labor’s website for guidance on rendering services for non-employee contracts and consult with legal counsel.</t>
  </si>
  <si>
    <t>District is contracting with the YMCA to provide instruction to be delivered by the YMCA employed person. The students are going to the YMCA for PE. The YMCA person is required to hold a valid Idaho Instructional Certificate with a PE endorsement.</t>
  </si>
  <si>
    <t>AD</t>
  </si>
  <si>
    <t>Andorra</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</si>
  <si>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</si>
  <si>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</si>
  <si>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</si>
  <si>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</si>
  <si>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</si>
  <si>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</si>
  <si>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</si>
  <si>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</si>
  <si>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</si>
  <si>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</si>
  <si>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</si>
  <si>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</si>
  <si>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</si>
  <si>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</si>
  <si>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</si>
  <si>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</si>
  <si>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</si>
  <si>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Argentina</t>
  </si>
  <si>
    <t>American Samoa</t>
  </si>
  <si>
    <t>AT</t>
  </si>
  <si>
    <t>Austria</t>
  </si>
  <si>
    <t>AU</t>
  </si>
  <si>
    <t>Australia</t>
  </si>
  <si>
    <t>AW</t>
  </si>
  <si>
    <t>Aruba</t>
  </si>
  <si>
    <t>AX</t>
  </si>
  <si>
    <t>Aland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</si>
  <si>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</si>
  <si>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</si>
  <si>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</si>
  <si>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</si>
  <si>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</si>
  <si>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</si>
  <si>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</si>
  <si>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</si>
  <si>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</si>
  <si>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</si>
  <si>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</si>
  <si>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</si>
  <si>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</si>
  <si>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</si>
  <si>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</si>
  <si>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</si>
  <si>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</si>
  <si>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</si>
  <si>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</si>
  <si>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</si>
  <si>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</si>
  <si>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</si>
  <si>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</si>
  <si>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</si>
  <si>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</si>
  <si>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</si>
  <si>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</si>
  <si>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</si>
  <si>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</si>
  <si>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</si>
  <si>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</si>
  <si>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</si>
  <si>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</si>
  <si>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</si>
  <si>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</si>
  <si>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</si>
  <si>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</si>
  <si>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</si>
  <si>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</si>
  <si>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</si>
  <si>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</si>
  <si>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</si>
  <si>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</si>
  <si>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</si>
  <si>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</si>
  <si>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Democratic Republic of the Congo</t>
  </si>
  <si>
    <t>CF</t>
  </si>
  <si>
    <t>Central African Republic</t>
  </si>
  <si>
    <t>CG</t>
  </si>
  <si>
    <t>Congo</t>
  </si>
  <si>
    <t>Switzerland</t>
  </si>
  <si>
    <t>CI</t>
  </si>
  <si>
    <t>Cote D'Ivoire (Ivory Coast)</t>
  </si>
  <si>
    <t>CK</t>
  </si>
  <si>
    <t>Cook Islands</t>
  </si>
  <si>
    <t>CL</t>
  </si>
  <si>
    <t>Chile</t>
  </si>
  <si>
    <t>CM</t>
  </si>
  <si>
    <t>Cameroon</t>
  </si>
  <si>
    <t>CN</t>
  </si>
  <si>
    <t>China</t>
  </si>
  <si>
    <t>CO</t>
  </si>
  <si>
    <t>Colombia</t>
  </si>
  <si>
    <t>CR</t>
  </si>
  <si>
    <t>Costa Rica</t>
  </si>
  <si>
    <t>CS</t>
  </si>
  <si>
    <t>Serbia and Montenegro</t>
  </si>
  <si>
    <t>CU</t>
  </si>
  <si>
    <t>Cuba</t>
  </si>
  <si>
    <t>CV</t>
  </si>
  <si>
    <t>Cape Verde</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</si>
  <si>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</si>
  <si>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</si>
  <si>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</si>
  <si>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</si>
  <si>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</si>
  <si>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</si>
  <si>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</si>
  <si>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</si>
  <si>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</si>
  <si>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</si>
  <si>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</si>
  <si>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</si>
  <si>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</si>
  <si>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</si>
  <si>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</si>
  <si>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</si>
  <si>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</si>
  <si>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</si>
  <si>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</si>
  <si>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</si>
  <si>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</si>
  <si>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</si>
  <si>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</si>
  <si>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</si>
  <si>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</si>
  <si>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</si>
  <si>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</si>
  <si>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</si>
  <si>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</si>
  <si>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</si>
  <si>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</si>
  <si>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</si>
  <si>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</si>
  <si>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</si>
  <si>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</si>
  <si>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</si>
  <si>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</si>
  <si>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</si>
  <si>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</si>
  <si>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Federated States of Micronesia</t>
  </si>
  <si>
    <t>FO</t>
  </si>
  <si>
    <t>Faroe Islands</t>
  </si>
  <si>
    <t>FR</t>
  </si>
  <si>
    <t>France</t>
  </si>
  <si>
    <t>FX</t>
  </si>
  <si>
    <t>France, Metropolitan</t>
  </si>
  <si>
    <t>GA</t>
  </si>
  <si>
    <t>Gabon</t>
  </si>
  <si>
    <t>GB</t>
  </si>
  <si>
    <t>Great Britain (UK)</t>
  </si>
  <si>
    <t>GD</t>
  </si>
  <si>
    <t>Grenada</t>
  </si>
  <si>
    <t>GE</t>
  </si>
  <si>
    <t>Georgia</t>
  </si>
  <si>
    <t>GF</t>
  </si>
  <si>
    <t>French Guiana</t>
  </si>
  <si>
    <t>GH</t>
  </si>
  <si>
    <t>Ghana</t>
  </si>
  <si>
    <t>GI</t>
  </si>
  <si>
    <t>Gibraltar</t>
  </si>
  <si>
    <t>GL</t>
  </si>
  <si>
    <t>Greenland</t>
  </si>
  <si>
    <t>GM</t>
  </si>
  <si>
    <t>Gambia</t>
  </si>
  <si>
    <t>GN</t>
  </si>
  <si>
    <t>Guinea</t>
  </si>
  <si>
    <t>GP</t>
  </si>
  <si>
    <t>Guadeloupe</t>
  </si>
  <si>
    <t>GQ</t>
  </si>
  <si>
    <t>Equatorial Guinea</t>
  </si>
  <si>
    <t>GR</t>
  </si>
  <si>
    <t>Greece</t>
  </si>
  <si>
    <t>GS</t>
  </si>
  <si>
    <t>S. Georgia and S. Sandwich Islands</t>
  </si>
  <si>
    <t>GT</t>
  </si>
  <si>
    <t>Guatemala</t>
  </si>
  <si>
    <t>GU</t>
  </si>
  <si>
    <t>Guam</t>
  </si>
  <si>
    <t>GW</t>
  </si>
  <si>
    <t>Guinea-Bissau</t>
  </si>
  <si>
    <t>GY</t>
  </si>
  <si>
    <t>Guyana</t>
  </si>
  <si>
    <t>HK</t>
  </si>
  <si>
    <t>Hong Kong</t>
  </si>
  <si>
    <t>HM</t>
  </si>
  <si>
    <t>Heard Island and McDonald Islands</t>
  </si>
  <si>
    <t>HN</t>
  </si>
  <si>
    <t>Honduras</t>
  </si>
  <si>
    <t>HR</t>
  </si>
  <si>
    <t>Croatia (Hrvatska)</t>
  </si>
  <si>
    <t>HT</t>
  </si>
  <si>
    <t>Haiti</t>
  </si>
  <si>
    <t>HU</t>
  </si>
  <si>
    <t>Hungary</t>
  </si>
  <si>
    <t>ID</t>
  </si>
  <si>
    <t>Indonesia</t>
  </si>
  <si>
    <t>IE</t>
  </si>
  <si>
    <t>Ireland</t>
  </si>
  <si>
    <t>IL</t>
  </si>
  <si>
    <t>Israel</t>
  </si>
  <si>
    <t>IN</t>
  </si>
  <si>
    <t>India</t>
  </si>
  <si>
    <t>IO</t>
  </si>
  <si>
    <t>British Indian Ocean Territory</t>
  </si>
  <si>
    <t>IQ</t>
  </si>
  <si>
    <t>Iraq</t>
  </si>
  <si>
    <t>IR</t>
  </si>
  <si>
    <t>Iran</t>
  </si>
  <si>
    <t>IS</t>
  </si>
  <si>
    <t>Iceland</t>
  </si>
  <si>
    <t>IT</t>
  </si>
  <si>
    <t>Italy</t>
  </si>
  <si>
    <t>JM</t>
  </si>
  <si>
    <t>Jamaica</t>
  </si>
  <si>
    <t>JO</t>
  </si>
  <si>
    <t>Jordan</t>
  </si>
  <si>
    <t>JP</t>
  </si>
  <si>
    <t>Japan</t>
  </si>
  <si>
    <t>KE</t>
  </si>
  <si>
    <t>Kenya</t>
  </si>
  <si>
    <t>Kyrgyzstan</t>
  </si>
  <si>
    <t>KH</t>
  </si>
  <si>
    <t>Cambodia</t>
  </si>
  <si>
    <t>KI</t>
  </si>
  <si>
    <t>Kiribati</t>
  </si>
  <si>
    <t>KM</t>
  </si>
  <si>
    <t>Comoros</t>
  </si>
  <si>
    <t>KN</t>
  </si>
  <si>
    <t>Saint Kitts and Nevis</t>
  </si>
  <si>
    <t>KP</t>
  </si>
  <si>
    <t>Korea (North)</t>
  </si>
  <si>
    <t>KR</t>
  </si>
  <si>
    <t>Korea (South)</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</si>
  <si>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</si>
  <si>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</si>
  <si>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</si>
  <si>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</si>
  <si>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</si>
  <si>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</si>
  <si>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</si>
  <si>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</si>
  <si>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</si>
  <si>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</si>
  <si>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</si>
  <si>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</si>
  <si>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</si>
  <si>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</si>
  <si>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</si>
  <si>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</si>
  <si>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</si>
  <si>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</si>
  <si>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</si>
  <si>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</si>
  <si>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</si>
  <si>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</si>
  <si>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</si>
  <si>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</si>
  <si>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</si>
  <si>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</si>
  <si>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</si>
  <si>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</si>
  <si>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</si>
  <si>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</si>
  <si>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</si>
  <si>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</si>
  <si>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</si>
  <si>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</si>
  <si>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MG</t>
  </si>
  <si>
    <t>Madagascar</t>
  </si>
  <si>
    <t>MH</t>
  </si>
  <si>
    <t>Marshall Islands</t>
  </si>
  <si>
    <t>MK</t>
  </si>
  <si>
    <t>Macedonia</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</si>
  <si>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</si>
  <si>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</si>
  <si>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</si>
  <si>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</si>
  <si>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</si>
  <si>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</si>
  <si>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</si>
  <si>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</si>
  <si>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</si>
  <si>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</si>
  <si>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</si>
  <si>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</si>
  <si>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</si>
  <si>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</si>
  <si>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</si>
  <si>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</si>
  <si>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</si>
  <si>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</si>
  <si>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</si>
  <si>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</si>
  <si>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</si>
  <si>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</si>
  <si>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</si>
  <si>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</si>
  <si>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Mexico</t>
  </si>
  <si>
    <t>MY</t>
  </si>
  <si>
    <t>Malaysia</t>
  </si>
  <si>
    <t>MZ</t>
  </si>
  <si>
    <t>Mozambique</t>
  </si>
  <si>
    <t>NA</t>
  </si>
  <si>
    <t>Namibia</t>
  </si>
  <si>
    <t>NC</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</si>
  <si>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</si>
  <si>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</si>
  <si>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</si>
  <si>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</si>
  <si>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</si>
  <si>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</si>
  <si>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</si>
  <si>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</si>
  <si>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</si>
  <si>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</si>
  <si>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</si>
  <si>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</si>
  <si>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</si>
  <si>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</si>
  <si>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</si>
  <si>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</si>
  <si>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</si>
  <si>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</si>
  <si>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</si>
  <si>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 (Aotearoa)</t>
  </si>
  <si>
    <t>OM</t>
  </si>
  <si>
    <t>Oman</t>
  </si>
  <si>
    <t>PA</t>
  </si>
  <si>
    <t>Panama</t>
  </si>
  <si>
    <t>PE</t>
  </si>
  <si>
    <t>Peru</t>
  </si>
  <si>
    <t>PF</t>
  </si>
  <si>
    <t>French Polynesia</t>
  </si>
  <si>
    <t>PG</t>
  </si>
  <si>
    <t>Papua New Guinea</t>
  </si>
  <si>
    <t>PH</t>
  </si>
  <si>
    <t>Philippines</t>
  </si>
  <si>
    <t>Pakistan</t>
  </si>
  <si>
    <t>PL</t>
  </si>
  <si>
    <t>Poland</t>
  </si>
  <si>
    <t>PM</t>
  </si>
  <si>
    <t>Saint Pierre and Miquelon</t>
  </si>
  <si>
    <t>PN</t>
  </si>
  <si>
    <t>Pitcairn</t>
  </si>
  <si>
    <t>PR</t>
  </si>
  <si>
    <t>Puerto Rico</t>
  </si>
  <si>
    <t>PS</t>
  </si>
  <si>
    <t>Palestinian Territory</t>
  </si>
  <si>
    <t>PT</t>
  </si>
  <si>
    <t>Portugal</t>
  </si>
  <si>
    <t>PW</t>
  </si>
  <si>
    <t>Palau</t>
  </si>
  <si>
    <t>PY</t>
  </si>
  <si>
    <t>Paraguay</t>
  </si>
  <si>
    <t>QA</t>
  </si>
  <si>
    <t>Qatar</t>
  </si>
  <si>
    <t>RE</t>
  </si>
  <si>
    <t>Reunion</t>
  </si>
  <si>
    <t>RO</t>
  </si>
  <si>
    <t>Romania</t>
  </si>
  <si>
    <t>RU</t>
  </si>
  <si>
    <t>Russian Federation</t>
  </si>
  <si>
    <t>RW</t>
  </si>
  <si>
    <t>Rwanda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</si>
  <si>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</si>
  <si>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</si>
  <si>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</si>
  <si>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</si>
  <si>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</si>
  <si>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</si>
  <si>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</si>
  <si>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</si>
  <si>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</si>
  <si>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</si>
  <si>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</si>
  <si>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</si>
  <si>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</si>
  <si>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</si>
  <si>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</si>
  <si>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</si>
  <si>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</si>
  <si>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</si>
  <si>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</si>
  <si>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</si>
  <si>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</si>
  <si>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</si>
  <si>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</si>
  <si>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</si>
  <si>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</si>
  <si>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</si>
  <si>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</si>
  <si>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Suriname</t>
  </si>
  <si>
    <t>ST</t>
  </si>
  <si>
    <t>Sao Tome and Principe</t>
  </si>
  <si>
    <t>SU</t>
  </si>
  <si>
    <t>USSR (former)</t>
  </si>
  <si>
    <t>SV</t>
  </si>
  <si>
    <t>El Salvador</t>
  </si>
  <si>
    <t>SY</t>
  </si>
  <si>
    <t>Syria</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</si>
  <si>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</si>
  <si>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</si>
  <si>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</si>
  <si>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</si>
  <si>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</si>
  <si>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</si>
  <si>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</si>
  <si>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</si>
  <si>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</si>
  <si>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</si>
  <si>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</si>
  <si>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</si>
  <si>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</si>
  <si>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</si>
  <si>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</si>
  <si>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</si>
  <si>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</si>
  <si>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</si>
  <si>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</si>
  <si>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</si>
  <si>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</si>
  <si>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</si>
  <si>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</si>
  <si>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</si>
  <si>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TP</t>
  </si>
  <si>
    <t>East Timor</t>
  </si>
  <si>
    <t>TR</t>
  </si>
  <si>
    <t>Turkey</t>
  </si>
  <si>
    <t>TT</t>
  </si>
  <si>
    <t>Trinidad and Tobago</t>
  </si>
  <si>
    <t>TV</t>
  </si>
  <si>
    <t>Tuvalu</t>
  </si>
  <si>
    <t>TW</t>
  </si>
  <si>
    <t>Taiwan</t>
  </si>
  <si>
    <t>TZ</t>
  </si>
  <si>
    <t>Tanzania</t>
  </si>
  <si>
    <t>UA</t>
  </si>
  <si>
    <t>Ukraine</t>
  </si>
  <si>
    <t>UG</t>
  </si>
  <si>
    <t>Uganda</t>
  </si>
  <si>
    <t>UK</t>
  </si>
  <si>
    <t>United Kingdom</t>
  </si>
  <si>
    <t>UM</t>
  </si>
  <si>
    <t>United States Minor Outlying Islands</t>
  </si>
  <si>
    <t>US</t>
  </si>
  <si>
    <t>United States</t>
  </si>
  <si>
    <t>UY</t>
  </si>
  <si>
    <t>Uruguay</t>
  </si>
  <si>
    <t>UZ</t>
  </si>
  <si>
    <t>Uzbekistan</t>
  </si>
  <si>
    <t>VA</t>
  </si>
  <si>
    <t>Vatican City State (Holy See)</t>
  </si>
  <si>
    <t>VC</t>
  </si>
  <si>
    <t>Saint Vincent and the Grenadines</t>
  </si>
  <si>
    <t>VE</t>
  </si>
  <si>
    <t>Venezuela</t>
  </si>
  <si>
    <t>VG</t>
  </si>
  <si>
    <t>Virgin Islands (British)</t>
  </si>
  <si>
    <t>VI</t>
  </si>
  <si>
    <t>Virgin Islands (U.S.)</t>
  </si>
  <si>
    <t>VN</t>
  </si>
  <si>
    <t>Viet Nam</t>
  </si>
  <si>
    <t>VU</t>
  </si>
  <si>
    <t>Vanuatu</t>
  </si>
  <si>
    <t>WF</t>
  </si>
  <si>
    <t>Wallis and Futuna</t>
  </si>
  <si>
    <t>WS</t>
  </si>
  <si>
    <t>Samoa</t>
  </si>
  <si>
    <t>YE</t>
  </si>
  <si>
    <t>Yemen</t>
  </si>
  <si>
    <t>YT</t>
  </si>
  <si>
    <t>Mayotte</t>
  </si>
  <si>
    <t>YU</t>
  </si>
  <si>
    <t>Yugoslavia (former)</t>
  </si>
  <si>
    <t>ZA</t>
  </si>
  <si>
    <t>South Africa</t>
  </si>
  <si>
    <t>ZM</t>
  </si>
  <si>
    <t>Zambia</t>
  </si>
  <si>
    <t>ZR</t>
  </si>
  <si>
    <t>Zaire (former)</t>
  </si>
  <si>
    <t>ZW</t>
  </si>
  <si>
    <t>Zimbabwe</t>
  </si>
  <si>
    <t>ZZ</t>
  </si>
  <si>
    <t>Unknown/Unspecified</t>
  </si>
  <si>
    <t>&lt;«&lt;</t>
  </si>
  <si>
    <t>Toggle the (+/-) on the far left column to SHOW/HIDE this list.</t>
  </si>
  <si>
    <t>Expand to view list</t>
  </si>
  <si>
    <t>See Assignment-Course Codes tab</t>
  </si>
  <si>
    <t>Assignment-Course Codes</t>
  </si>
  <si>
    <t>Completed - Full Credit</t>
  </si>
  <si>
    <t>The student has completed the course content (for regular courses) or exhibits mastery of all course competencies (for Mastery Courses) and full credit has been awarded.</t>
  </si>
  <si>
    <t>Completed - No Credit</t>
  </si>
  <si>
    <t>The student has completed the course content (for regular courses) or has completed the term but not all competencies (for Mastery Courses) and no credit has been awarded.</t>
  </si>
  <si>
    <t>CP</t>
  </si>
  <si>
    <t>Completed - Partial Credit</t>
  </si>
  <si>
    <t>The student has completed the course content (for regular courses) and partial credit has been awarded.</t>
  </si>
  <si>
    <t>Left the School</t>
  </si>
  <si>
    <t>Student course was dropped due to the student disenrolling from the school.</t>
  </si>
  <si>
    <t>Schedule Change</t>
  </si>
  <si>
    <t xml:space="preserve">Student course was dropped to accommodate a change in the students course schedule. </t>
  </si>
  <si>
    <t>Correspondence Course</t>
  </si>
  <si>
    <t>Course material is provided to the student who works at their own pace and schedule.</t>
  </si>
  <si>
    <t xml:space="preserve">I </t>
  </si>
  <si>
    <t>Independent Study</t>
  </si>
  <si>
    <t>Student is studying independently.  A certified staff member of the district is providing some guidance and assessment.  The local district, based on the recommendation of that teacher of record, will grant credit to the student.</t>
  </si>
  <si>
    <t>Offsite</t>
  </si>
  <si>
    <t>Course where students receive direct instruction from an instructor through another provider (or program) and may not be an employee of the district.</t>
  </si>
  <si>
    <t>Regular Class</t>
  </si>
  <si>
    <t>Traditional course structure with a local teacher of record directly managing the learning environment for their students.</t>
  </si>
  <si>
    <t>V</t>
  </si>
  <si>
    <t>IDLA/Virtual/Distance course</t>
  </si>
  <si>
    <t>Course where students receive virtual instruction from an instructor through another provider and may not be an employee of the district.  Typically, a proctor may be assigned to monitor the students.</t>
  </si>
  <si>
    <t>EXP</t>
  </si>
  <si>
    <t>Expulsion</t>
  </si>
  <si>
    <t>An action taken by the LEA removing a child from his/her regular school for disciplinary purposes for the remainder of the school year or longer in accordance with local educational agency policy.  Include removals resulting from violations of the Gun-Free Schools Act that are modified to less than 365 days.  Students are typically considered no longer enrolled for attendance purposes, but are eligible to return at the end of the expulsion period.</t>
  </si>
  <si>
    <t>ISS</t>
  </si>
  <si>
    <t>In School Suspension</t>
  </si>
  <si>
    <t>Temporary removal of a child from his/her regular classroom(s) for disciplinary purposes but where the student remains under the direct supervision of school personnel.  Direct supervision means school personnel are physically in the same location as the students under their supervision.</t>
  </si>
  <si>
    <t>OSS</t>
  </si>
  <si>
    <t>Out of School Suspension</t>
  </si>
  <si>
    <t>Temporary removal of a child from his/her regular classroom(s) for disciplinary purposes to another setting (e.g. home, behavior center).  Includes both removals in which no services are provided -- for Special ed students, less than 10 days, and those in which student receives some services according to an IEP.  Students are considered to still be enrolled.</t>
  </si>
  <si>
    <t>PLT</t>
  </si>
  <si>
    <t>Change of Placement (long-term)</t>
  </si>
  <si>
    <t xml:space="preserve">For children with disabilities and an active IEP, instances in which the IEP team determine a change in placement of the student from his/her current educational placement to a new educational placement is the least restrictive environment. </t>
  </si>
  <si>
    <t>RHO</t>
  </si>
  <si>
    <t>Removal by Hearing Officer</t>
  </si>
  <si>
    <t>For children with disabilities and an active IEP, instances in which an impartial hearing officer orders the removal of the child from his/her current educational placement to an appropriate alternative educational setting for not more than 45 school days based on the hearing officer’s determination that maintaining the child’s current placement is substantially likely to result in injury to the child or others.  The IEP team is responsible for determining the interim alternative educational setting.</t>
  </si>
  <si>
    <t>URI</t>
  </si>
  <si>
    <t>Unilateral Removal</t>
  </si>
  <si>
    <t>For children with disabilities and an active IEP, instances in which school personnel (not the IEP team) order the removal of the child from his/her current educational placement to an appropriate interim alternative educational setting for not more than 45 school days.  The IEP team is responsible for determining the interim alternative educational setting.  Unilateral removals do not include decision by the child’s IEP team to change a student’s placement.</t>
  </si>
  <si>
    <t>M</t>
  </si>
  <si>
    <t>Medical</t>
  </si>
  <si>
    <t>Medical issues caused delays</t>
  </si>
  <si>
    <t>Moved</t>
  </si>
  <si>
    <t>Child moved out of district during the process</t>
  </si>
  <si>
    <t>Other</t>
  </si>
  <si>
    <r>
      <t xml:space="preserve">Other reason for delay - </t>
    </r>
    <r>
      <rPr>
        <sz val="10"/>
        <color rgb="FFFF0000"/>
        <rFont val="MS Reference Sans Serif"/>
        <family val="2"/>
      </rPr>
      <t>MUST PROVIDE EXPLANATION OF OTHER</t>
    </r>
  </si>
  <si>
    <t>P</t>
  </si>
  <si>
    <t>Parental</t>
  </si>
  <si>
    <t>Parent refusal to provide consent or unable to contact parent causing delayed evaluation or initial services</t>
  </si>
  <si>
    <t>F</t>
  </si>
  <si>
    <t>Free Lunch Eligible</t>
  </si>
  <si>
    <t>Identified as economically disadvantaged, determined by individual eligibility, other than Direct Certification, to receive free meals (breakfast and/or lunch) in the National School Lunch Program.</t>
  </si>
  <si>
    <t>Reduced Price Lunch eligible</t>
  </si>
  <si>
    <t>Identified as economically disadvantaged, determined by individual eligibility, other than Direct Certification, to receive reduced-price meals (breakfast and/or lunch) in the National School Lunch Program.</t>
  </si>
  <si>
    <t>Not Eligible</t>
  </si>
  <si>
    <t>Not individually identified as economically disadvantaged.</t>
  </si>
  <si>
    <t>D</t>
  </si>
  <si>
    <t>Direct Certified</t>
  </si>
  <si>
    <t>Identified as economically disadvantaged, determined by individual eligibility through Direct Certification as eligible to receive free meals (breakfast and/or lunch) in the National School Lunch Program.</t>
  </si>
  <si>
    <t>S</t>
  </si>
  <si>
    <t>Survey - Household Income</t>
  </si>
  <si>
    <t>Identified as economically disadvantaged, determined by a qualified measure outside of the NSLP</t>
  </si>
  <si>
    <t>Associate</t>
  </si>
  <si>
    <t>B</t>
  </si>
  <si>
    <t>Bachelors</t>
  </si>
  <si>
    <t>Bachelor of Arts</t>
  </si>
  <si>
    <t>Bachelor of Science</t>
  </si>
  <si>
    <t>Doctorate</t>
  </si>
  <si>
    <t>Ed Specialist (Ed.D.)</t>
  </si>
  <si>
    <t>HS</t>
  </si>
  <si>
    <t>High School</t>
  </si>
  <si>
    <t>Masters</t>
  </si>
  <si>
    <t>Masters of Arts</t>
  </si>
  <si>
    <t>Masters of Science</t>
  </si>
  <si>
    <t>OS</t>
  </si>
  <si>
    <t>Occupational Specialist</t>
  </si>
  <si>
    <t>Active</t>
  </si>
  <si>
    <t>Active employee with current assignments.</t>
  </si>
  <si>
    <t>Inactive</t>
  </si>
  <si>
    <t xml:space="preserve">The employee is currently on an active contract within the District, but not currently working or having active assignments. i.e. Does not have any currently active assignments, but is expected to return to active status at some point in the future.  Examples include: sabbatical, maternity leave, etc. </t>
  </si>
  <si>
    <t>T</t>
  </si>
  <si>
    <t>Terminated</t>
  </si>
  <si>
    <t>Employee is no longer employed by the school district.</t>
  </si>
  <si>
    <t>1A</t>
  </si>
  <si>
    <t>Returning Student
Re-entry from the same school with no interruption of schooling</t>
  </si>
  <si>
    <t xml:space="preserve">A student who had previously entered any class in a school and then continues his or her membership in the same school from one term to the next because of a promotion or demotion, or who transfers from one homeroom or class to another during a regular school session.
</t>
  </si>
  <si>
    <t>1B</t>
  </si>
  <si>
    <t>Transfer from Within District</t>
  </si>
  <si>
    <t xml:space="preserve">A student who transfers from a public school that is located within the administrative boundaries of the same local education agency.
</t>
  </si>
  <si>
    <t>1C</t>
  </si>
  <si>
    <t>Initial Enrollment</t>
  </si>
  <si>
    <t xml:space="preserve">A student already residing in the United States enters a school for the first time in the United States or an outlying area.
</t>
  </si>
  <si>
    <t>2A</t>
  </si>
  <si>
    <t>Transfer From Other Public Idaho District or Charter</t>
  </si>
  <si>
    <t xml:space="preserve">A student who transfers from a public school that is not located within the administrative boundaries of the same local education agency but is in the same state.
</t>
  </si>
  <si>
    <t>2B</t>
  </si>
  <si>
    <t>Transfer in From Non Public Setting</t>
  </si>
  <si>
    <t xml:space="preserve">A student who transfers from a private school (operated by a non-governmental, group or organization) or home school.
</t>
  </si>
  <si>
    <t>2C</t>
  </si>
  <si>
    <t>Transfer In From Out of State</t>
  </si>
  <si>
    <t xml:space="preserve">A student who transfers from a public school that is located in another state or from a United States overseas dependents school.
</t>
  </si>
  <si>
    <t>3A</t>
  </si>
  <si>
    <t>Returning Dropout</t>
  </si>
  <si>
    <t xml:space="preserve">A student who had previously entered any class in a school and then re-enters the same school after he or she has left school due to dropping out during a regular school session.
</t>
  </si>
  <si>
    <t>4A</t>
  </si>
  <si>
    <t>Entering Foreign Exchange student</t>
  </si>
  <si>
    <t xml:space="preserve">A student who has recently moved from a foreign country where he or she had been enrolled in school and enters a school in the United States or an outlying area as a foreign exchange student.
</t>
  </si>
  <si>
    <t>4B</t>
  </si>
  <si>
    <t>Entering Foreign Student</t>
  </si>
  <si>
    <t xml:space="preserve">A student who has recently moved from a foreign country where he or she had been enrolled in school and enters a school in the United States or an outlying area for the first time.
</t>
  </si>
  <si>
    <t>5A</t>
  </si>
  <si>
    <t>Returning Expelled or from Other Temporary Ban</t>
  </si>
  <si>
    <t>Student is returning after having been expelled or after some other temporary status that prevented enrollment.</t>
  </si>
  <si>
    <t>5B</t>
  </si>
  <si>
    <t>Return from Medical Leave</t>
  </si>
  <si>
    <t xml:space="preserve">A student who had previously entered any class in a school and then re-enters the same school after he or she has left school for medical leave during a regular school session.
</t>
  </si>
  <si>
    <t>5E</t>
  </si>
  <si>
    <t>Reenrolling student after temporary parental withdrawal</t>
  </si>
  <si>
    <t>A student who had previously entered any class in a school and then re-enters the same school after he or she has left school for temporary parental withdrawal during a regular school session.</t>
  </si>
  <si>
    <t>6B</t>
  </si>
  <si>
    <t>Repeating 12th Grade</t>
  </si>
  <si>
    <t>A student who is returning after 4 years of high school to fulfill Idaho high school graduation requirements outlined in 08.02.03.105</t>
  </si>
  <si>
    <t>6C</t>
  </si>
  <si>
    <t>Special Ed Community based transition services</t>
  </si>
  <si>
    <t>A student who is returning after 4 years of high school to participate in special education community based transition services</t>
  </si>
  <si>
    <t>01</t>
  </si>
  <si>
    <t>Specific Learning Disability</t>
  </si>
  <si>
    <t>Specific Learning Disability (SLD) means a disorder in one or more of the basic psychological processes involved in understanding or in using language, spoken or written, that may manifest itself in the imperfect ability to listen, think, speak, read, write, spell, or to do mathematical calculations, including conditions such as perceptual disabilities, brain injury, minimal brain dysfunction, dyslexia, and developmental aphasia.</t>
  </si>
  <si>
    <t xml:space="preserve">Only a school age child may be identified as a student with a specific learning disability. </t>
  </si>
  <si>
    <t>02</t>
  </si>
  <si>
    <t>Intellectual Disability</t>
  </si>
  <si>
    <t xml:space="preserve">Intellectual Disability is defined as significantly sub-average intellectual functioning that exists concurrently with deficits in adaptive behavior. These deficits are manifested during the student’s developmental period, and adversely affect the student’s educational performance. </t>
  </si>
  <si>
    <t>04</t>
  </si>
  <si>
    <t>Speech Impairment</t>
  </si>
  <si>
    <t>The term speech impairment includes articulation/phonology disorders, voice disorders, or fluency disorders that adversely impact a child's educational performance.</t>
  </si>
  <si>
    <t>05</t>
  </si>
  <si>
    <t>Language Impairment</t>
  </si>
  <si>
    <t>A language impairment exists when there is a disorder or delay in the development of comprehension and/or the uses of spoken or written language and/or other symbol systems.</t>
  </si>
  <si>
    <t>06</t>
  </si>
  <si>
    <t>Emotional Behavioral Disorder</t>
  </si>
  <si>
    <t>A student with an emotional behavioral disorder exhibits one or more of the following characteristics over a long period of time, and to a marked degree, that adversely affects his or hers educational performance
(a) An inability to learn that is not primarily the result of intellectual disability; hearing, vision, or motor impairment, or other health impairment; 
(b) An inability to build or maintain satisfactory interpersonal relationships with peers and teachers;
(c) Inappropriate types of behavior or feelings under normal circumstances;
(d) A general pervasive mood of unhappiness or depression;
(e) A tendency to develop physical symptoms or fears associated with personal or school problems; or
(f) Schizophrenia.</t>
  </si>
  <si>
    <t>07</t>
  </si>
  <si>
    <t>Other Health Impairment</t>
  </si>
  <si>
    <t>A student classified as having Other Health Impairment exhibits limited strength, vitality, or alertness, including heightened alertness, including heightened alertness to environmental stimuli that results in limited alertness with respect to the educational environment that is due to chronic or acute health problems. These health problems may include, but are not limited to, asthma, attention deficit disorder (ADD), attention deficit hyperactivity disorder (ADHD), cancer, diabetes, epilepsy, Fetal Alcohol Syndrome, a heart condition, hemophilia, lead poisoning, leukemia, nephritis, rheumatic fever, sickle cell anemia, Tourette syndrome, and stroke to such a degree that it adversely affects the student’s educational performance.</t>
  </si>
  <si>
    <t>08</t>
  </si>
  <si>
    <t>Orthopedic Impairment</t>
  </si>
  <si>
    <t xml:space="preserve">Orthopedic impairment means a severe physical limitation that adversely affects a student's educational performance. The term includes impairments caused by congenital anomaly (clubfoot, or absence of an appendage), an impairment caused by disease (poliomyelitis, bone tuberculosis, etc.), or an impairment from other causes (cerebral palsy, amputations, and fractures or burns that cause contracture).
</t>
  </si>
  <si>
    <t>Hearing Impairment</t>
  </si>
  <si>
    <t xml:space="preserve">The IDEA disability category of Hearing Impairment described as Deaf or Hard of Hearing; that whether permanent or fluctuating, impairs the access, comprehension and/or use of linguistic information through hearing, with or without amplification, and that adversely affects a student's educational performance. </t>
  </si>
  <si>
    <t>Visual Impairment</t>
  </si>
  <si>
    <t>Visual impairment refers to an impairment in vision that, even with correction, adversely affects a student’s education performance. The term includes both partial sight and blindness. Partial sight refers to the ability to use vision as one channel of learning if educational materials are adapted. Blindness refers to the prohibition of vision as a channel of learning, regardless of the adaptation of materials.</t>
  </si>
  <si>
    <t>Deaf/Blindness</t>
  </si>
  <si>
    <t>A student with deaf/blindness demonstrates both hearing and visual impairments, the combination of which causes such severe communication and other developmental and educational needs that the student cannot be appropriately educated with special education services designed solely for students with deafness or blindness.</t>
  </si>
  <si>
    <t>Multiple Disabilities</t>
  </si>
  <si>
    <t>Multiple disabilities are two or more co-existing severe impairments, one of which usually includes an intellectual disability, such as intellectual disability/blindness, intellectual disability/orthopedic, etc. Students with multiple disabilities exhibit impairments that are likely to be life long, significantly interfere with independent functioning, and may necessitate environmental modifications to enable the student to participate in school and society. The term does not include deaf/blindness.</t>
  </si>
  <si>
    <t>Developmental Delay</t>
  </si>
  <si>
    <t xml:space="preserve">The term developmental delay may be used only for students ages three (3) until their tenth (10th) birthday who are experiencing developmental delays as measured by appropriate diagnostic instruments and procedures in one or more of the following areas. 
(a) cognitive development -- includes skills involving perceptual discrimination, memory, reasoning, academic skills, and conceptual development;
(b) physical development -- includes skills involving coordination of both the large and small muscles of the body (i.e., gross, fine, and perceptual motor skills);
(c) communication development -- includes skills involving expressive and receptive communication abilities, both verbal and nonverbal;
(d) social or emotional development -- includes skills involving meaningful social interactions with adults and other children including self-expression and coping skills; or
(e) adaptive development -- includes daily living skills (e.g., eating, dressing, and toileting) as well as skills involving attention and personal responsibility.
</t>
  </si>
  <si>
    <t>A student cannot qualify for special education services under developmental delay beyond his or her tenth (10th) birthday unless he or she has been determined to be eligible as having a disability other than developmental delay.</t>
  </si>
  <si>
    <t>Autism Spectrum Disorder</t>
  </si>
  <si>
    <t xml:space="preserve">Autism Spectrum Disorder is a developmental disability, generally evident in the early developmental period, significantly affecting verbal or nonverbal communication and social interaction, and adversely affecting educational performance.  </t>
  </si>
  <si>
    <t>Traumatic Brain Injury</t>
  </si>
  <si>
    <t>Traumatic brain injury refers to an acquired injury to the brain caused by an external physical force resulting in a total or partial functional disability or psychosocial impairment, or both, that adversely affects educational performance. The term applies to open or closed head injuries resulting in impairments in one or more areas such as cognition, language, memory, attention, reasoning, abstract thinking, judgment, problem solving, sensory, perceptual and motor abilities, psychosocial behavior, physical functions, information processing, and speech. The term does not apply to congenital or degenerative brain injuries or to brain injuries induced by birth trauma.</t>
  </si>
  <si>
    <t>Within District To Same School</t>
  </si>
  <si>
    <t xml:space="preserve">Category 1A identifies students who are ending the current school year and are expected to return to the same school for the following school year. </t>
  </si>
  <si>
    <t>Students who are expecting to return to the same school the following school year; or
Students who have not met Idaho graduation requirements, expected to return to the same school the following school year</t>
  </si>
  <si>
    <t>Within District To Different Public School</t>
  </si>
  <si>
    <t>Category 1B identifies students who are transferring to a different public school within the same district.</t>
  </si>
  <si>
    <t>Students who are expected to enroll in different public school within the same district; or
Students who are making a mid-term grade level change within the same district but different public school; or
Students who are transferring to a detention center within the same district.</t>
  </si>
  <si>
    <t>Within Idaho To Different Public School District</t>
  </si>
  <si>
    <t>Category 2A identifies students who are transferring out of current district into a different Idaho public school district.</t>
  </si>
  <si>
    <t>Students who are transferring to another Idaho Public School District; or
Students who are transferring to Idaho School for Deaf and Blind; or
Students who are transferring to a detention center in a different district.</t>
  </si>
  <si>
    <t>Within Idaho To Private School or Federal/State Setting</t>
  </si>
  <si>
    <t>Category 2B identifies students who are exiting the public school system and entering a private or other non-public/federal or state education setting.</t>
  </si>
  <si>
    <t xml:space="preserve">Students who are transferring to an Idaho Private school; or
Students who are transferring to an education setting governed by a federal agency, in Idaho (i.e. Bureau of Indian Education, Job Corps); or
Students who are transferring to an educational setting governed by an Idaho State Agency (i.e. Department of Correction, Department of Juvenile Corrections).
</t>
  </si>
  <si>
    <t>Transfer Out of Idaho to US Public or Non-Public Setting</t>
  </si>
  <si>
    <t xml:space="preserve">Category 2C identifies students who are moving or transferring out of Idaho and into another U.S. public or non-public education setting. </t>
  </si>
  <si>
    <t>Students who are transferring out of Idaho to another U.S. Public School District; or
Students who are transferring out of Idaho to a private school in the U.S.; or
Students who are transferring out of Idaho to a federal or state education setting in a U.S. state.</t>
  </si>
  <si>
    <t>2D</t>
  </si>
  <si>
    <t>Transfer Out of Country</t>
  </si>
  <si>
    <t>Category 2D identifies students who are moving out of country with no expectations of returning.</t>
  </si>
  <si>
    <t>Students who are permanently transferring/moving out of country.</t>
  </si>
  <si>
    <t>2E</t>
  </si>
  <si>
    <t>Within Idaho To Homeschool</t>
  </si>
  <si>
    <t>Category 2E identifies students who are exiting the public school system and entering homeschool setting within Idaho.</t>
  </si>
  <si>
    <t>Students exiting Idaho Public School to become homeschooled.</t>
  </si>
  <si>
    <t>Confirmed Drop Out</t>
  </si>
  <si>
    <t>Category 3A identifies students who have informed the school that they are dropping out.</t>
  </si>
  <si>
    <t>Students who notify the school that they are dropping out.</t>
  </si>
  <si>
    <t>3B</t>
  </si>
  <si>
    <t>Reached Maximum Age</t>
  </si>
  <si>
    <t>Category 3B identifies students who have reached maximum school age.</t>
  </si>
  <si>
    <t>Students who have reached the maximum school age for 18-21 transitional services.</t>
  </si>
  <si>
    <t>3C</t>
  </si>
  <si>
    <t>Expelled</t>
  </si>
  <si>
    <t>Category 3C identifies students removed from the school system due to expulsion; not expected to return.</t>
  </si>
  <si>
    <t>Students who have been permanently expelled.</t>
  </si>
  <si>
    <t>3D</t>
  </si>
  <si>
    <t>Transfer to Adult Education</t>
  </si>
  <si>
    <t>Category 3D identifies students who are exiting secondary school to enroll in a training program or adult education program that will not lead to an Idaho-approved high school diploma.</t>
  </si>
  <si>
    <t>Students who will be enrolling in another vocational education setting, which will not lead to a regular high school diploma (such as a GED). 
** There is NO cooperative agreement with the vocational education provider and the local district.</t>
  </si>
  <si>
    <t>3E</t>
  </si>
  <si>
    <t>Unknown</t>
  </si>
  <si>
    <t xml:space="preserve">Category 3E identifies students whose status is unknown. </t>
  </si>
  <si>
    <t>Students who are not known to be attending school, but have not informed the district that they have dropped out; or
Students believed to have moved away but for whom the district cannot verify enrollment in school elsewhere; or
Students dropped from attendance rosters after excessive truancy.</t>
  </si>
  <si>
    <t>Graduated – Met State Standards</t>
  </si>
  <si>
    <t>Category 4A identifies students who have graduated with a regular high school diploma and is fully aligned with Idaho State High School Graduation Requirements. 08.02.03.105</t>
  </si>
  <si>
    <t>Graduated by completing all necessary high school credit/content graduation requirements, with or without accommodations, and have met any additional graduation requirements. 08.02.03.105
** Special Ed students who graduate with 4A should be exited from special education and are no longer entitled to Free Appropriate Public Education (FAPE)
** Students who have completed adapted (modified or differentiated) course requirements (as determined by an IEP team) should be coded as 4C.</t>
  </si>
  <si>
    <t>4C</t>
  </si>
  <si>
    <t>Completed - Adapted Requirements</t>
  </si>
  <si>
    <t>Category 4C identifies students that did NOT meet Idaho State High School Graduation Requirements outlined in  08.02.03.105 but whose program of study addressed adapted (modified or differentiated) coursework as outlined in an IEP</t>
  </si>
  <si>
    <t>Students with disabilities who have satisfied an IEP but NOT regular Idaho State High School Graduation Requirements; 
** Student who qualify for special education are entitled to FAPE until the semester in which the student turns 21 - IDAPA 08.02.03.109.07  
** Students with this exit code are counted and reported as non graduates.</t>
  </si>
  <si>
    <t>4G</t>
  </si>
  <si>
    <t>Early Graduate 1 Year</t>
  </si>
  <si>
    <t>Category 4G identifies students who have graduated 1 year early and eligible for MAP one Scholarship.
33-4602(5) Any student who successfully completes public school grades 1 through 12 curriculum at least one (1) year early shall be eligible for an advanced opportunities scholarship.</t>
  </si>
  <si>
    <t>Students who have graduated 1 year early and eligible for MAP one Scholarship.
33-4602(5) Any student who successfully completes public school grades 1 through 12 curriculum at least one (1) year early shall be eligible for an advanced opportunities scholarship.</t>
  </si>
  <si>
    <t>4H</t>
  </si>
  <si>
    <t>Early Graduate 2 Year</t>
  </si>
  <si>
    <t>Category 4H identifies students who have graduated 2 years early and eligible for MAP two Scholarship.
33-4602(5) Any student who successfully completes public school grades 1 through 12 curriculum at least one (1) year early shall be eligible for an advanced opportunities scholarship.</t>
  </si>
  <si>
    <t>Students who have graduated 2 years early and eligible for MAP two Scholarship.
33-4602(5) Any student who successfully completes public school grades 1 through 12 curriculum at least one (1) year early shall be eligible for an advanced opportunities scholarship.</t>
  </si>
  <si>
    <t>4I</t>
  </si>
  <si>
    <t>Early Graduate 3 Year</t>
  </si>
  <si>
    <t>Category 4I identifies students who have graduated 3 years early and eligible for MAP three Scholarship.
33-4602(5) Any student who successfully completes public school grades 1 through 12 curriculum at least one (1) year early shall be eligible for an advanced opportunities scholarship.</t>
  </si>
  <si>
    <t>Students who have graduated 3 years early and eligible for MAP three Scholarship.
33-4602(5) Any student who successfully completes public school grades 1 through 12 curriculum at least one (1) year early shall be eligible for an advanced opportunities scholarship.</t>
  </si>
  <si>
    <t>Temporarily Unenrolled</t>
  </si>
  <si>
    <t xml:space="preserve">Category 5A identifies students who are temporarily unenrolled from a district and are expected to return. </t>
  </si>
  <si>
    <t xml:space="preserve">Students from an alternative setting temporarily removed for attendance reasons but expected to reenroll with the next session; or
Students prevented from attending school because they have not presented proper evidence of required immunizations; or
Students temporarily traveling out of state and expected to return; or
Students who are participating in seasonal work; or
Students who are temporarily unenrolled from a district for disciplinary or other eligibility reasons. </t>
  </si>
  <si>
    <t>Medical Leave/Permanent Incapacitation</t>
  </si>
  <si>
    <t xml:space="preserve">Category 5B identifies students who cannot receive education services because of a severe/long-term medical condition or the location of treatment. 
</t>
  </si>
  <si>
    <t xml:space="preserve">Students may be participating in drug treatment or residing in rehabilitative centers. 
Students may be chronically ill, or suffer from an illness of such severity that they cannot receive education services. 
</t>
  </si>
  <si>
    <t>5C</t>
  </si>
  <si>
    <t>US Resident Exiting to Foreign Exchange Program</t>
  </si>
  <si>
    <t xml:space="preserve">Category 5C identifies students who are U.S. citizens and have withdrawn from an Idaho public school system to participate in a foreign exchange program in another country. </t>
  </si>
  <si>
    <t xml:space="preserve">Idaho resident students leaving to participate in a foreign exchange program in another country </t>
  </si>
  <si>
    <t>5F</t>
  </si>
  <si>
    <t>Foreign Exchange Student Exiting District/School</t>
  </si>
  <si>
    <t xml:space="preserve">Category 5F identifies foreign exchange students who are withdrawing from the U.S. school system to switch schools or districts or to return to their home country from participation in their foreign exchange program. </t>
  </si>
  <si>
    <t>Non-U.S. resident exchange visitors/students switching districts, schools or leaving Idaho to return to their home country, from participating in a foreign exchange program.</t>
  </si>
  <si>
    <t>6A</t>
  </si>
  <si>
    <t>Deceased</t>
  </si>
  <si>
    <t>Category 6A identifies students who have passed away.</t>
  </si>
  <si>
    <t>Students who have passed away.</t>
  </si>
  <si>
    <t>Extracurricular activities; e.g. coaching, debate, special music, drama</t>
  </si>
  <si>
    <t>Funded by code 10 - General Fund</t>
  </si>
  <si>
    <t>Driver training</t>
  </si>
  <si>
    <t>Funded by code 09 - Other State/Local</t>
  </si>
  <si>
    <t>Fringe Benefit Cash Amount (Cash from Pool Allotment)</t>
  </si>
  <si>
    <t>Special curriculum assignments and department heads</t>
  </si>
  <si>
    <t>E</t>
  </si>
  <si>
    <t>Extended Summer Contracts (paid from funds other than general maintenance and operation)</t>
  </si>
  <si>
    <t>Stipend or Bonus (paid from general funds)</t>
  </si>
  <si>
    <t>G</t>
  </si>
  <si>
    <t>Extended Summer Contracts (not reimbursed by Professional-Technical)</t>
  </si>
  <si>
    <t>L</t>
  </si>
  <si>
    <t>Leadership Premium (Per I.C. 33-1004J)</t>
  </si>
  <si>
    <t>National Board Certified Benefit</t>
  </si>
  <si>
    <t>Stipend or Bonus (paid from federal funds)</t>
  </si>
  <si>
    <t>Funded by code 08 - Federal Fund</t>
  </si>
  <si>
    <t>Stipend or Bonus (paid from other state funds)</t>
  </si>
  <si>
    <t>512</t>
  </si>
  <si>
    <t>Elementary School Program</t>
  </si>
  <si>
    <t>515</t>
  </si>
  <si>
    <t>Secondary School Program</t>
  </si>
  <si>
    <t>517</t>
  </si>
  <si>
    <t>Alternative School Program</t>
  </si>
  <si>
    <t>519</t>
  </si>
  <si>
    <t>Vocational-Technical Program</t>
  </si>
  <si>
    <t>521</t>
  </si>
  <si>
    <r>
      <t>Special Education Program</t>
    </r>
    <r>
      <rPr>
        <i/>
        <sz val="10"/>
        <rFont val="MS Reference Sans Serif"/>
        <family val="2"/>
      </rPr>
      <t xml:space="preserve"> (formerly Exceptional Child Program) </t>
    </r>
  </si>
  <si>
    <t>522</t>
  </si>
  <si>
    <r>
      <t>Special Education Preschool Program</t>
    </r>
    <r>
      <rPr>
        <i/>
        <sz val="10"/>
        <rFont val="MS Reference Sans Serif"/>
        <family val="2"/>
      </rPr>
      <t xml:space="preserve"> (formerly Preschool Exceptional Prog.)</t>
    </r>
  </si>
  <si>
    <t>524</t>
  </si>
  <si>
    <t>Gifted &amp; Talented Program</t>
  </si>
  <si>
    <t>531</t>
  </si>
  <si>
    <t>Interscholastic Program</t>
  </si>
  <si>
    <t>532</t>
  </si>
  <si>
    <t>School Activity Program</t>
  </si>
  <si>
    <t>541</t>
  </si>
  <si>
    <t>Summer School Program</t>
  </si>
  <si>
    <t>542</t>
  </si>
  <si>
    <t>Adult School Program</t>
  </si>
  <si>
    <t>546</t>
  </si>
  <si>
    <t>Detention Center Program</t>
  </si>
  <si>
    <t>611</t>
  </si>
  <si>
    <t>Attendance - Guidance - Health Program</t>
  </si>
  <si>
    <t>616</t>
  </si>
  <si>
    <r>
      <t xml:space="preserve">Special Education Support Services Program </t>
    </r>
    <r>
      <rPr>
        <i/>
        <sz val="10"/>
        <rFont val="MS Reference Sans Serif"/>
        <family val="2"/>
      </rPr>
      <t>(formerly Spec. Services Prog.)</t>
    </r>
  </si>
  <si>
    <t>621</t>
  </si>
  <si>
    <t>Instruction Improvement Program</t>
  </si>
  <si>
    <t>622</t>
  </si>
  <si>
    <t>Educational Media Program</t>
  </si>
  <si>
    <t>623</t>
  </si>
  <si>
    <t>Instruction-Related Technology Program</t>
  </si>
  <si>
    <t>631</t>
  </si>
  <si>
    <t>Board of Education Program</t>
  </si>
  <si>
    <t>632</t>
  </si>
  <si>
    <t>District Administration Program</t>
  </si>
  <si>
    <t>641</t>
  </si>
  <si>
    <t>School Administration Program</t>
  </si>
  <si>
    <t>651</t>
  </si>
  <si>
    <t>Business Operation Program</t>
  </si>
  <si>
    <t>655</t>
  </si>
  <si>
    <t>Central Service Program</t>
  </si>
  <si>
    <t>656</t>
  </si>
  <si>
    <t>Administrative Technology Service</t>
  </si>
  <si>
    <t>661</t>
  </si>
  <si>
    <t>Buildings - Care Program (Custodial)</t>
  </si>
  <si>
    <t>663</t>
  </si>
  <si>
    <t>Maintenance - Non-Student Occupied</t>
  </si>
  <si>
    <t>664</t>
  </si>
  <si>
    <t>Maintenance - Student-Occupied Buildings</t>
  </si>
  <si>
    <t>665</t>
  </si>
  <si>
    <t>Maintenance - Grounds</t>
  </si>
  <si>
    <t>667</t>
  </si>
  <si>
    <t>Security Program</t>
  </si>
  <si>
    <t>681</t>
  </si>
  <si>
    <t>Pupil-To-School Transportation. Program</t>
  </si>
  <si>
    <t>682</t>
  </si>
  <si>
    <t>Pupil-Activity Transportation Program</t>
  </si>
  <si>
    <t>683</t>
  </si>
  <si>
    <t>General Transportation Program</t>
  </si>
  <si>
    <t>691</t>
  </si>
  <si>
    <t>Other Support Services Program</t>
  </si>
  <si>
    <t>710</t>
  </si>
  <si>
    <t>Child Nutrition Program</t>
  </si>
  <si>
    <t>720</t>
  </si>
  <si>
    <t>Community Services Program</t>
  </si>
  <si>
    <t>730</t>
  </si>
  <si>
    <t>Enterprise Operations Program</t>
  </si>
  <si>
    <t>740</t>
  </si>
  <si>
    <t>School Activity Fund (Agency Fund)</t>
  </si>
  <si>
    <t>810</t>
  </si>
  <si>
    <t>Capital Assets - Student-Occupied (Qualifying Expd)</t>
  </si>
  <si>
    <t>811</t>
  </si>
  <si>
    <t>Capital Assets - Non-Student Occupied (&amp; Student-Occupied Bldg Non-Qualifying Expenditures)</t>
  </si>
  <si>
    <t>911</t>
  </si>
  <si>
    <t>Debt Services Program - Principal</t>
  </si>
  <si>
    <t>912</t>
  </si>
  <si>
    <t>Debt Services Program - Interest</t>
  </si>
  <si>
    <t>913</t>
  </si>
  <si>
    <t>Debt Services Program - Refunded Debt</t>
  </si>
  <si>
    <t>920</t>
  </si>
  <si>
    <t>Fund Transfers - Out</t>
  </si>
  <si>
    <t>General M &amp; O</t>
  </si>
  <si>
    <t>220</t>
  </si>
  <si>
    <t xml:space="preserve">Federal Forest Reserve </t>
  </si>
  <si>
    <t>230</t>
  </si>
  <si>
    <t>Local Special Projects</t>
  </si>
  <si>
    <t>231</t>
  </si>
  <si>
    <t>232</t>
  </si>
  <si>
    <t>233</t>
  </si>
  <si>
    <t>234</t>
  </si>
  <si>
    <t>235</t>
  </si>
  <si>
    <t>236</t>
  </si>
  <si>
    <t>237</t>
  </si>
  <si>
    <t>238</t>
  </si>
  <si>
    <t>Student Activity Fund</t>
  </si>
  <si>
    <t>239</t>
  </si>
  <si>
    <t>240</t>
  </si>
  <si>
    <t>School Building Maintenance (Student-Occupied)</t>
  </si>
  <si>
    <t>241</t>
  </si>
  <si>
    <t>Driver Education - State</t>
  </si>
  <si>
    <t>242</t>
  </si>
  <si>
    <t>State Special Projects</t>
  </si>
  <si>
    <t>243</t>
  </si>
  <si>
    <t>Professional Technical - State</t>
  </si>
  <si>
    <t>244</t>
  </si>
  <si>
    <t>245</t>
  </si>
  <si>
    <t>Technology - State</t>
  </si>
  <si>
    <t>246</t>
  </si>
  <si>
    <t xml:space="preserve">Substance Abuse - State </t>
  </si>
  <si>
    <t>247</t>
  </si>
  <si>
    <t>248</t>
  </si>
  <si>
    <t>249</t>
  </si>
  <si>
    <t>251</t>
  </si>
  <si>
    <t>Title I-A ESSA - Improving Basic Programs</t>
  </si>
  <si>
    <t>252</t>
  </si>
  <si>
    <t>ESSERF, CARES Act</t>
  </si>
  <si>
    <t>253</t>
  </si>
  <si>
    <t>Title I-C ESSA - Education of Migratory Children</t>
  </si>
  <si>
    <t>254</t>
  </si>
  <si>
    <t>Title I - Other</t>
  </si>
  <si>
    <t>255</t>
  </si>
  <si>
    <t>Title I-D ESSA - Neglected &amp; Delinquent Children</t>
  </si>
  <si>
    <t>256</t>
  </si>
  <si>
    <t>Reserved (formerly Title I-F ESEA - Compr. School Reform)</t>
  </si>
  <si>
    <t>257</t>
  </si>
  <si>
    <t>IDEA Part B (611 School Age 3-21)</t>
  </si>
  <si>
    <t>258</t>
  </si>
  <si>
    <t>IDEA Part B  (619 Pre-School Age 3-5)</t>
  </si>
  <si>
    <t>260</t>
  </si>
  <si>
    <t>School-Based Medicaid</t>
  </si>
  <si>
    <t>Title IV-A ESSA - Student Support and Academic Enrichment</t>
  </si>
  <si>
    <t>262</t>
  </si>
  <si>
    <t>Title V-B ESSA - Rural Education Initiative</t>
  </si>
  <si>
    <t>263</t>
  </si>
  <si>
    <t>Perkins IV - Professional Technical Act</t>
  </si>
  <si>
    <t>267</t>
  </si>
  <si>
    <t>Title VII-A  Indian Education</t>
  </si>
  <si>
    <t>269</t>
  </si>
  <si>
    <t xml:space="preserve">Johnson O'Malley </t>
  </si>
  <si>
    <t>270</t>
  </si>
  <si>
    <t>Title III-A ESSA - English Language Acquisition</t>
  </si>
  <si>
    <t>271</t>
  </si>
  <si>
    <t>Title II-A ESEA - Supporting Effective Instruction</t>
  </si>
  <si>
    <t>272</t>
  </si>
  <si>
    <t>Federal Special Projects</t>
  </si>
  <si>
    <t>273</t>
  </si>
  <si>
    <t>Title IV-B ESEA - 21st Century Community Learning Centers</t>
  </si>
  <si>
    <t>274</t>
  </si>
  <si>
    <t>275</t>
  </si>
  <si>
    <t>276</t>
  </si>
  <si>
    <t>277</t>
  </si>
  <si>
    <t>278</t>
  </si>
  <si>
    <t>279</t>
  </si>
  <si>
    <t>280</t>
  </si>
  <si>
    <t>281</t>
  </si>
  <si>
    <t>282</t>
  </si>
  <si>
    <t>Reserved (formerly Title II-D ESEA - Technology)</t>
  </si>
  <si>
    <t>283</t>
  </si>
  <si>
    <t>284</t>
  </si>
  <si>
    <t>285</t>
  </si>
  <si>
    <t>286</t>
  </si>
  <si>
    <t>287</t>
  </si>
  <si>
    <t>288</t>
  </si>
  <si>
    <t>289</t>
  </si>
  <si>
    <t>290</t>
  </si>
  <si>
    <t>Child Nutrition</t>
  </si>
  <si>
    <t>300</t>
  </si>
  <si>
    <t>Debt Service Fund</t>
  </si>
  <si>
    <t>310</t>
  </si>
  <si>
    <t xml:space="preserve">Bond Redemption &amp; Interest </t>
  </si>
  <si>
    <t>400</t>
  </si>
  <si>
    <t>Capital Project Funds</t>
  </si>
  <si>
    <t>410</t>
  </si>
  <si>
    <t>Capital Construction Projects</t>
  </si>
  <si>
    <t>420</t>
  </si>
  <si>
    <t>Plant Facilities</t>
  </si>
  <si>
    <t>424</t>
  </si>
  <si>
    <t>Plant Facilities - Bus Depreciation</t>
  </si>
  <si>
    <t>425</t>
  </si>
  <si>
    <t>Plant Facilities - Lottery</t>
  </si>
  <si>
    <t>427</t>
  </si>
  <si>
    <t>Plant Facilities - Lease Excess</t>
  </si>
  <si>
    <t>430</t>
  </si>
  <si>
    <t>Plant Facilities - School Building Maintenance Student-Occupied</t>
  </si>
  <si>
    <t>490</t>
  </si>
  <si>
    <t>Insurance Adjustment Fund</t>
  </si>
  <si>
    <t>500</t>
  </si>
  <si>
    <t>Enterprise Funds</t>
  </si>
  <si>
    <t>510</t>
  </si>
  <si>
    <t>Enterprise Fund</t>
  </si>
  <si>
    <t>600</t>
  </si>
  <si>
    <t>Internal Service Funds</t>
  </si>
  <si>
    <t>610</t>
  </si>
  <si>
    <t>Internal Service</t>
  </si>
  <si>
    <t>700</t>
  </si>
  <si>
    <t>Fiduciary Funds</t>
  </si>
  <si>
    <t>Expendable Trust Funds</t>
  </si>
  <si>
    <t>711</t>
  </si>
  <si>
    <t>712</t>
  </si>
  <si>
    <t>713</t>
  </si>
  <si>
    <t>714</t>
  </si>
  <si>
    <t>715</t>
  </si>
  <si>
    <t>716</t>
  </si>
  <si>
    <t>717</t>
  </si>
  <si>
    <t>718</t>
  </si>
  <si>
    <t>719</t>
  </si>
  <si>
    <t>Non-Expendable Trust</t>
  </si>
  <si>
    <t>721</t>
  </si>
  <si>
    <t>722</t>
  </si>
  <si>
    <t>723</t>
  </si>
  <si>
    <t>724</t>
  </si>
  <si>
    <t>725</t>
  </si>
  <si>
    <t>726</t>
  </si>
  <si>
    <t>727</t>
  </si>
  <si>
    <t>728</t>
  </si>
  <si>
    <t>729</t>
  </si>
  <si>
    <t>750</t>
  </si>
  <si>
    <t>General Fixed Assets</t>
  </si>
  <si>
    <t>910</t>
  </si>
  <si>
    <t>General Long Term Debt</t>
  </si>
  <si>
    <t>Title I-A</t>
  </si>
  <si>
    <t>Improving Basic Programs</t>
  </si>
  <si>
    <t>Title I-C</t>
  </si>
  <si>
    <t>Migrant Education</t>
  </si>
  <si>
    <t>03</t>
  </si>
  <si>
    <t>Title VI-B</t>
  </si>
  <si>
    <t>Rural &amp; Low-Income Schools/REAP</t>
  </si>
  <si>
    <t>IDEA -- Special Ed</t>
  </si>
  <si>
    <t>IDEA -- Preschool</t>
  </si>
  <si>
    <t>Transportation Program</t>
  </si>
  <si>
    <t>Food Service Program</t>
  </si>
  <si>
    <t>Other Federal</t>
  </si>
  <si>
    <t>09</t>
  </si>
  <si>
    <t>Other State/Local</t>
  </si>
  <si>
    <t>General Fund</t>
  </si>
  <si>
    <t>Includes State LEP Funds</t>
  </si>
  <si>
    <t>Title II-A</t>
  </si>
  <si>
    <t>Teacher &amp; Principal Quality</t>
  </si>
  <si>
    <t>Title X-C</t>
  </si>
  <si>
    <t>McKinney-Vento Homeless Education</t>
  </si>
  <si>
    <t>Title X-C Subgrant</t>
  </si>
  <si>
    <t>McKinney-Vento Homeless Education Subgrant</t>
  </si>
  <si>
    <t>Title III-A</t>
  </si>
  <si>
    <t>Language Instruction for LEP &amp; Immigrant Students</t>
  </si>
  <si>
    <t>Title III-A Subgrant</t>
  </si>
  <si>
    <t>Immigrant Subgrant</t>
  </si>
  <si>
    <t>Title I-D Subpart 1</t>
  </si>
  <si>
    <t>Neglected or Delinquent Subpart 1</t>
  </si>
  <si>
    <t>Title I-D Subpart 2</t>
  </si>
  <si>
    <t>Neglected or Delinquent Subpart 2</t>
  </si>
  <si>
    <t>Female</t>
  </si>
  <si>
    <t xml:space="preserve">The biological trait that distinguishes a persons sex as female. As shown from a legal document. (i.e. Birth Certificate, Court document, Passport, State Issued Identification, etc.) Note: This field is not to be used for “Gender Identity” purposes. </t>
  </si>
  <si>
    <t>Male</t>
  </si>
  <si>
    <t xml:space="preserve">The biological trait that distinguishes a persons sex as male. As shown from a legal document. (i.e. Birth Certificate, Court document, Passport, State Issued Identification, etc.) Note: This field is not to be used for “Gender Identity” purposes. </t>
  </si>
  <si>
    <t>Graduate - Met Regular Requirements</t>
  </si>
  <si>
    <t>Graduated with diploma – met regular requirements: Student exited by meeting comparable academic requirements that are equally as rigorous as regular academic requirements established by the district and received an identical diploma. Also include:
  • Students who continued in secondary education and a GED program and received a GED
  • Students incarcerated in juvenile detention or adult corrections and received a GED</t>
  </si>
  <si>
    <t>Students that did NOT meet Idaho State High School Graduation Requirements outlined in 08.02.03.105 but whose program of study addressed adapted (modified or differentiated) coursework.</t>
  </si>
  <si>
    <t>Reached Maximum Age: Student completed the semester in which he or she turned 21 without receiving a diploma or certificate.</t>
  </si>
  <si>
    <t>Dropped Out</t>
  </si>
  <si>
    <t>Dropped out: Student was on last year’s child count, is not currently enrolled, and does not meet the definition for any other inactive reason. Include:
  • dropouts
  • runaways
  • expelled students (not receiving district services)
  • students whose status is unknown
  • students who left school and then received a GED</t>
  </si>
  <si>
    <t>Transfer to Another Education Environment</t>
  </si>
  <si>
    <t>Transferred to Another Educational setting: Student moved out of the district’s catchment area or otherwise transferred to another district or LEA and is known to be continuing in a general or special education program. Include students receiving education in:
  • residential treatment centers
  • juvenile detention centers
  • correctional facilities
  • private schools
  • Job Corps
  • Virtual Charter Schools
To use this code there must be verification that the student is continuing in some education program in the form of a request for records or a statement from the parents. Hearsay is not adequate verification that the student is known to continue.</t>
  </si>
  <si>
    <t>End of Formal Services</t>
  </si>
  <si>
    <t>Student no longer receives program services.</t>
  </si>
  <si>
    <t>Deceased: Student died since the last count.</t>
  </si>
  <si>
    <t>Summer Break</t>
  </si>
  <si>
    <t xml:space="preserve">Student has active gifted IEP, temporarily exiting program services for Summer break, expected to return in fall - to advance grade level or program. </t>
  </si>
  <si>
    <t>No Grade Level Specified</t>
  </si>
  <si>
    <t>Pre-Kindergarten</t>
  </si>
  <si>
    <t>PreKindergarten includes students who are enrolled in programs/groups/classes that are:
(a) supported with public education funds or fees charged by the local education agency;
(b) administered by a public school, local education agency, or SEA; and 
(c) offered to children who are below the kindergarten age requirement, or meet some other criterion that establishes the state or local definition of prekindergarten.</t>
  </si>
  <si>
    <t>000</t>
  </si>
  <si>
    <t>General Category - Out-of-State</t>
  </si>
  <si>
    <t>010</t>
  </si>
  <si>
    <t>Boise State University</t>
  </si>
  <si>
    <t>020</t>
  </si>
  <si>
    <t xml:space="preserve">College of Idaho </t>
  </si>
  <si>
    <t>023</t>
  </si>
  <si>
    <t>College of St Gertrude</t>
  </si>
  <si>
    <t>025</t>
  </si>
  <si>
    <t>College of Western Idaho</t>
  </si>
  <si>
    <t>030</t>
  </si>
  <si>
    <t>Idaho State University</t>
  </si>
  <si>
    <t>035</t>
  </si>
  <si>
    <t>Lewis-Clark State College</t>
  </si>
  <si>
    <t>040</t>
  </si>
  <si>
    <t>North Idaho College</t>
  </si>
  <si>
    <t>045</t>
  </si>
  <si>
    <t>Albion or Southern College of Idaho</t>
  </si>
  <si>
    <t>050</t>
  </si>
  <si>
    <t>Northwest Nazarene University</t>
  </si>
  <si>
    <t>055</t>
  </si>
  <si>
    <t xml:space="preserve">BYU - Utah </t>
  </si>
  <si>
    <t>060</t>
  </si>
  <si>
    <t>BYU - Idaho</t>
  </si>
  <si>
    <t>065</t>
  </si>
  <si>
    <t>Gooding College</t>
  </si>
  <si>
    <t>070</t>
  </si>
  <si>
    <t>University of Idaho</t>
  </si>
  <si>
    <t>075</t>
  </si>
  <si>
    <t>ISU/UI At University Place - Idaho Falls</t>
  </si>
  <si>
    <t>080</t>
  </si>
  <si>
    <t>Magic Valley Christian College</t>
  </si>
  <si>
    <t>082</t>
  </si>
  <si>
    <t>College of Eastern Idaho</t>
  </si>
  <si>
    <t>085</t>
  </si>
  <si>
    <t>College of Southern Idaho</t>
  </si>
  <si>
    <t>090</t>
  </si>
  <si>
    <t>Other Idaho College or University</t>
  </si>
  <si>
    <t>Shelters</t>
  </si>
  <si>
    <t>Supervised public or private facilities that provide temporary living accommodations to individuals without permanent housing</t>
  </si>
  <si>
    <t xml:space="preserve">Includes: missions, domestic violence shelters or homeless shelters </t>
  </si>
  <si>
    <t>Doubled-up</t>
  </si>
  <si>
    <t xml:space="preserve">Doubled-up </t>
  </si>
  <si>
    <t>Includes: living with another family</t>
  </si>
  <si>
    <t>Unsheltered</t>
  </si>
  <si>
    <t>Includes: cars, parks, campgrounds, temporary trailer, or abandoned buildings</t>
  </si>
  <si>
    <t>Hotel/Motel</t>
  </si>
  <si>
    <t>Indcludes: hotels and motels</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</si>
  <si>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</si>
  <si>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</si>
  <si>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</si>
  <si>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</si>
  <si>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</si>
  <si>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</si>
  <si>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</si>
  <si>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</si>
  <si>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</si>
  <si>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</si>
  <si>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</si>
  <si>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</si>
  <si>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</si>
  <si>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</si>
  <si>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</si>
  <si>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</si>
  <si>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</si>
  <si>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</si>
  <si>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</si>
  <si>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</si>
  <si>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</si>
  <si>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</si>
  <si>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</si>
  <si>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</si>
  <si>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</si>
  <si>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</si>
  <si>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</si>
  <si>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</si>
  <si>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</si>
  <si>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</si>
  <si>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</si>
  <si>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</si>
  <si>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</si>
  <si>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</si>
  <si>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</si>
  <si>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</si>
  <si>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</si>
  <si>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</si>
  <si>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</si>
  <si>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</si>
  <si>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</si>
  <si>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</si>
  <si>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</si>
  <si>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</si>
  <si>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Other County or location outside of Idaho</t>
  </si>
  <si>
    <t>DRG</t>
  </si>
  <si>
    <t>Drugs</t>
  </si>
  <si>
    <t>SBI</t>
  </si>
  <si>
    <t>Serious Bodily Injury</t>
  </si>
  <si>
    <t>WPN</t>
  </si>
  <si>
    <t>Weapons Possession</t>
  </si>
  <si>
    <t>WPU</t>
  </si>
  <si>
    <t>Weapons Use</t>
  </si>
  <si>
    <t>CT</t>
  </si>
  <si>
    <t>Co Taught</t>
  </si>
  <si>
    <t>Co-taught is an approach to program delivery where two or more teachers ( generally a general and special education teachers, but not always) share teaching responsibilities within a regular classroom.  Co-teaching is two or more people sharing responsibility for teaching some or all of the students assigned to a classroom. It involves the distribution of responsibility among people for planning, instruction, and evaluation for a classroom of students.</t>
  </si>
  <si>
    <t>DA</t>
  </si>
  <si>
    <t>Distance Learning (All Students)</t>
  </si>
  <si>
    <t>The instructor and all the students in the course are in different locations.  The instruction interaction takes place in real time.  Examples include video conferencing, IEN and WebEx, Live Meeting, etc.</t>
  </si>
  <si>
    <t>DS</t>
  </si>
  <si>
    <t>Distance learning (Some Students)</t>
  </si>
  <si>
    <t>The instructor is in the classroom with some students, while other students are at another location. The instruction interaction is in real time.  Examples include video conferencing, IEN and WebEx, Live Meeting, etc..</t>
  </si>
  <si>
    <t>Sheltered English Class</t>
  </si>
  <si>
    <t>Sheltered Instruction, is a teaching style founded on the concept of providing meaningful instruction in the content areas (social studies, math, science) for transitioning Limited English Proficient (LEP) students towards higher academic achievement while they reach English fluency. Sometimes the children are all in the same grade level, but other times, particularly when there are a limited number of gifted children, the classroom may contain children spanning more than one grade level, grades four through six, for example.</t>
  </si>
  <si>
    <t>RC</t>
  </si>
  <si>
    <t>Regular Classroom</t>
  </si>
  <si>
    <t>“Regular Education Class” refers to the educational environments where children without disabilities receive instruction and participate in activities throughout the school day. It includes instruction that occurs outside of the actual classroom such as within the school or community where interaction occurs with persons without disabilities (example – assemblies, field trips, etc.).</t>
  </si>
  <si>
    <t>RR</t>
  </si>
  <si>
    <t>Resource Room</t>
  </si>
  <si>
    <t>A student is not in this room 100% of the day normally but rather  Resource rooms are classrooms where a special education teacher instructs and assists students identified with a disability. These classrooms are staffed by special education teachers and sometimes paraprofessionals. The number of students in a resource room at a specific time varies, but typically consists of at most five students per instructor. Mainstreaming in education typically includes this service to students with special needs. These students receive special instruction in an individualized or group setting for a portion of the day. Individual needs are supported in resource rooms as defined by the student's Individualized Education Program (IEP).] The student getting this type of support will receive some time in the resource room, which is referred to as a "removal from the regular education environment" portion of the day and sometime in the regular classroom with modifications and/or accommodations which may include specialized instruction with their non-disabled peers. Special education support within the regular education setting is part of the "inclusion model.”</t>
  </si>
  <si>
    <t>Self-Contained Classroom</t>
  </si>
  <si>
    <t>A self-contained classroom is one in which the students share similar academic requirements. For example, all the gifted children in a school or school district will be contained in the same classroom.</t>
  </si>
  <si>
    <t>Virtual</t>
  </si>
  <si>
    <t>Virtual class where the instructor and the student are in different locations and the interaction is not in real time. Examples include on-line, correspondence, computer-based, etc.</t>
  </si>
  <si>
    <t>AM Only - Every Day</t>
  </si>
  <si>
    <t>PM Only Every Day</t>
  </si>
  <si>
    <t>Wk 1 M,W,F and Wk 2 T,Th</t>
  </si>
  <si>
    <t>M, W every other F</t>
  </si>
  <si>
    <t>T, Th every other F</t>
  </si>
  <si>
    <t>AM and PM (full day) every day</t>
  </si>
  <si>
    <t>Other schedule type 7</t>
  </si>
  <si>
    <t>Other schedule type 8</t>
  </si>
  <si>
    <t>Other schedule type 9</t>
  </si>
  <si>
    <t>aar</t>
  </si>
  <si>
    <t>Afar</t>
  </si>
  <si>
    <t>abk</t>
  </si>
  <si>
    <t>Abkhazian</t>
  </si>
  <si>
    <t>ace</t>
  </si>
  <si>
    <t>Acehnese, Achinese</t>
  </si>
  <si>
    <t>ach</t>
  </si>
  <si>
    <t>Acoli</t>
  </si>
  <si>
    <t>ada</t>
  </si>
  <si>
    <t>Adangme</t>
  </si>
  <si>
    <t>ady</t>
  </si>
  <si>
    <t>Adyghe, Adygei</t>
  </si>
  <si>
    <t>afa</t>
  </si>
  <si>
    <t>Afroasiatic languages</t>
  </si>
  <si>
    <t>afh</t>
  </si>
  <si>
    <t>Afrihili</t>
  </si>
  <si>
    <t>afr</t>
  </si>
  <si>
    <t>Afrikaans</t>
  </si>
  <si>
    <t>ain</t>
  </si>
  <si>
    <t>Ainu (Japan)</t>
  </si>
  <si>
    <t>aka</t>
  </si>
  <si>
    <t>Akan</t>
  </si>
  <si>
    <t>akk</t>
  </si>
  <si>
    <t>Akkadian</t>
  </si>
  <si>
    <t>alb</t>
  </si>
  <si>
    <t>Albanian</t>
  </si>
  <si>
    <t>ale</t>
  </si>
  <si>
    <t>Aleut</t>
  </si>
  <si>
    <t>alg</t>
  </si>
  <si>
    <t>Algonquian languages</t>
  </si>
  <si>
    <t>alt</t>
  </si>
  <si>
    <t>Southern Altai</t>
  </si>
  <si>
    <t>amh</t>
  </si>
  <si>
    <t>Amharic</t>
  </si>
  <si>
    <t>ang</t>
  </si>
  <si>
    <t>English, Old (ca. 450-1100)</t>
  </si>
  <si>
    <t>anp</t>
  </si>
  <si>
    <t>Angika</t>
  </si>
  <si>
    <t>apa</t>
  </si>
  <si>
    <t>Apache languages</t>
  </si>
  <si>
    <t>ara</t>
  </si>
  <si>
    <t>Arabic</t>
  </si>
  <si>
    <t>arc</t>
  </si>
  <si>
    <t>Official Aramaic, Imperial Aramaic (700–300 BC)</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</si>
  <si>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</si>
  <si>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</si>
  <si>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</si>
  <si>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</si>
  <si>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</si>
  <si>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</si>
  <si>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</si>
  <si>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</si>
  <si>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</si>
  <si>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</si>
  <si>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</si>
  <si>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</si>
  <si>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</si>
  <si>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</si>
  <si>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</si>
  <si>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</si>
  <si>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</si>
  <si>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Athabaskan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</si>
  <si>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</si>
  <si>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</si>
  <si>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</si>
  <si>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</si>
  <si>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</si>
  <si>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</si>
  <si>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</si>
  <si>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</si>
  <si>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</si>
  <si>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</si>
  <si>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</si>
  <si>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</si>
  <si>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</si>
  <si>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</si>
  <si>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</si>
  <si>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</si>
  <si>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</si>
  <si>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</si>
  <si>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</si>
  <si>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</si>
  <si>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</si>
  <si>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</si>
  <si>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</si>
  <si>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</si>
  <si>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</si>
  <si>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</si>
  <si>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</si>
  <si>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</si>
  <si>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</si>
  <si>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</si>
  <si>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</si>
  <si>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</si>
  <si>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</si>
  <si>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</si>
  <si>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</si>
  <si>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</si>
  <si>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</si>
  <si>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</si>
  <si>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</si>
  <si>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</si>
  <si>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</si>
  <si>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</si>
  <si>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</si>
  <si>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</si>
  <si>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</si>
  <si>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</si>
  <si>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</si>
  <si>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</si>
  <si>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</si>
  <si>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</si>
  <si>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</si>
  <si>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</si>
  <si>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</si>
  <si>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</si>
  <si>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</si>
  <si>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</si>
  <si>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</si>
  <si>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</si>
  <si>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</si>
  <si>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</si>
  <si>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</si>
  <si>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</si>
  <si>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</si>
  <si>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</si>
  <si>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</si>
  <si>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</si>
  <si>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</si>
  <si>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</si>
  <si>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</si>
  <si>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</si>
  <si>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</si>
  <si>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</si>
  <si>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</si>
  <si>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</si>
  <si>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</si>
  <si>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</si>
  <si>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</si>
  <si>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</si>
  <si>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</si>
  <si>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</si>
  <si>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</si>
  <si>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</si>
  <si>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</si>
  <si>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</si>
  <si>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</si>
  <si>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</si>
  <si>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cha</t>
  </si>
  <si>
    <t>Chamorro</t>
  </si>
  <si>
    <t>chb</t>
  </si>
  <si>
    <t>Chibcha</t>
  </si>
  <si>
    <t>che</t>
  </si>
  <si>
    <t>Chechen</t>
  </si>
  <si>
    <t>chg</t>
  </si>
  <si>
    <t>Chagatai</t>
  </si>
  <si>
    <t>chi</t>
  </si>
  <si>
    <t>Chinese</t>
  </si>
  <si>
    <t>chk</t>
  </si>
  <si>
    <t>Chuukese</t>
  </si>
  <si>
    <t>chm</t>
  </si>
  <si>
    <t>Mari (Russia)</t>
  </si>
  <si>
    <t>chn</t>
  </si>
  <si>
    <t>Chinook Jargon</t>
  </si>
  <si>
    <t>cho</t>
  </si>
  <si>
    <t>Choctaw</t>
  </si>
  <si>
    <t>chp</t>
  </si>
  <si>
    <t>Chipewyan, Dene Suline</t>
  </si>
  <si>
    <t>chr</t>
  </si>
  <si>
    <t>Cherokee</t>
  </si>
  <si>
    <t>chu</t>
  </si>
  <si>
    <t>Church Slavonic, Church Slavic, Old Church Slavonic, Old Slavonic, Old Bulgarian</t>
  </si>
  <si>
    <t>chv</t>
  </si>
  <si>
    <t>Chuvash</t>
  </si>
  <si>
    <t>chy</t>
  </si>
  <si>
    <t>Cheyenne</t>
  </si>
  <si>
    <t>cmc</t>
  </si>
  <si>
    <t>Chamic languages</t>
  </si>
  <si>
    <t>cop</t>
  </si>
  <si>
    <t>Coptic</t>
  </si>
  <si>
    <t>cor</t>
  </si>
  <si>
    <t>Cornish</t>
  </si>
  <si>
    <t>cos</t>
  </si>
  <si>
    <t>Corsican</t>
  </si>
  <si>
    <t>cpe</t>
  </si>
  <si>
    <t>creoles and pidgins, English-based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</si>
  <si>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</si>
  <si>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</si>
  <si>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</si>
  <si>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</si>
  <si>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</si>
  <si>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</si>
  <si>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</si>
  <si>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</si>
  <si>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</si>
  <si>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</si>
  <si>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</si>
  <si>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</si>
  <si>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</si>
  <si>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</si>
  <si>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cze</t>
  </si>
  <si>
    <t>Czech</t>
  </si>
  <si>
    <t>dak</t>
  </si>
  <si>
    <t>Dakota</t>
  </si>
  <si>
    <t>dan</t>
  </si>
  <si>
    <t>Danish</t>
  </si>
  <si>
    <t>dar</t>
  </si>
  <si>
    <t>Dargwa</t>
  </si>
  <si>
    <t>day</t>
  </si>
  <si>
    <t>Land Dayak languages</t>
  </si>
  <si>
    <t>del</t>
  </si>
  <si>
    <t>Delaware</t>
  </si>
  <si>
    <t>den</t>
  </si>
  <si>
    <t>Slave (Athapascan)</t>
  </si>
  <si>
    <t>dgr</t>
  </si>
  <si>
    <t>Dogrib</t>
  </si>
  <si>
    <t>din</t>
  </si>
  <si>
    <t>Dinka</t>
  </si>
  <si>
    <t>div</t>
  </si>
  <si>
    <t>Divehi, Dhivehi, Maldivian</t>
  </si>
  <si>
    <t>doi</t>
  </si>
  <si>
    <t>Dogri</t>
  </si>
  <si>
    <t>dra</t>
  </si>
  <si>
    <t>Dravidian languages</t>
  </si>
  <si>
    <t>dsb</t>
  </si>
  <si>
    <t>Lower Sorbian</t>
  </si>
  <si>
    <t>dua</t>
  </si>
  <si>
    <t>Duala</t>
  </si>
  <si>
    <t>dum</t>
  </si>
  <si>
    <t>Dutch, Middle (ca. 1050–1350)</t>
  </si>
  <si>
    <t>dut</t>
  </si>
  <si>
    <t>Dutch, Flemish</t>
  </si>
  <si>
    <t>dyu</t>
  </si>
  <si>
    <t>Dyula</t>
  </si>
  <si>
    <t>dzo</t>
  </si>
  <si>
    <t>Dzongkha</t>
  </si>
  <si>
    <t>efi</t>
  </si>
  <si>
    <t>Efik</t>
  </si>
  <si>
    <t>egy</t>
  </si>
  <si>
    <t>Egyptian (Ancient)</t>
  </si>
  <si>
    <t>eka</t>
  </si>
  <si>
    <t>Ekajuk</t>
  </si>
  <si>
    <t>elx</t>
  </si>
  <si>
    <t>Elamite</t>
  </si>
  <si>
    <t>eng</t>
  </si>
  <si>
    <t>English</t>
  </si>
  <si>
    <t>enm</t>
  </si>
  <si>
    <t>Middle English (1100–1500)</t>
  </si>
  <si>
    <t>epo</t>
  </si>
  <si>
    <t>Esperanto</t>
  </si>
  <si>
    <t>est</t>
  </si>
  <si>
    <t>Estonian</t>
  </si>
  <si>
    <t>ewe</t>
  </si>
  <si>
    <t>Ewe</t>
  </si>
  <si>
    <t>ewo</t>
  </si>
  <si>
    <t>Ewondo</t>
  </si>
  <si>
    <t>fan</t>
  </si>
  <si>
    <t>Fang</t>
  </si>
  <si>
    <t>fao</t>
  </si>
  <si>
    <t>Faroese</t>
  </si>
  <si>
    <t>fat</t>
  </si>
  <si>
    <t>Fanti</t>
  </si>
  <si>
    <t>fij</t>
  </si>
  <si>
    <t>Fijian</t>
  </si>
  <si>
    <t>fil</t>
  </si>
  <si>
    <t>Filipino, Pilipino</t>
  </si>
  <si>
    <t>fin</t>
  </si>
  <si>
    <t>Finnish</t>
  </si>
  <si>
    <t>fiu</t>
  </si>
  <si>
    <t>Finno-Ugric languages</t>
  </si>
  <si>
    <t>fon</t>
  </si>
  <si>
    <t>Fon</t>
  </si>
  <si>
    <t>fre</t>
  </si>
  <si>
    <t>French</t>
  </si>
  <si>
    <t>frm</t>
  </si>
  <si>
    <t>Middle French (ca. 1400—1600)</t>
  </si>
  <si>
    <t>fro</t>
  </si>
  <si>
    <t>Old French (842—ca. 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</si>
  <si>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</si>
  <si>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</si>
  <si>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</si>
  <si>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</si>
  <si>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</si>
  <si>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</si>
  <si>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</si>
  <si>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</si>
  <si>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</si>
  <si>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</si>
  <si>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</si>
  <si>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</si>
  <si>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</si>
  <si>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</si>
  <si>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</si>
  <si>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</si>
  <si>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</si>
  <si>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</si>
  <si>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</si>
  <si>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</si>
  <si>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ger</t>
  </si>
  <si>
    <t>German</t>
  </si>
  <si>
    <t>gez</t>
  </si>
  <si>
    <t>Ge'ez</t>
  </si>
  <si>
    <t>gil</t>
  </si>
  <si>
    <t>Gilbertese, Kiribati</t>
  </si>
  <si>
    <t>gla</t>
  </si>
  <si>
    <t>Scottish Gaelic, Gaelic</t>
  </si>
  <si>
    <t>gle</t>
  </si>
  <si>
    <t>Irish</t>
  </si>
  <si>
    <t>glg</t>
  </si>
  <si>
    <t>Galician</t>
  </si>
  <si>
    <t>glv</t>
  </si>
  <si>
    <t>Manx</t>
  </si>
  <si>
    <t>gmh</t>
  </si>
  <si>
    <t>German, Middle High (ca 1050-1500)</t>
  </si>
  <si>
    <t>goh</t>
  </si>
  <si>
    <t>Old High German (ca. 750–1050)</t>
  </si>
  <si>
    <t>gon</t>
  </si>
  <si>
    <t>Gondi</t>
  </si>
  <si>
    <t>gor</t>
  </si>
  <si>
    <t>Gorontalo</t>
  </si>
  <si>
    <t>got</t>
  </si>
  <si>
    <t>Gothic</t>
  </si>
  <si>
    <t>grb</t>
  </si>
  <si>
    <t>Grebo</t>
  </si>
  <si>
    <t>grc</t>
  </si>
  <si>
    <t>Ancient Greek (–1453)</t>
  </si>
  <si>
    <t>gre</t>
  </si>
  <si>
    <t>Modern Greek (1453–)</t>
  </si>
  <si>
    <t>grn</t>
  </si>
  <si>
    <t>Guarani</t>
  </si>
  <si>
    <t>gsw</t>
  </si>
  <si>
    <t>Swiss German, Alemannic</t>
  </si>
  <si>
    <t>guj</t>
  </si>
  <si>
    <t>Gujarati</t>
  </si>
  <si>
    <t>gwi</t>
  </si>
  <si>
    <t>Gwich'in</t>
  </si>
  <si>
    <t>hai</t>
  </si>
  <si>
    <t>Haida</t>
  </si>
  <si>
    <t>hat</t>
  </si>
  <si>
    <t>Haitian Creole, Haitian</t>
  </si>
  <si>
    <t>hau</t>
  </si>
  <si>
    <t>Hausa</t>
  </si>
  <si>
    <t>haw</t>
  </si>
  <si>
    <t>Hawaiian</t>
  </si>
  <si>
    <t>heb</t>
  </si>
  <si>
    <t>Hebrew</t>
  </si>
  <si>
    <t>her</t>
  </si>
  <si>
    <t>Herero</t>
  </si>
  <si>
    <t>hil</t>
  </si>
  <si>
    <t>Hiligaynon</t>
  </si>
  <si>
    <t>him</t>
  </si>
  <si>
    <t>Himachali</t>
  </si>
  <si>
    <t>hin</t>
  </si>
  <si>
    <t>Hindi</t>
  </si>
  <si>
    <t>hit</t>
  </si>
  <si>
    <t>Hittite</t>
  </si>
  <si>
    <t>hmn</t>
  </si>
  <si>
    <t>Hmong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</si>
  <si>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</si>
  <si>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</si>
  <si>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</si>
  <si>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</si>
  <si>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</si>
  <si>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</si>
  <si>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</si>
  <si>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</si>
  <si>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</si>
  <si>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</si>
  <si>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</si>
  <si>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</si>
  <si>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</si>
  <si>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</si>
  <si>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</si>
  <si>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</si>
  <si>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</si>
  <si>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</si>
  <si>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</si>
  <si>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</si>
  <si>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</si>
  <si>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</si>
  <si>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</si>
  <si>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</si>
  <si>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</si>
  <si>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</si>
  <si>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</si>
  <si>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</si>
  <si>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</si>
  <si>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</si>
  <si>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</si>
  <si>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</si>
  <si>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</si>
  <si>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</si>
  <si>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</si>
  <si>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</si>
  <si>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</si>
  <si>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</si>
  <si>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</si>
  <si>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</si>
  <si>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</si>
  <si>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</si>
  <si>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</si>
  <si>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</si>
  <si>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</si>
  <si>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</si>
  <si>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</si>
  <si>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</si>
  <si>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</si>
  <si>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</si>
  <si>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</si>
  <si>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</si>
  <si>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</si>
  <si>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Judæo-Persian</t>
  </si>
  <si>
    <t>jrb</t>
  </si>
  <si>
    <t>Judeo-Arabic</t>
  </si>
  <si>
    <t>kaa</t>
  </si>
  <si>
    <t>Kara-Kalpak</t>
  </si>
  <si>
    <t>kab</t>
  </si>
  <si>
    <t>Kabyle</t>
  </si>
  <si>
    <t>kac</t>
  </si>
  <si>
    <t>Kachin, Jingpho</t>
  </si>
  <si>
    <t>kal</t>
  </si>
  <si>
    <t>Greenlandic, Kalaallisut</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</si>
  <si>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</si>
  <si>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</si>
  <si>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</si>
  <si>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</si>
  <si>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</si>
  <si>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</si>
  <si>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</si>
  <si>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</si>
  <si>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</si>
  <si>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</si>
  <si>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</si>
  <si>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</si>
  <si>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</si>
  <si>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</si>
  <si>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</si>
  <si>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</si>
  <si>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</si>
  <si>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</si>
  <si>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</si>
  <si>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</si>
  <si>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</si>
  <si>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</si>
  <si>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</si>
  <si>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</si>
  <si>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</si>
  <si>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</si>
  <si>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</si>
  <si>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</si>
  <si>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</si>
  <si>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</si>
  <si>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</si>
  <si>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</si>
  <si>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</si>
  <si>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</si>
  <si>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</si>
  <si>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</si>
  <si>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</si>
  <si>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</si>
  <si>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</si>
  <si>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</si>
  <si>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</si>
  <si>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</si>
  <si>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</si>
  <si>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</si>
  <si>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</si>
  <si>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</si>
  <si>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</si>
  <si>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</si>
  <si>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</si>
  <si>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</si>
  <si>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</si>
  <si>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</si>
  <si>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</si>
  <si>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</si>
  <si>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</si>
  <si>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</si>
  <si>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</si>
  <si>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</si>
  <si>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</si>
  <si>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</si>
  <si>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</si>
  <si>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</si>
  <si>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</si>
  <si>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</si>
  <si>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</si>
  <si>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</si>
  <si>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</si>
  <si>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</si>
  <si>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</si>
  <si>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</si>
  <si>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</si>
  <si>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</si>
  <si>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</si>
  <si>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</si>
  <si>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</si>
  <si>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Limburgish, Limburger, Limburgan</t>
  </si>
  <si>
    <t>lin</t>
  </si>
  <si>
    <t>Lingala</t>
  </si>
  <si>
    <t>lit</t>
  </si>
  <si>
    <t>Lithuanian</t>
  </si>
  <si>
    <t>lol</t>
  </si>
  <si>
    <t>Mongo</t>
  </si>
  <si>
    <t>loz</t>
  </si>
  <si>
    <t>Lozi</t>
  </si>
  <si>
    <t>ltz</t>
  </si>
  <si>
    <t>Luxembourgish, Letzeburgesch</t>
  </si>
  <si>
    <t>lua</t>
  </si>
  <si>
    <t>Luba-Lulua</t>
  </si>
  <si>
    <t>lub</t>
  </si>
  <si>
    <t>Luba-Katanga</t>
  </si>
  <si>
    <t>lug</t>
  </si>
  <si>
    <t>Ganda</t>
  </si>
  <si>
    <t>lui</t>
  </si>
  <si>
    <t>Luiseño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</si>
  <si>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</si>
  <si>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</si>
  <si>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</si>
  <si>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</si>
  <si>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</si>
  <si>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</si>
  <si>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</si>
  <si>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</si>
  <si>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</si>
  <si>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</si>
  <si>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</si>
  <si>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</si>
  <si>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</si>
  <si>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</si>
  <si>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</si>
  <si>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</si>
  <si>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</si>
  <si>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</si>
  <si>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</si>
  <si>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</si>
  <si>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</si>
  <si>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</si>
  <si>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</si>
  <si>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</si>
  <si>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</si>
  <si>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</si>
  <si>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</si>
  <si>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</si>
  <si>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</si>
  <si>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Maasai</t>
  </si>
  <si>
    <t>may</t>
  </si>
  <si>
    <t>Malay</t>
  </si>
  <si>
    <t>mdf</t>
  </si>
  <si>
    <t>Moksha</t>
  </si>
  <si>
    <t>mdr</t>
  </si>
  <si>
    <t>Mandar</t>
  </si>
  <si>
    <t>men</t>
  </si>
  <si>
    <t>Mende</t>
  </si>
  <si>
    <t>mga</t>
  </si>
  <si>
    <t>Middle Irish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</si>
  <si>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</si>
  <si>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</si>
  <si>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</si>
  <si>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</si>
  <si>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</si>
  <si>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</si>
  <si>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</si>
  <si>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</si>
  <si>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</si>
  <si>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</si>
  <si>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</si>
  <si>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</si>
  <si>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</si>
  <si>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</si>
  <si>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</si>
  <si>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</si>
  <si>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</si>
  <si>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</si>
  <si>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</si>
  <si>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</si>
  <si>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</si>
  <si>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</si>
  <si>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</si>
  <si>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</si>
  <si>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</si>
  <si>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</si>
  <si>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</si>
  <si>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</si>
  <si>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</si>
  <si>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</si>
  <si>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</si>
  <si>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</si>
  <si>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</si>
  <si>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</si>
  <si>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</si>
  <si>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</si>
  <si>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</si>
  <si>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</si>
  <si>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</si>
  <si>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t>
  </si>
  <si>
    <t>nai</t>
  </si>
  <si>
    <t>North American Indian languages</t>
  </si>
  <si>
    <t>nap</t>
  </si>
  <si>
    <t>Neapolitan</t>
  </si>
  <si>
    <t>nau</t>
  </si>
  <si>
    <t>Nauruan</t>
  </si>
  <si>
    <t>nav</t>
  </si>
  <si>
    <t>Navajo, Navaho</t>
  </si>
  <si>
    <t>nbl</t>
  </si>
  <si>
    <t>Southern Ndebele</t>
  </si>
  <si>
    <t>nde</t>
  </si>
  <si>
    <t>Northern Ndebele</t>
  </si>
  <si>
    <t>ndo</t>
  </si>
  <si>
    <t>Ndonga</t>
  </si>
  <si>
    <t>nds</t>
  </si>
  <si>
    <t>Low German, Low Saxon</t>
  </si>
  <si>
    <t>nep</t>
  </si>
  <si>
    <t>Nepali</t>
  </si>
  <si>
    <t>new</t>
  </si>
  <si>
    <t>Nepal Bhasa, Newari</t>
  </si>
  <si>
    <t>nia</t>
  </si>
  <si>
    <t>Nias</t>
  </si>
  <si>
    <t>nic</t>
  </si>
  <si>
    <t>Niger-Kordofanian languages</t>
  </si>
  <si>
    <t>niu</t>
  </si>
  <si>
    <t>Niuean</t>
  </si>
  <si>
    <t>nno</t>
  </si>
  <si>
    <t>Norwegian Nynorsk</t>
  </si>
  <si>
    <t>nob</t>
  </si>
  <si>
    <t>Norwegian Bokmål</t>
  </si>
  <si>
    <t>nog</t>
  </si>
  <si>
    <t>Nogai</t>
  </si>
  <si>
    <t>non</t>
  </si>
  <si>
    <t>Old Norse</t>
  </si>
  <si>
    <t>nor</t>
  </si>
  <si>
    <t>Norwegian</t>
  </si>
  <si>
    <t>nqo</t>
  </si>
  <si>
    <t>N'Ko</t>
  </si>
  <si>
    <t>nso</t>
  </si>
  <si>
    <t>Northern Sotho, Pedi, Sepedi</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</si>
  <si>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</si>
  <si>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</si>
  <si>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</si>
  <si>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</si>
  <si>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</si>
  <si>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</si>
  <si>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</si>
  <si>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</si>
  <si>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</si>
  <si>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</si>
  <si>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</si>
  <si>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</si>
  <si>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</si>
  <si>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</si>
  <si>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</si>
  <si>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Provençal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</si>
  <si>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</si>
  <si>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</si>
  <si>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</si>
  <si>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</si>
  <si>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</si>
  <si>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</si>
  <si>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</si>
  <si>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</si>
  <si>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</si>
  <si>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</si>
  <si>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</si>
  <si>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</si>
  <si>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</si>
  <si>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</si>
  <si>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</si>
  <si>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</si>
  <si>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</si>
  <si>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</si>
  <si>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</si>
  <si>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 (Middle Persian)</t>
  </si>
  <si>
    <t>pam</t>
  </si>
  <si>
    <t>Pampanga, Kapampangan</t>
  </si>
  <si>
    <t>pan</t>
  </si>
  <si>
    <t>Punjabi, Panjabi</t>
  </si>
  <si>
    <t>pap</t>
  </si>
  <si>
    <t>Papiamento</t>
  </si>
  <si>
    <t>pau</t>
  </si>
  <si>
    <t>Palauan</t>
  </si>
  <si>
    <t>peo</t>
  </si>
  <si>
    <t>Old Persian (ca. 600–400 BC)</t>
  </si>
  <si>
    <t>per</t>
  </si>
  <si>
    <t>Persian</t>
  </si>
  <si>
    <t>phi</t>
  </si>
  <si>
    <t>Philippine languages</t>
  </si>
  <si>
    <t>phn</t>
  </si>
  <si>
    <t>Phoenician</t>
  </si>
  <si>
    <t>pli</t>
  </si>
  <si>
    <t>Pali</t>
  </si>
  <si>
    <t>pol</t>
  </si>
  <si>
    <t>Polish</t>
  </si>
  <si>
    <t>pon</t>
  </si>
  <si>
    <t>Pohnpeian</t>
  </si>
  <si>
    <t>por</t>
  </si>
  <si>
    <t>Portuguese</t>
  </si>
  <si>
    <t>pra</t>
  </si>
  <si>
    <t>Prakrit</t>
  </si>
  <si>
    <t>pro</t>
  </si>
  <si>
    <t>Old Provençal, Old Occitan (–1500)</t>
  </si>
  <si>
    <t>pus</t>
  </si>
  <si>
    <t>Pashto language,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</si>
  <si>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</si>
  <si>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</si>
  <si>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</si>
  <si>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</si>
  <si>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</si>
  <si>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</si>
  <si>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</si>
  <si>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</si>
  <si>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</si>
  <si>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</si>
  <si>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</si>
  <si>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</si>
  <si>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</si>
  <si>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</si>
  <si>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</si>
  <si>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</si>
  <si>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</si>
  <si>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</si>
  <si>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</si>
  <si>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</si>
  <si>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</si>
  <si>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</si>
  <si>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</si>
  <si>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</si>
  <si>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</si>
  <si>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</si>
  <si>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</si>
  <si>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</si>
  <si>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</si>
  <si>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</si>
  <si>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</si>
  <si>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</si>
  <si>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</si>
  <si>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</si>
  <si>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</si>
  <si>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</si>
  <si>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</si>
  <si>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</si>
  <si>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</si>
  <si>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</si>
  <si>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</si>
  <si>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</si>
  <si>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</si>
  <si>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</si>
  <si>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</si>
  <si>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</si>
  <si>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</si>
  <si>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</si>
  <si>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</si>
  <si>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</si>
  <si>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</si>
  <si>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Old Irish (to 900)</t>
  </si>
  <si>
    <t>sgn</t>
  </si>
  <si>
    <t>Sign languages</t>
  </si>
  <si>
    <t>shn</t>
  </si>
  <si>
    <t>Shan</t>
  </si>
  <si>
    <t>sid</t>
  </si>
  <si>
    <t>Sidamo</t>
  </si>
  <si>
    <t>sin</t>
  </si>
  <si>
    <t>Sinhalese, Sinhala</t>
  </si>
  <si>
    <t>sio</t>
  </si>
  <si>
    <t>Siouan languages</t>
  </si>
  <si>
    <t>sit</t>
  </si>
  <si>
    <t>Sino-Tibetan languages</t>
  </si>
  <si>
    <t>sla</t>
  </si>
  <si>
    <t>Slavic languages</t>
  </si>
  <si>
    <t>slk</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</si>
  <si>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</si>
  <si>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</si>
  <si>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</si>
  <si>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</si>
  <si>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</si>
  <si>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</si>
  <si>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</si>
  <si>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</si>
  <si>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</si>
  <si>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</si>
  <si>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</si>
  <si>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</si>
  <si>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</si>
  <si>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</si>
  <si>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</si>
  <si>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</si>
  <si>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</si>
  <si>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</si>
  <si>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</si>
  <si>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</si>
  <si>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</si>
  <si>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</si>
  <si>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</si>
  <si>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</si>
  <si>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</si>
  <si>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</si>
  <si>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</si>
  <si>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</si>
  <si>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Songhay languages</t>
  </si>
  <si>
    <t>sot</t>
  </si>
  <si>
    <t>Southern Sotho</t>
  </si>
  <si>
    <t>spa</t>
  </si>
  <si>
    <t>Spanish</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</si>
  <si>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</si>
  <si>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</si>
  <si>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</si>
  <si>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</si>
  <si>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</si>
  <si>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</si>
  <si>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</si>
  <si>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</si>
  <si>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</si>
  <si>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</si>
  <si>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</si>
  <si>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</si>
  <si>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</si>
  <si>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</si>
  <si>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</si>
  <si>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</si>
  <si>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</si>
  <si>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</si>
  <si>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</si>
  <si>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</si>
  <si>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</si>
  <si>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</si>
  <si>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</si>
  <si>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</si>
  <si>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</si>
  <si>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</si>
  <si>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</si>
  <si>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 (Northeastern Neo-Aramaic)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</si>
  <si>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</si>
  <si>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</si>
  <si>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</si>
  <si>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</si>
  <si>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</si>
  <si>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</si>
  <si>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</si>
  <si>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</si>
  <si>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</si>
  <si>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</si>
  <si>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</si>
  <si>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</si>
  <si>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</si>
  <si>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</si>
  <si>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</si>
  <si>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</si>
  <si>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</si>
  <si>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</si>
  <si>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</si>
  <si>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</si>
  <si>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</si>
  <si>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</si>
  <si>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tib</t>
  </si>
  <si>
    <t>Tibetan</t>
  </si>
  <si>
    <t>tig</t>
  </si>
  <si>
    <t>Tigre</t>
  </si>
  <si>
    <t>tir</t>
  </si>
  <si>
    <t>Tigrinya</t>
  </si>
  <si>
    <t>tiv</t>
  </si>
  <si>
    <t>Tiv</t>
  </si>
  <si>
    <t>tkl</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</si>
  <si>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</si>
  <si>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</si>
  <si>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</si>
  <si>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</si>
  <si>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</si>
  <si>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</si>
  <si>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</si>
  <si>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</si>
  <si>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</si>
  <si>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</si>
  <si>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</si>
  <si>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</si>
  <si>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</si>
  <si>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</si>
  <si>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</si>
  <si>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</si>
  <si>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</si>
  <si>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</si>
  <si>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</si>
  <si>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</si>
  <si>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</si>
  <si>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</si>
  <si>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</si>
  <si>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Tupian languages</t>
  </si>
  <si>
    <t>tur</t>
  </si>
  <si>
    <t>Turkish</t>
  </si>
  <si>
    <t>tut</t>
  </si>
  <si>
    <t>Altaic languages</t>
  </si>
  <si>
    <t>tvl</t>
  </si>
  <si>
    <t>twi</t>
  </si>
  <si>
    <t>Twi</t>
  </si>
  <si>
    <t>tyv</t>
  </si>
  <si>
    <t>Tuvinian</t>
  </si>
  <si>
    <t>udm</t>
  </si>
  <si>
    <t>Udmurt</t>
  </si>
  <si>
    <t>uga</t>
  </si>
  <si>
    <t>Ugaritic</t>
  </si>
  <si>
    <t>uig</t>
  </si>
  <si>
    <t>Uighur, Uyghur</t>
  </si>
  <si>
    <t>ukr</t>
  </si>
  <si>
    <t>Ukrainian</t>
  </si>
  <si>
    <t>umb</t>
  </si>
  <si>
    <t>Umbundu</t>
  </si>
  <si>
    <t>und</t>
  </si>
  <si>
    <t xml:space="preserve">Undetermined </t>
  </si>
  <si>
    <t>urd</t>
  </si>
  <si>
    <t>Urdu</t>
  </si>
  <si>
    <t>uzb</t>
  </si>
  <si>
    <t>Uzbek</t>
  </si>
  <si>
    <t>vai</t>
  </si>
  <si>
    <t>Vai</t>
  </si>
  <si>
    <t>ven</t>
  </si>
  <si>
    <t>Venda</t>
  </si>
  <si>
    <t>vie</t>
  </si>
  <si>
    <t>Vietnamese</t>
  </si>
  <si>
    <t>vol</t>
  </si>
  <si>
    <t>Volapük</t>
  </si>
  <si>
    <t>vot</t>
  </si>
  <si>
    <t>Votic</t>
  </si>
  <si>
    <t>wak</t>
  </si>
  <si>
    <t>Wakashan languages</t>
  </si>
  <si>
    <t>wal</t>
  </si>
  <si>
    <t>Wolaytta, Wolaitta</t>
  </si>
  <si>
    <t>war</t>
  </si>
  <si>
    <t>Waray-Waray</t>
  </si>
  <si>
    <t>was</t>
  </si>
  <si>
    <t>Washo</t>
  </si>
  <si>
    <t>wel</t>
  </si>
  <si>
    <t>Welsh</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</si>
  <si>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</si>
  <si>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</si>
  <si>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</si>
  <si>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</si>
  <si>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</si>
  <si>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</si>
  <si>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</si>
  <si>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</si>
  <si>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</si>
  <si>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</si>
  <si>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</si>
  <si>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</si>
  <si>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</si>
  <si>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</si>
  <si>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</si>
  <si>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</si>
  <si>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</si>
  <si>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</si>
  <si>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</si>
  <si>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</si>
  <si>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</si>
  <si>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</si>
  <si>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</si>
  <si>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</si>
  <si>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</si>
  <si>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</si>
  <si>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</si>
  <si>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</si>
  <si>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</si>
  <si>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</si>
  <si>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</si>
  <si>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</si>
  <si>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</si>
  <si>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</si>
  <si>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</si>
  <si>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</si>
  <si>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zza</t>
  </si>
  <si>
    <t>Zaza, Dimili, Dimli, Kirdki, Kirmanjki, Zazaki</t>
  </si>
  <si>
    <t>Active Duty Armed Forces</t>
  </si>
  <si>
    <t>It is known that the student is a dependent of a member of the Active Duty Forces (full-time) Army, Navy, Air Force, Marine Corps, or Coast Guard.</t>
  </si>
  <si>
    <t>Active Duty National Guard/Reserve</t>
  </si>
  <si>
    <t>It is known that the student is a dependent of a member of the Active Duty National Guard or Active Duty Reserve Forces (Army, Navy, Air Force, Marine Corps, or Coast Guard).</t>
  </si>
  <si>
    <t>Unable to provide</t>
  </si>
  <si>
    <t>It is unknown whether or not the student is military-connected or parent declines to provide information.</t>
  </si>
  <si>
    <t>Not Military Connected</t>
  </si>
  <si>
    <t>It is known that the student is not military-connected.</t>
  </si>
  <si>
    <t>No Difference</t>
  </si>
  <si>
    <t>Term Modified by District</t>
  </si>
  <si>
    <t>Term Modified by Court Order</t>
  </si>
  <si>
    <t>Term Modified by Mutual Agreement</t>
  </si>
  <si>
    <t>Student Completed Term Requirements Sooner Than Expected</t>
  </si>
  <si>
    <t>Student Incarcerated</t>
  </si>
  <si>
    <t>Term Decreased due to Extenuating Health Related Circumstances</t>
  </si>
  <si>
    <t>Student Withdrew from School</t>
  </si>
  <si>
    <t>School Year Ended</t>
  </si>
  <si>
    <t>Continuation of Previous Year's Disciplinary Action Assignment</t>
  </si>
  <si>
    <t>Term Modified by Placement Program Due to Student Behavior While in the Placement</t>
  </si>
  <si>
    <t>Salaries</t>
  </si>
  <si>
    <t>200</t>
  </si>
  <si>
    <t>Benefits</t>
  </si>
  <si>
    <t>Purchased Services</t>
  </si>
  <si>
    <t>Supplies/Materials</t>
  </si>
  <si>
    <t>Capital Objects</t>
  </si>
  <si>
    <t>Debt Retirement</t>
  </si>
  <si>
    <t>Insurance - Judgment</t>
  </si>
  <si>
    <t>800</t>
  </si>
  <si>
    <t>Transfers</t>
  </si>
  <si>
    <t>Regular Paraprofessional</t>
  </si>
  <si>
    <t>Title Paraprofessional</t>
  </si>
  <si>
    <t>Not Paraprofessional</t>
  </si>
  <si>
    <t>Regular High School Diploma</t>
  </si>
  <si>
    <t>GED or Equivalent</t>
  </si>
  <si>
    <t>No Diploma or Something Else</t>
  </si>
  <si>
    <t>Administrative Assistant</t>
  </si>
  <si>
    <t>Cell or Mobile</t>
  </si>
  <si>
    <t>Direct Line</t>
  </si>
  <si>
    <t>H</t>
  </si>
  <si>
    <t>Home</t>
  </si>
  <si>
    <t>Main Business</t>
  </si>
  <si>
    <t>Home Schooled</t>
  </si>
  <si>
    <t>Private Schooled</t>
  </si>
  <si>
    <t>Not PH Schooled</t>
  </si>
  <si>
    <t>CLC</t>
  </si>
  <si>
    <t>21st Century Community Learning Center Coordinator</t>
  </si>
  <si>
    <t>21st Century Community Learning Program</t>
  </si>
  <si>
    <t>AOC</t>
  </si>
  <si>
    <t>Advanced Opportunity Coordinator</t>
  </si>
  <si>
    <t>Advanced Opportunity Program</t>
  </si>
  <si>
    <t>APC</t>
  </si>
  <si>
    <t>Advanced Placement (AP) Coordinator</t>
  </si>
  <si>
    <t>Advanced Placement (AP) Program</t>
  </si>
  <si>
    <t>APR</t>
  </si>
  <si>
    <t>Assistant Principal</t>
  </si>
  <si>
    <t>BSN</t>
  </si>
  <si>
    <t>Business Manager</t>
  </si>
  <si>
    <t>CTE</t>
  </si>
  <si>
    <t>Career and Technical Education Coordinator</t>
  </si>
  <si>
    <t xml:space="preserve">Career and Technical Education </t>
  </si>
  <si>
    <t>CSA</t>
  </si>
  <si>
    <t>Charter School Administrator</t>
  </si>
  <si>
    <t>COB</t>
  </si>
  <si>
    <t>Clerk of the Board</t>
  </si>
  <si>
    <t>CEEC</t>
  </si>
  <si>
    <t>College Entrance Exam Coordinator</t>
  </si>
  <si>
    <t>College Entrance Exam</t>
  </si>
  <si>
    <t>CTC</t>
  </si>
  <si>
    <t>Computer Technology Coordinator</t>
  </si>
  <si>
    <t>Computer Technology</t>
  </si>
  <si>
    <t>CGM</t>
  </si>
  <si>
    <t>Consolidated Grants Manager</t>
  </si>
  <si>
    <t>Consolidated Grants</t>
  </si>
  <si>
    <t>CUR</t>
  </si>
  <si>
    <t>Curriculum/Instruction Coordinator</t>
  </si>
  <si>
    <t xml:space="preserve">Curriculum/Instruction </t>
  </si>
  <si>
    <t>DTC</t>
  </si>
  <si>
    <t>District Test Coordinator</t>
  </si>
  <si>
    <t>District Testing</t>
  </si>
  <si>
    <t>DEC</t>
  </si>
  <si>
    <t>Drivers Ed Coordinator</t>
  </si>
  <si>
    <t>Drivers Education</t>
  </si>
  <si>
    <t>IELA</t>
  </si>
  <si>
    <t>English Language Proficiency Assessment Coordinator</t>
  </si>
  <si>
    <t>English Language Proficiency Assessment</t>
  </si>
  <si>
    <t>FSD</t>
  </si>
  <si>
    <t>Food Service Director</t>
  </si>
  <si>
    <t>GUP</t>
  </si>
  <si>
    <t>GEARUP Coordinator</t>
  </si>
  <si>
    <t>GNT</t>
  </si>
  <si>
    <t>Gifted and Talented Coordinator</t>
  </si>
  <si>
    <t>Gifted and Talented</t>
  </si>
  <si>
    <t>Human Resources/Personnel</t>
  </si>
  <si>
    <t>IRIC</t>
  </si>
  <si>
    <t>Idaho Reading Indicator</t>
  </si>
  <si>
    <t>ISAT</t>
  </si>
  <si>
    <t>Idaho Standards Achievement Test</t>
  </si>
  <si>
    <t>ISE</t>
  </si>
  <si>
    <t>ISEE Personnel</t>
  </si>
  <si>
    <t>ISEE Data Reporting</t>
  </si>
  <si>
    <t>MAC</t>
  </si>
  <si>
    <t>Mathematics Coordinator</t>
  </si>
  <si>
    <t>NAEP</t>
  </si>
  <si>
    <t>National Assessment of Educational Progress Coordinator</t>
  </si>
  <si>
    <t>National Assessment of Educational Progress</t>
  </si>
  <si>
    <t>Operations and Maintenance Supervisor</t>
  </si>
  <si>
    <t>Operations and Maintenance</t>
  </si>
  <si>
    <t>OTH</t>
  </si>
  <si>
    <t>PRI</t>
  </si>
  <si>
    <t>Principal</t>
  </si>
  <si>
    <t>PIR</t>
  </si>
  <si>
    <t>Public Information/Community Relations Coordinator</t>
  </si>
  <si>
    <t>Public Information/Community Relations</t>
  </si>
  <si>
    <t>RTI</t>
  </si>
  <si>
    <t>Response to Intervention Coordinator</t>
  </si>
  <si>
    <t>Response to Intervention</t>
  </si>
  <si>
    <t>SFS</t>
  </si>
  <si>
    <t>Safe &amp; Drug Free Schools Coordinator</t>
  </si>
  <si>
    <t>Safe &amp; Drug Free Schools</t>
  </si>
  <si>
    <t>SCL</t>
  </si>
  <si>
    <t>Scholarship Coordinator</t>
  </si>
  <si>
    <t>Scholarships</t>
  </si>
  <si>
    <t>SCOU</t>
  </si>
  <si>
    <t>School Counselor</t>
  </si>
  <si>
    <t>SNUR</t>
  </si>
  <si>
    <t>School Nurse</t>
  </si>
  <si>
    <t>SED</t>
  </si>
  <si>
    <t>Special Education Director or Designee</t>
  </si>
  <si>
    <t xml:space="preserve">Special Education </t>
  </si>
  <si>
    <t>SPDC</t>
  </si>
  <si>
    <t>Staff Professional Development Coordinator</t>
  </si>
  <si>
    <t>Staff Professional Development</t>
  </si>
  <si>
    <t>SUP</t>
  </si>
  <si>
    <t>Superintendent</t>
  </si>
  <si>
    <t>SUD</t>
  </si>
  <si>
    <t>Superintendent Deputy (Assistant)</t>
  </si>
  <si>
    <t>TEC</t>
  </si>
  <si>
    <t>Technology Director</t>
  </si>
  <si>
    <t>Technology</t>
  </si>
  <si>
    <t>BEC</t>
  </si>
  <si>
    <t>Title I-A Improving Basic Programs Coordinator</t>
  </si>
  <si>
    <t>Title I-A Improving Basic Programs</t>
  </si>
  <si>
    <t>MED</t>
  </si>
  <si>
    <t>Title I-C Migrant Education Coordinator</t>
  </si>
  <si>
    <t>Title I-C Migrant Education</t>
  </si>
  <si>
    <t>MEFR</t>
  </si>
  <si>
    <t>Title I-C Migrant Education Family Liaison/Recruiter</t>
  </si>
  <si>
    <t>MEGS</t>
  </si>
  <si>
    <t>Title I-C Migrant Education Graduation Specialist</t>
  </si>
  <si>
    <t>Title I-C Migrant Education Graduation</t>
  </si>
  <si>
    <t>NDE</t>
  </si>
  <si>
    <t>Title I-D Neglected/Delinquent Education Coordinator</t>
  </si>
  <si>
    <t>Title I-D Neglected/Delinquent Education</t>
  </si>
  <si>
    <t>TPQ</t>
  </si>
  <si>
    <t>Title II-A Supporting Effective Instruction Coordinator</t>
  </si>
  <si>
    <t>Title II-A Supporting Effective Instruction</t>
  </si>
  <si>
    <t>LEP</t>
  </si>
  <si>
    <t>State EL &amp; Title III Language Instruction for English Learners</t>
  </si>
  <si>
    <t>SSC</t>
  </si>
  <si>
    <t>Title IV-A Student Support and Academic Enrichment Coordinator</t>
  </si>
  <si>
    <t>Title IV-A Student Support and Academic Enrichment</t>
  </si>
  <si>
    <t>RLS</t>
  </si>
  <si>
    <t>Title IV-B Rural Education Program Coordinator</t>
  </si>
  <si>
    <t>Title IV-B Rural Education Program</t>
  </si>
  <si>
    <t>Title IX - 504 Coordinator</t>
  </si>
  <si>
    <t>Title IX - 504</t>
  </si>
  <si>
    <t>NSE</t>
  </si>
  <si>
    <t>Title IX Personnel</t>
  </si>
  <si>
    <t>Title IX</t>
  </si>
  <si>
    <t>HED</t>
  </si>
  <si>
    <t>Title IX-A  Mckinney-Vento Homeless Education Coordinator</t>
  </si>
  <si>
    <t>Title IX-A  Mckinney-Vento Homeless Education</t>
  </si>
  <si>
    <t>MVL</t>
  </si>
  <si>
    <t>Title IX-A  Mckinney-Vento Liaison</t>
  </si>
  <si>
    <t>Title IX-A  Mckinney-Vento</t>
  </si>
  <si>
    <t>TRN</t>
  </si>
  <si>
    <t>Transportation Supervisor</t>
  </si>
  <si>
    <t>Graduated by completing all necessary high school credit/content graduation requirements, with or without accommodations, and have met any additional graduation requirements. 08.02.03.105</t>
  </si>
  <si>
    <t>Students who have graduated with a regular high school diploma which is fully aligned with Idaho State High School Graduation Requirements. 08.02.03.105 
Students who graduate with 4A should be exited from special education and are no longer entitled to Free Appropriate Public Education (FAPE)</t>
  </si>
  <si>
    <t>Students that did NOT meet Idaho State High School Graduation Requirements outlined in 08.02.03.105 but whose program of study addressed adapted (modified or differentiated) coursework as outlined in an IEP.</t>
  </si>
  <si>
    <t xml:space="preserve">Students with disabilities who have satisfied an IEP but NOT regular Idaho State High School Graduation Requirements; 
** Students who qualify for special education are entitled to FAPE until the semester in which the student turns 21 - IDAPA 08.02.03.109.07  
** Students with this exit code are counted and reported as non graduates.
</t>
  </si>
  <si>
    <t>Reached Maximum Age - 21 years of age. Idaho Code 33-201</t>
  </si>
  <si>
    <t>Students who have completed the semester in which they turned 21, without receiving a regular high school diploma which is fully aligned with Idaho State High School Graduation Requirements. 08.02.03.105</t>
  </si>
  <si>
    <t>Dropped out</t>
  </si>
  <si>
    <t>Student exiting current enrollment, and does not meet the definition for any other inactive reason. 
Include:
  • confirmed dropouts
  • runaways
  • expelled students (not receiving district gifted and talented services) Does not include special education services.
  • students whose status is unknown
  • students leaving school and to receive a GED</t>
  </si>
  <si>
    <t>Transferred to another educational setting</t>
  </si>
  <si>
    <t xml:space="preserve">Student transferred to another district or education agency and is known to be continuing in a general or special education program. Include students receiving education in:
  • Residential treatment centers
  • Juvenile detention centers
  • Correctional facilities
  • Private schools
  • Job Corps
  • Virtual Charter Schools
  • Home School
To use this code, there must be verification that the student is continuing in some education program in the form of a request for records. Hearsay is not adequate verification that the student is known to continue. </t>
  </si>
  <si>
    <t>No Longer Eligible for Program</t>
  </si>
  <si>
    <t>No Longer Eligible/Returned to General Education</t>
  </si>
  <si>
    <t xml:space="preserve">Students who are determined no longer eligible to participate in the program through eligibility determination. Students who no longer have an active IEP and are no longer receiving special education services or are no longer participating in a Gifted and Talented program and are now receiving all educational services from a regular education program. </t>
  </si>
  <si>
    <t>Student passed away.</t>
  </si>
  <si>
    <t xml:space="preserve">Students who have passed away during the school year or who have passed away during the summer </t>
  </si>
  <si>
    <t>Revoked Consent</t>
  </si>
  <si>
    <t>Parent/Adult Student Revokes Consent</t>
  </si>
  <si>
    <t>Students for whom parent/adult student revokes consent for special education services.</t>
  </si>
  <si>
    <t>Extended School Year</t>
  </si>
  <si>
    <t>Extended School Year (ESY)</t>
  </si>
  <si>
    <t xml:space="preserve">A program to provide special education and related services to an eligible student with a disability beyond the conventional number of instructional days in a school year and at no cost to the parents. An ESY program must be based on an IEP team decision and meet Idaho standards. </t>
  </si>
  <si>
    <t>Summer break from program services; expected to resume the following school year.</t>
  </si>
  <si>
    <t>Students with active IEP, temporarily exiting from sped services for the summer, expected to resume services in the following school year. 
Students in Gifted/Talented program, temporarily exiting from services for Summer break, expected to resume the program the following school year.</t>
  </si>
  <si>
    <t>Tested-Ineligible (SEStatus Only)</t>
  </si>
  <si>
    <t>Tested for initial eligibility determination and found not eligible (Did Not Qualify)</t>
  </si>
  <si>
    <t>Initial eligibility determination identified that the student did not meet eligiblity criteria for special education and related services. (For initial eligibility only)</t>
  </si>
  <si>
    <t>See Districts and Schools Tab</t>
  </si>
  <si>
    <t>Balance Sheet</t>
  </si>
  <si>
    <t>exp</t>
  </si>
  <si>
    <t>Expenditures</t>
  </si>
  <si>
    <t>rev</t>
  </si>
  <si>
    <t>Revenues</t>
  </si>
  <si>
    <t>AA</t>
  </si>
  <si>
    <t>Additional Assessment(s) needed</t>
  </si>
  <si>
    <t>The parent or adult student has requested additional internal or external assessments as part of the eligiblity determination. Note, the request for additional assessments does not extend the 60-day timeline.</t>
  </si>
  <si>
    <t>Idaho Special Education Manual - Chapter 4</t>
  </si>
  <si>
    <t>EM</t>
  </si>
  <si>
    <t>Extended Medical Issues</t>
  </si>
  <si>
    <t>Student has significant medical issues preventing all processes to be completed on time</t>
  </si>
  <si>
    <t>Scheduling Difficulties</t>
  </si>
  <si>
    <t>Inability to coordinate with all concerned (external) stakeholders.</t>
  </si>
  <si>
    <t>List additional information in "Notes".</t>
  </si>
  <si>
    <t>School  closure of five or more consecutive school days - MUST PROVIDE THE ACTUAL STATE EXCEPTION RULE REASON IF CHOOSING "SE" Idaho Code 08.02.03.109.03</t>
  </si>
  <si>
    <t>Idaho Code 08.02.03.109.03</t>
  </si>
  <si>
    <t>Student moved into district with written extension request</t>
  </si>
  <si>
    <t xml:space="preserve">Student joined district with an initial eligibility in process and an existing extension request is in place. </t>
  </si>
  <si>
    <t>Staffing Issues</t>
  </si>
  <si>
    <t>Inability to coordinate due to staffing resources.</t>
  </si>
  <si>
    <t>Reasonable Efforts</t>
  </si>
  <si>
    <t>The parent repeatedly fails or refuses to produce the student for an evaluation after the district has made reasonable efforts to schedule an evaluation.</t>
  </si>
  <si>
    <t>WE</t>
  </si>
  <si>
    <t>Written Extension</t>
  </si>
  <si>
    <t>In unusual circumstances, all parties may agree in writing to an extension of the sixty (60) day period for the purpose of initial assessment.</t>
  </si>
  <si>
    <t>Idaho Special Education Manual - Chapter 4.F</t>
  </si>
  <si>
    <t>Special Education eligibility determination: not eligible.</t>
  </si>
  <si>
    <t>Student did not meet Idaho eligibility criteria or was exited from special education and related services with one of the following program exit reasons.
  • 01 - Graduated – Met State Standards
  • 04 - Reached Maximum Age
  • 07 - No Longer Eligible for Program
  • 08 - Deceased
  • 09 - Revoked Consent</t>
  </si>
  <si>
    <t>U</t>
  </si>
  <si>
    <t>Undetermined</t>
  </si>
  <si>
    <t>Special Education eligibility determination: undetermined. - IF UNDETERMINED YOU MUST PROVIDE A REASON THAT ELIGIBILITY WAS UNDETERMINED</t>
  </si>
  <si>
    <t>Student's eligiblity determination process was interupted. (For initial eligibility determination only)</t>
  </si>
  <si>
    <t>Eligible</t>
  </si>
  <si>
    <t>Special Education eligibility determination: eligible.</t>
  </si>
  <si>
    <t>Student met Idaho eligiblity criteria and was determined eligible for special education and related services.</t>
  </si>
  <si>
    <t>General ed class 80% or more</t>
  </si>
  <si>
    <t xml:space="preserve">GRADE K - 21-YEAR-OLDS: The student is inside the general education classroom 80% or more of the day. For example, in a 6 hour school day, the student is inside the regular class for at least 4 hours and 48 minutes. </t>
  </si>
  <si>
    <t>Kindergarten age-eligible students should be promoted to the kindergarten grade level to ensure appropriate coding and funding. The student may still receive special education services in a preschool setting based on the IEP team's decision and student's individual needs.</t>
  </si>
  <si>
    <t>General ed class 40 - 80%</t>
  </si>
  <si>
    <t>GRADE K - 21-YEAR-OLDS: The student is inside the general education classroom 40% but not more than 79% of the school day. For example, in a 6 hour school day, the student is inside the regular class for at least 2 hours, 25 minutes but not more than 4 hours, 47 minutes.</t>
  </si>
  <si>
    <t>General ed class less than 40%</t>
  </si>
  <si>
    <t>GRADE K - 21-YEAR-OLDS: The student is inside the general education classroom less than 40% of the school day. In a 6 hour school day, the student is inside the regular class for 2 hours, 24 minutes or less.</t>
  </si>
  <si>
    <t>Public separate day school</t>
  </si>
  <si>
    <t>GRADE K - 21-YEAR-OLDS: The student is in a district self-contained classroom in a separate special education school for more than 50% of the school day. For example, more than 3 hours in a 6 hour day.</t>
  </si>
  <si>
    <t>Private separate day school</t>
  </si>
  <si>
    <t>GRADE K - 21-YEAR-OLDS: The student is placed in a private special education day school/facility at public expense for more than 50% of the school day. For example, more than 3 hours in a 6 hour school day.</t>
  </si>
  <si>
    <t>Public residential facility</t>
  </si>
  <si>
    <t>GRADE K - 21-YEAR-OLDS: The student receives education services in a public residential facility for more than 50% of the school day and resides in that facility during the school week.</t>
  </si>
  <si>
    <t>Private residential facility</t>
  </si>
  <si>
    <t>GRADE K - 21-YEAR-OLDS: The student receives education services in a private residential facility at public expense for more than 50% of the school day and resides in that facility during the school week.</t>
  </si>
  <si>
    <t>Homebound/Hospital</t>
  </si>
  <si>
    <t>GRADE K - 21-YEAR-OLDS: The student receives special education services in a hospital or homebound setting (do not include home-schooled students or virtual charter school students.)</t>
  </si>
  <si>
    <t>Correctional facility</t>
  </si>
  <si>
    <t>GRADE K - 21-YEAR-OLDS: The student receives special education services in a detention center or correctional facility.</t>
  </si>
  <si>
    <t>Enrolled private by parents</t>
  </si>
  <si>
    <t>GRADE K - 21-YEAR-OLDS: The student is voluntarily enrolled in a private school by parents. The only services provided at public expense are special education and related services. Do not include students enrolled in a public virtual charter school. (Should this indicate in the discription that the student is on a service plan?)</t>
  </si>
  <si>
    <t>Separate Class</t>
  </si>
  <si>
    <t>GRADE PK: The student DOES NOT attend a Regular Early Childhood Program but DOES attend a public or private Special Education Program. Separate Class: Student attends a special education program in a class with less than 50% non-disabled children.</t>
  </si>
  <si>
    <t>Separate School</t>
  </si>
  <si>
    <t>GRADE PK: The student DOES NOT attend a Regular Early Childhood Program but DOES attend a public or private Special Education Program. Separate School: Student receives education programs in public or private day schools designed specifically for children with disabilities.</t>
  </si>
  <si>
    <t>Residential Facility</t>
  </si>
  <si>
    <t>GRADE PK: The student DOES NOT attend a Regular Early Childhood Program but DOES attend a public or private Special Education Program. Residential Facility: Student receives all special education and related services in a public or private residential facility.</t>
  </si>
  <si>
    <t>Service Provider Location</t>
  </si>
  <si>
    <t>GRADE PK: The student DOES NOT attend a Regular Early Childhood Program and DOES NOT attend a Special Education Program. Service Provider Location: Student receives all special education and related services from a service provider.</t>
  </si>
  <si>
    <r>
      <t xml:space="preserve">GRADE PK: The student DOES NOT attend a Regular Early Childhood Program and DOES NOT attend a Special Education Program. Home: Student receives the </t>
    </r>
    <r>
      <rPr>
        <b/>
        <sz val="11"/>
        <color theme="1"/>
        <rFont val="Calibri"/>
        <family val="2"/>
        <scheme val="minor"/>
      </rPr>
      <t>majority</t>
    </r>
    <r>
      <rPr>
        <sz val="10"/>
        <rFont val="Arial"/>
        <family val="2"/>
      </rPr>
      <t xml:space="preserve"> of special education and related services in the principal residence of the child’s family or caregivers. May include students who recieve some services in a service provider location but recieve the majority of services in the principal residence. </t>
    </r>
  </si>
  <si>
    <t>For example, a student receives developmental services at home and receives speech-language therapy at the service providers location.</t>
  </si>
  <si>
    <t>&gt;10 hours Regular EC Program provides majority of services</t>
  </si>
  <si>
    <t>GRADE PK: Attends a Regular Early Childhood Program at least 10 hours per week and receives the majority of Special Education and Related Services in the Regular Early Childhood Program.</t>
  </si>
  <si>
    <t>A regular early childhood program, is a program that includes a majority (at least 50 percent) of nondisabled children (i.e., children not on IEPs). This category may include, but is not limited to:
• Head Start
• Kindergarten, (public or private)
• Preschool classes (public or private)
• Group child development center or child care</t>
  </si>
  <si>
    <t>&gt;10 hours Regular EC Program; majority of services provided elsewhere</t>
  </si>
  <si>
    <t>GRADE PK: Attends a Regular Early Childhood Program more than 10 hours per week, but the student receives the majority of Special Education and related services in another location.</t>
  </si>
  <si>
    <t>&lt;10 hours Regular EC Program provides majority of services</t>
  </si>
  <si>
    <t>GRADE PK: Attends a Regular Early Childhood program less than 10 hours per week and receives the majority of Special Education and Related Services in the Regular Early Childhood Program.</t>
  </si>
  <si>
    <t>&lt; 10 hours Regular EC Program; majority of services provided elsewhere</t>
  </si>
  <si>
    <t>GRADE PK: Attends a Regular Early Childhood Program less than 10 hours per week and receives Special Education and Related Services from another location.</t>
  </si>
  <si>
    <t>To work for another educational institution inside Idaho</t>
  </si>
  <si>
    <t>To work for another educational institution outside Idaho</t>
  </si>
  <si>
    <t>Leaving education profession</t>
  </si>
  <si>
    <t>Returning to school</t>
  </si>
  <si>
    <t>Spouse transferred</t>
  </si>
  <si>
    <t>Retirement</t>
  </si>
  <si>
    <t>Death</t>
  </si>
  <si>
    <t>Reduction in force</t>
  </si>
  <si>
    <t>Personal reasons</t>
  </si>
  <si>
    <t>Involuntary termination</t>
  </si>
  <si>
    <t>Leave of absence</t>
  </si>
  <si>
    <t>Parental/family obligation</t>
  </si>
  <si>
    <t>Service in foreign country</t>
  </si>
  <si>
    <t>Military</t>
  </si>
  <si>
    <t>Non-certified staff no longer on district payroll</t>
  </si>
  <si>
    <t>Early retirement incentive program participant (I.C. 33-1004G only)</t>
  </si>
  <si>
    <t>Certificated to non-certificated</t>
  </si>
  <si>
    <t>The staff member changed from a certificated to a non-certificated position within the district.  Still employed</t>
  </si>
  <si>
    <t>Non-certificated to Certificated</t>
  </si>
  <si>
    <t>The staff member changed from a non-certificated to a certificated position within the district.  Still employed</t>
  </si>
  <si>
    <t>Acts of Nature</t>
  </si>
  <si>
    <t>School closure such as a fire, flood, snow or other inclement weather</t>
  </si>
  <si>
    <t>School closure for all students of 5 or more consecutive school days as a result of an act of nature.</t>
  </si>
  <si>
    <t>HB</t>
  </si>
  <si>
    <t>Holiday Break</t>
  </si>
  <si>
    <t>Thanksgiving, Winter Break</t>
  </si>
  <si>
    <t xml:space="preserve">School closure for all students of 5 or more consecutive school days as a result of a holiday break. </t>
  </si>
  <si>
    <t>OB</t>
  </si>
  <si>
    <t>Other School Break</t>
  </si>
  <si>
    <t>A break such as harvest break, hunting, etc.</t>
  </si>
  <si>
    <t xml:space="preserve">School closure for all students of 5 or more consecutive school days as a result of a other school break . </t>
  </si>
  <si>
    <t>Spring Break</t>
  </si>
  <si>
    <t>Spring Break period</t>
  </si>
  <si>
    <t xml:space="preserve">School closure for all students of 5 or more consecutive school days as a result of Spring Break. </t>
  </si>
  <si>
    <t>Summer Break period</t>
  </si>
  <si>
    <t>School closure for all students of 5 or more consecutive school days as a result of Summer Break</t>
  </si>
  <si>
    <t>AB</t>
  </si>
  <si>
    <t>Alberta</t>
  </si>
  <si>
    <t>AK</t>
  </si>
  <si>
    <t>Alaska</t>
  </si>
  <si>
    <t>Alabama</t>
  </si>
  <si>
    <t>Arkansas</t>
  </si>
  <si>
    <t>Arizona</t>
  </si>
  <si>
    <t>BC</t>
  </si>
  <si>
    <t>British Columbia</t>
  </si>
  <si>
    <t>California</t>
  </si>
  <si>
    <t>Colorado</t>
  </si>
  <si>
    <t>Connecticut</t>
  </si>
  <si>
    <t>DC</t>
  </si>
  <si>
    <t>District of Columbia</t>
  </si>
  <si>
    <t>FL</t>
  </si>
  <si>
    <t>Florida</t>
  </si>
  <si>
    <t>HI</t>
  </si>
  <si>
    <t>Hawaii</t>
  </si>
  <si>
    <t>IA</t>
  </si>
  <si>
    <t>Iowa</t>
  </si>
  <si>
    <t>Illinois</t>
  </si>
  <si>
    <t>Indiana</t>
  </si>
  <si>
    <t>KS</t>
  </si>
  <si>
    <t>Kansas</t>
  </si>
  <si>
    <t>Kentucky</t>
  </si>
  <si>
    <t>Louisiana</t>
  </si>
  <si>
    <t>Massachusetts</t>
  </si>
  <si>
    <t>MB</t>
  </si>
  <si>
    <t>Manitoba</t>
  </si>
  <si>
    <t>Maryland</t>
  </si>
  <si>
    <t>ME</t>
  </si>
  <si>
    <t>Maine</t>
  </si>
  <si>
    <t>MI</t>
  </si>
  <si>
    <t>Michigan</t>
  </si>
  <si>
    <t>Minnesota</t>
  </si>
  <si>
    <t>Missouri</t>
  </si>
  <si>
    <t>Mississippi</t>
  </si>
  <si>
    <t>Montana</t>
  </si>
  <si>
    <t>NB</t>
  </si>
  <si>
    <t>New Brunswick</t>
  </si>
  <si>
    <t>North Carolina</t>
  </si>
  <si>
    <t>ND</t>
  </si>
  <si>
    <t>North Dakota</t>
  </si>
  <si>
    <t>Nebraska</t>
  </si>
  <si>
    <t>NH</t>
  </si>
  <si>
    <t>New Hampshire</t>
  </si>
  <si>
    <t>NJ</t>
  </si>
  <si>
    <t>New Jersey</t>
  </si>
  <si>
    <t>Newfoundland</t>
  </si>
  <si>
    <t>NM</t>
  </si>
  <si>
    <t>New Mexico</t>
  </si>
  <si>
    <t>NS</t>
  </si>
  <si>
    <t>Nova Scotia</t>
  </si>
  <si>
    <t>NV</t>
  </si>
  <si>
    <t>Nevada</t>
  </si>
  <si>
    <t>NY</t>
  </si>
  <si>
    <t>New York</t>
  </si>
  <si>
    <t>OH</t>
  </si>
  <si>
    <t>Ohio</t>
  </si>
  <si>
    <t>OK</t>
  </si>
  <si>
    <t>Oklahoma</t>
  </si>
  <si>
    <t>ON</t>
  </si>
  <si>
    <t>Ontario</t>
  </si>
  <si>
    <t>OR</t>
  </si>
  <si>
    <t>Oregon</t>
  </si>
  <si>
    <t>OT</t>
  </si>
  <si>
    <t>Pennsylvania</t>
  </si>
  <si>
    <t>Prince Edward Island</t>
  </si>
  <si>
    <t>PQ</t>
  </si>
  <si>
    <t>Quebec</t>
  </si>
  <si>
    <t>RI</t>
  </si>
  <si>
    <t>Rhode Island</t>
  </si>
  <si>
    <t>South Carolina</t>
  </si>
  <si>
    <t>South Dakota</t>
  </si>
  <si>
    <t>Saskatchewan</t>
  </si>
  <si>
    <t>Tennessee</t>
  </si>
  <si>
    <t>TX</t>
  </si>
  <si>
    <t>Texas</t>
  </si>
  <si>
    <t>UT</t>
  </si>
  <si>
    <t>Utah</t>
  </si>
  <si>
    <t>Virginia</t>
  </si>
  <si>
    <t>Virgin Islands</t>
  </si>
  <si>
    <t>VT</t>
  </si>
  <si>
    <t>Vermont</t>
  </si>
  <si>
    <t>WA</t>
  </si>
  <si>
    <t>WI</t>
  </si>
  <si>
    <t>Wisconsin</t>
  </si>
  <si>
    <t>WV</t>
  </si>
  <si>
    <t>West Virginia</t>
  </si>
  <si>
    <t>WY</t>
  </si>
  <si>
    <t>Wyoming</t>
  </si>
  <si>
    <t>Lead Team Teacher</t>
  </si>
  <si>
    <t>A certified (TOR) educator who is the primary teacher of record and works with a non-primary, certified "assisting teacher". 
Note: Teacher of Record (TOR) is defined as the person who is primarily responsible for planning instruction, delivering instruction, assessing students formatively and summatively, and designating the final grade.</t>
  </si>
  <si>
    <t>Both teachers (lead and assisting) must have a record with matching assignment code, period, sectionId and schoolId. Students’ course records must link to those matching assignments records. Requires proper certification and a valid Idaho endorsement for this assignment.</t>
  </si>
  <si>
    <t>Assisting Teacher</t>
  </si>
  <si>
    <r>
      <t xml:space="preserve">A certified instructor assisting a certified "lead team teacher". Both teachers (assisting and lead) must have a record with matching assignment code, period, sectionId and schoolId. Students’ course records must link to those matching assignments records. Requires certification and </t>
    </r>
    <r>
      <rPr>
        <i/>
        <sz val="10"/>
        <rFont val="MS Reference Sans Serif"/>
        <family val="2"/>
      </rPr>
      <t>any</t>
    </r>
    <r>
      <rPr>
        <sz val="10"/>
        <rFont val="MS Reference Sans Serif"/>
        <family val="2"/>
      </rPr>
      <t xml:space="preserve"> valid Idaho endorsement. </t>
    </r>
  </si>
  <si>
    <t>Co-Teacher</t>
  </si>
  <si>
    <t>A certified (TOR) instructor who shares an assignment equally with another certified (TOR) instructor.
Note: Teacher of Record (TOR) is defined as the person who is primarily responsible for planning instruction, delivering instruction, assessing students formatively and summatively, and designating the final grade.</t>
  </si>
  <si>
    <t>Both co-teachers have a record with matching assignment code, period, sectionId and schoolId. Students’ course records must link to those matching assignments records. Requires proper certification and a valid Idaho endorsement for this assignment, for both teachers.</t>
  </si>
  <si>
    <t>Long Term Substitute</t>
  </si>
  <si>
    <t>A qualified individual who temporarily acts on behalf of a contracted certified (TOR) instructor for 10 or more consecutive days during the school year. There must be another Staff Assignment record with teachingRole T, C, or 1 (with matching assignment code, period, sectionId and schoolId).</t>
  </si>
  <si>
    <t>Proctor</t>
  </si>
  <si>
    <t>An individual who monitors students taking a virtual course. There must be a "provider instructor" identification in the Master Course Schedule. (i.e. for regular classroom setting - virtual course types). Record must match students' course records on courseCode, period, sectionId and schoolId.</t>
  </si>
  <si>
    <t>Teacher of Record</t>
  </si>
  <si>
    <t xml:space="preserve">The Teacher  of Record (TOR) is defined as the certified educator who is primarily responsible for planning instruction, delivering instruction, assessing students formatively and summatively, and designating the final grade. </t>
  </si>
  <si>
    <t xml:space="preserve">Record must match students' course records on courseCode, period, sectionId and schoolId. Requires proper certification and a valid Idaho endorsement for this assignment. </t>
  </si>
  <si>
    <t>Short Term Substitute</t>
  </si>
  <si>
    <t>An individual who temporarily replaces a contracted certified instructor for less than 10 consecutive days. If reported, there must be another Staff Assignment record with teachingRole T, C, or 1 (with matching schoolId, period, sectionId, and assignment).</t>
  </si>
  <si>
    <t>Moved out of district</t>
  </si>
  <si>
    <t>Student moved out of the district prior to a determination being made</t>
  </si>
  <si>
    <t>Student is deceased</t>
  </si>
  <si>
    <t>Student died prior to a determination being made</t>
  </si>
  <si>
    <t>Consent Not Received</t>
  </si>
  <si>
    <t>Parent did not provide consent for initial assessment. For ECRefDhW = Yes only.</t>
  </si>
  <si>
    <t>This undetermined reason is only applicable for students referred as potentially eligible for Part B services from the Infant Toddler Program. The date indicated in the consent date field is the date the LEA received a parental denial of consent or made contact with the family and provide notice of procedural safeguards and written information about the Part B and early childhood special education services. See Chapter 5 Section 5 of the Idaho Special Education Manual for additional information on LEA responsibilities.</t>
  </si>
  <si>
    <t>WD</t>
  </si>
  <si>
    <t>Withdrawn by Parent</t>
  </si>
  <si>
    <t>Parent withdrew permission</t>
  </si>
  <si>
    <t>HG</t>
  </si>
  <si>
    <t>Handgun</t>
  </si>
  <si>
    <t>The term “handgun” means— (A) a firearm which has a short stock and is designed to be held and fired by the use of a single hand; and (B)any combination of parts from which a firearm described in subparagraph (A) can be assembled.
18 USC § 921(a)(29)</t>
  </si>
  <si>
    <t>Shotgun/Rifle</t>
  </si>
  <si>
    <t>The term “shotgun” means a weapon designed or redesigned, made or remade, and intended to be fired from the shoulder and designed or redesigned and made or remade to use the energy of an explosive to fire through a smooth bore either a number of ball shot or a single projectile for each single pull of the trigger. 18 USC § 921(a)(5)
The term “short-barreled shotgun” means a shotgun having one or more barrels less than eighteen inches in length and any weapon made from a shotgun (whether by alteration, modification or otherwise) if such a weapon as modified has an overall length of less than twenty-six inches.
The term “rifle” means a weapon designed or redesigned, made or remade, and intended to be fired from the shoulder and designed or redesigned and made or remade to use the energy of an explosive to fire only a single projectile through a rifled bore for each single pull of the trigger. 18 USC § 921(a)(7)
The term “short-barreled rifle” means a rifle having one or more barrels less than sixteen inches in length and any weapon made from a rifle (whether by alteration, modification, or otherwise) if such weapon, as modified, has an overall length of less than twenty-six inches.</t>
  </si>
  <si>
    <t>Shotgun, short-barreled shotgun, rifle, or short-barreled rifle.</t>
  </si>
  <si>
    <t>MF</t>
  </si>
  <si>
    <t>Multiple Firearms</t>
  </si>
  <si>
    <t>Use of more than one of handguns, rifles/shotguns, or other type of firearms.</t>
  </si>
  <si>
    <t>ED</t>
  </si>
  <si>
    <t>Explosive Device</t>
  </si>
  <si>
    <t>Destructive device. The term “destructive device” used in part (D) of the definition of “firearm” means 
A.      any explosive, incendiary, or poison gas— 
   i.   bomb, 
   ii.  grenade, 
   iii. rocket having a propellant charge of more than four ounces, 
   iv. missile having an explosive or incendiary charge of more than one-quarter ounce, 
   v.   mine,</t>
  </si>
  <si>
    <t>OF</t>
  </si>
  <si>
    <t>Other Type of Firearm</t>
  </si>
  <si>
    <t>A firearm is defined in Title 18 USC §921 as follows:
   A. any weapon (including a starter gun) which will or is designed to or may readily be converted to expel a projectile by the action of an explosive; 
   B. the frame or receiver of any such weapon; 
   C. any firearm muffler or firearm silencer; or 
   D. any destructive device. Such term does not include an antique firearm.</t>
  </si>
  <si>
    <t>Any firearm that is not a handgun, a rifle, or a shotgun.</t>
  </si>
  <si>
    <t>Knife (blade less than 2.5 inches)</t>
  </si>
  <si>
    <t>Knife (blade longer than 2.5 inches)</t>
  </si>
  <si>
    <t>Other Sharp Object</t>
  </si>
  <si>
    <t>SW</t>
  </si>
  <si>
    <t>Substance Used as a Weapon</t>
  </si>
  <si>
    <t>OO</t>
  </si>
  <si>
    <t>Other Object</t>
  </si>
  <si>
    <t>UN</t>
  </si>
  <si>
    <t>Unknown Weapon</t>
  </si>
  <si>
    <t>None</t>
  </si>
  <si>
    <t>No</t>
  </si>
  <si>
    <t>Yes</t>
  </si>
  <si>
    <t>Not Applicable</t>
  </si>
  <si>
    <t>2020-2021 IDCTE APPROVED INDUSTRY CERTIFICATIONS</t>
  </si>
  <si>
    <t>2019-2020 IDCTE APPROVED INDUSTRY CERTIFICATIONS</t>
  </si>
  <si>
    <t>American Association of Family &amp; Consumer Sciences (AAFCS) Pre-Professional Assessments
&amp; Certifications (PAC)</t>
  </si>
  <si>
    <t>American Culinary Federation (ACF) Culinary Arts Certifications</t>
  </si>
  <si>
    <t>Adobe: Graphic Design &amp; Illustration Using Illustrator</t>
  </si>
  <si>
    <t>Adobe: Interactive Media Using Flash Professional</t>
  </si>
  <si>
    <t>Adobe: Print &amp; Digital Media Publication Using InDesign</t>
  </si>
  <si>
    <t>Adobe: Video Communication Using Premiere</t>
  </si>
  <si>
    <t>Adobe: Visual Communication Using  Photoshop</t>
  </si>
  <si>
    <t>Adobe: Web Authoring Using Dreamweaver</t>
  </si>
  <si>
    <t>Advanced Emergency Medical Technician</t>
  </si>
  <si>
    <t>Apple Application Development with Swift Certification Level 1</t>
  </si>
  <si>
    <t>Autodesk Auto Computer Aided Design (CAD) Certified User</t>
  </si>
  <si>
    <t>Autodesk Inventor Certified User</t>
  </si>
  <si>
    <t>Autodesk Revit Architecture Certified User</t>
  </si>
  <si>
    <t>Automotive Service Excellence (ASE) National Automotive Student Skills Standards Assessment (NA3SA) Student Certification</t>
  </si>
  <si>
    <t>American Welding Society (AWS) Flux Core Arc Welding (FCAW) 1G</t>
  </si>
  <si>
    <t>AWS Flux Core Arc Welding (FCAW) 2G</t>
  </si>
  <si>
    <t>AWS Flux Core Arc Welding (FCAW) 4G</t>
  </si>
  <si>
    <t>AWS Flux Core Arc Welding (FCAW) 3G</t>
  </si>
  <si>
    <t>AWS Flux Core Arc Welding (FCAW) Unlimited</t>
  </si>
  <si>
    <t>AWS Certified Welder</t>
  </si>
  <si>
    <t>AWS Gas Metal Arc Welding (GMAW) 1G</t>
  </si>
  <si>
    <t>AWS Gas Metal Arc Welding (GMAW) 1F</t>
  </si>
  <si>
    <t>AWS Gas Metal Arc Welding (GMAW) 2F</t>
  </si>
  <si>
    <t>AWS Gas Metal Arc Welding (GMAW) 3F Down</t>
  </si>
  <si>
    <t>AWS Gas Metal Arc Welding (GMAW) 3F Up</t>
  </si>
  <si>
    <t>AWS Gas Metal Arc Welding (GMAW) 3G Up</t>
  </si>
  <si>
    <t>AWS Gas Metal Arc Welding (GMAW) 4F</t>
  </si>
  <si>
    <t>AWS Gas Metal Arc Welding (GMAW) 4G</t>
  </si>
  <si>
    <t>AWS Gas Tungsten Arc Welding (GTAW) 1G</t>
  </si>
  <si>
    <t>AWS Gas Tungsten Arc Welding (GTAW) Carbon or Stainless Steel 1G</t>
  </si>
  <si>
    <t>AWS Gas Tungsten Arc Welding (GTAW) Carbon or Stainless Steel 2G</t>
  </si>
  <si>
    <t>AWS Gas Tungsten Arc Welding (GTAW) Carbon or Stainless Steel 3G Down</t>
  </si>
  <si>
    <t>AWS Gas Tungsten Arc Welding (GTAW) Carbon or Stainless Steel 3G Up</t>
  </si>
  <si>
    <t>AWS Gas Tungsten Arc Welding (GTAW) Carbon or Stainless Steel 4G</t>
  </si>
  <si>
    <t>AWS Gas Tungsten Arc Welding (GTAW) 3G up</t>
  </si>
  <si>
    <t>AWS Gas Tungsten Arc Welding (GTAW) 4G</t>
  </si>
  <si>
    <t>AWS Shielded Metal Arc Welding (SMAW) 1G</t>
  </si>
  <si>
    <t>AWS Shielded Metal Arc Welding (SMAW) 2G</t>
  </si>
  <si>
    <t>AWS Shielded Metal Arc Welding (SMAW) 3G up</t>
  </si>
  <si>
    <t>AWS Shielded Metal Arc Welding (SMAW) Unlimited</t>
  </si>
  <si>
    <t>AWS Shielded Metal Arc Welding (SMAW) 4G up</t>
  </si>
  <si>
    <t>Cardiopulmonary Resuscitation (CPR)</t>
  </si>
  <si>
    <t>Certified Internet Web (CIW) Internet Business Associate</t>
  </si>
  <si>
    <t>Certification of Pharmacy Technicians (ExCPT)</t>
  </si>
  <si>
    <t>Child Development Associate (CDA) Credential Online Exam</t>
  </si>
  <si>
    <t>Child Development Associate (CDA) Credential paper/pencil Exam</t>
  </si>
  <si>
    <t>Cisco Certified Entry Networking Technician (CCENT) Interconnecting Cisco Networking
Devices 1 (100-101 ICND1)</t>
  </si>
  <si>
    <t>Cisco Certified Network Associate (CCNA) 200-125</t>
  </si>
  <si>
    <t>Cisco Certified Network Associate (CCNA) Interconnecting Cisco Networking Devices:
Accelerated  (200-120 CCNA)</t>
  </si>
  <si>
    <t>Cisco: Interconnecting Cisco Networking Devices - Part 1</t>
  </si>
  <si>
    <t>Cisco: Interconnecting Cisco Networking Devices - Part 2</t>
  </si>
  <si>
    <t>CIW Internet Business Associate</t>
  </si>
  <si>
    <t>CIW Network Technology Associate</t>
  </si>
  <si>
    <t>CIW Site Development Associate</t>
  </si>
  <si>
    <t>CIW Web Foundations Associate</t>
  </si>
  <si>
    <t>Computing Technology Industry Association (CompTIA) A+ (220-901)</t>
  </si>
  <si>
    <t>CompTIA A+ (220-902)</t>
  </si>
  <si>
    <t>CompTIA IT Fundamentals (FC0-US1)</t>
  </si>
  <si>
    <t>CompTIA Linux+ (LXO101)</t>
  </si>
  <si>
    <t>CompTIA Linux+ (LXO102)</t>
  </si>
  <si>
    <t>CompTIA Linux+ (LXO103)</t>
  </si>
  <si>
    <t>CompTIA Linux+ (LXO104)</t>
  </si>
  <si>
    <t>CompTIA Network+ (N10-006)</t>
  </si>
  <si>
    <t>CompTIA Security+ (SY0-401)</t>
  </si>
  <si>
    <t>CompTIA Server+ (SK0-004)</t>
  </si>
  <si>
    <t>Dental Assisting National Board (DANB) Infection Control Exam</t>
  </si>
  <si>
    <t>Equipment &amp; Engine Technician Certification (EETC) Compact Diesel Engine Certification Test</t>
  </si>
  <si>
    <t>EETC Components Plus Certification Test</t>
  </si>
  <si>
    <t>EETC Driveline/Hydraulics Certification Test</t>
  </si>
  <si>
    <t>EETC Four-Stroke Engine Certification Test</t>
  </si>
  <si>
    <t>EETC General Certification Test</t>
  </si>
  <si>
    <t>EETC Outdoor Power Equipment (OPE) Electrical Certification Test</t>
  </si>
  <si>
    <t>EETC Reel Technology Certification Test</t>
  </si>
  <si>
    <t>EETC Two-Stroke Engine Certification Test</t>
  </si>
  <si>
    <t>Electronics Technicians Association (ETA) Electronics Direct Current (DC) Electronics Module
1 (EM1)</t>
  </si>
  <si>
    <t>ETA Electronics Alternating Current (AC) (EM2)</t>
  </si>
  <si>
    <t>ETA Analog (EM3)</t>
  </si>
  <si>
    <t>ETA Digital (EM4)</t>
  </si>
  <si>
    <t>ETA Comprehensive (EM5)</t>
  </si>
  <si>
    <t>ETA Associate Certified Electronics Technician (CETa)</t>
  </si>
  <si>
    <t>Educational Testing Service (ETS)-Praxis ParaPro  Assessment</t>
  </si>
  <si>
    <t>Entrepreneurship &amp; Small Business (ESB) Small Business Management</t>
  </si>
  <si>
    <t>Federal Aviation Administration (FAA) Part 107 Unmanned Drone Pilot License</t>
  </si>
  <si>
    <t>Inter-Industry Conference on Auto Collision Repair (I-CAR) Pro-Level 1</t>
  </si>
  <si>
    <t>I-CAR Steel Gas Metal Arc (GMA) Metal Inert Gas (MIG) Welding WCS03</t>
  </si>
  <si>
    <t>I-CAR  Aluminum GMA (MIG) Welding WCA03</t>
  </si>
  <si>
    <t>I-CAR Pro-Level 1</t>
  </si>
  <si>
    <t>Idaho Certified Nursing Assistant Manual Skills Exam</t>
  </si>
  <si>
    <t>Idaho Certified Nursing Assistant Prometric Exam</t>
  </si>
  <si>
    <t>Idaho Court Interpreter</t>
  </si>
  <si>
    <t>Idaho Department of Agriculture Animal Artificial Insemination License</t>
  </si>
  <si>
    <t>Idaho Department of Agriculture Animal Care Worker Certification</t>
  </si>
  <si>
    <t>Idaho Department of Agriculture Assistant Laboratory Animal Technician</t>
  </si>
  <si>
    <t>Idaho Department of Agriculture Pesticide Applicator</t>
  </si>
  <si>
    <t>Idaho Department of Agriculture Private Pesticide Applicator License</t>
  </si>
  <si>
    <t>Idaho Emergency Medical Responder Psychomotor</t>
  </si>
  <si>
    <t>Idaho Emergency Medical Responder-Written</t>
  </si>
  <si>
    <t>Idaho Emergency Medical Technician Psychomotor</t>
  </si>
  <si>
    <t>Idaho Emergency Medical Technician-Written Exam</t>
  </si>
  <si>
    <t>Idaho Nursery &amp; Landscape Associationn (INLA) Horticultural Pre-Technical Certificate</t>
  </si>
  <si>
    <t>Infection Control Exam - Dental</t>
  </si>
  <si>
    <t>Internet &amp; Computing Core Certification (IC3)</t>
  </si>
  <si>
    <t>Intuit QuickBooks Certified User</t>
  </si>
  <si>
    <t>Microsoft Office Specialist (MOS): Microsoft Office 365 (Core)</t>
  </si>
  <si>
    <t>MOS: Microsoft Office Access</t>
  </si>
  <si>
    <t>MOS: Microsoft Office Excel</t>
  </si>
  <si>
    <t>MOS: Microsoft Office OneNote</t>
  </si>
  <si>
    <t>MOS: Microsoft Office Outlook</t>
  </si>
  <si>
    <t>MOS: Microsoft Office Powerpoint</t>
  </si>
  <si>
    <t>MOS: Microsoft Office SharePoint</t>
  </si>
  <si>
    <t>MOS: Microsoft Office Word</t>
  </si>
  <si>
    <t>Microsoft: Administering Windows Server 2012 or 2016</t>
  </si>
  <si>
    <t>Microsoft: Configuring Advanced Windows Server 2012 or 2016 Services</t>
  </si>
  <si>
    <t>Microsoft: Installing and Configuring Windows Server 2012 or 2016</t>
  </si>
  <si>
    <t>Microsoft Technology Associate (MTA): .Net Fundamentals</t>
  </si>
  <si>
    <t>MTA: Database Administration Fundamentals</t>
  </si>
  <si>
    <t>MTA: Gaming Development Fundamentals</t>
  </si>
  <si>
    <t>MTA: Hypertext Markup Language (HTML) 5 Application Development Fundamentals</t>
  </si>
  <si>
    <t>MTA: Mobile Applications Development Fundamentals</t>
  </si>
  <si>
    <t>MTA: Networking Fundamentals</t>
  </si>
  <si>
    <t>MTA: Security Fundamentals</t>
  </si>
  <si>
    <t>MTA: Server Administration Fundamentals</t>
  </si>
  <si>
    <t>MTA: Software Development Fundamentals</t>
  </si>
  <si>
    <t>MTA: Software Testing Fundamentals</t>
  </si>
  <si>
    <t>MTA: Web Development Fundamentals</t>
  </si>
  <si>
    <t>MTA: Windows Operating System Fundamentals</t>
  </si>
  <si>
    <t>National Entry Level Dental Assistant</t>
  </si>
  <si>
    <t>National Institute for Metalworking Skills (NIMS) Level 1 Credentials</t>
  </si>
  <si>
    <t>National Center for Construction Education &amp; Research (NCCER) Academic Carpentry Level 1</t>
  </si>
  <si>
    <t>NCCER Academic Construction Technology</t>
  </si>
  <si>
    <t>NCCER Academic Core: Introductory Craft Skills</t>
  </si>
  <si>
    <t>NCCER Academic Electrical Level 1</t>
  </si>
  <si>
    <t>NCCER Academic Heavy Equipment Operations Level 1</t>
  </si>
  <si>
    <t>NCCER Academic Heating Ventilation &amp; Air Conditioning (HVAC)</t>
  </si>
  <si>
    <t>NCCER Academic Masonry Level 1</t>
  </si>
  <si>
    <t>NCCER Academic Welding</t>
  </si>
  <si>
    <t>National Healthcare Association (NHA) Certified Medical Administrative Assistant (CMAA)</t>
  </si>
  <si>
    <t>NHA Certified Phelbotomy Technician (CPT) Exam</t>
  </si>
  <si>
    <t>Oracle Java Associate</t>
  </si>
  <si>
    <t>Oracle Structured Query Language (SQL) Fundamentals</t>
  </si>
  <si>
    <t>Occupational Safety &amp; Health Administration (OSHA) General Forklift Driver</t>
  </si>
  <si>
    <t>OSHA Ten Hour (exam only)</t>
  </si>
  <si>
    <t>Pharmacy Technician Certification Board (PTCB) Certification</t>
  </si>
  <si>
    <t>ServSafe Food Handler Certification</t>
  </si>
  <si>
    <t>ServSafe Manager Certification (Online Exam)</t>
  </si>
  <si>
    <t>ServSafe Manager Certification (Paper Exam)</t>
  </si>
  <si>
    <t>SOLIDWORKS Certified Associate</t>
  </si>
  <si>
    <t>Zend Certified Hypertext Preprocessor (PHP) Engineer</t>
  </si>
  <si>
    <t>CIPCode</t>
  </si>
  <si>
    <t>TextChange</t>
  </si>
  <si>
    <t>CIPTitle</t>
  </si>
  <si>
    <t>CIPDefinition</t>
  </si>
  <si>
    <t>Text Change</t>
  </si>
  <si>
    <t>yes</t>
  </si>
  <si>
    <t>AGRICULTURAL/ANIMAL/PLANT/VETERINARY SCIENCE AND RELATED FIELDS.</t>
  </si>
  <si>
    <t>Instructional programs that focus on agriculture, animal, plant, veterinary, and related sciences and that prepares individuals to apply specific knowledge, methods, and techniques to the management and performance of agricultural and veterinary operations.</t>
  </si>
  <si>
    <t>no</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</si>
  <si>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</si>
  <si>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</si>
  <si>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</si>
  <si>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</si>
  <si>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</si>
  <si>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</si>
  <si>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</si>
  <si>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</si>
  <si>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</si>
  <si>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</si>
  <si>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</si>
  <si>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</si>
  <si>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</si>
  <si>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</si>
  <si>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</si>
  <si>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Technology/Technician.</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</si>
  <si>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</si>
  <si>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</si>
  <si>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</si>
  <si>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</si>
  <si>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</si>
  <si>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</si>
  <si>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</si>
  <si>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</si>
  <si>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</si>
  <si>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Agricultural Mechanics and Equipment/Machine Technology/Technician.</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</si>
  <si>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</si>
  <si>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New</t>
  </si>
  <si>
    <t>Irrigation Management Technology/Technician.</t>
  </si>
  <si>
    <t>A program that prepares individuals for employment in the field of agricultural technology and irrigation. Includes instruction in irrigation and drainage methodologies, pumping and delivery systems, system design and evaluation, and principles of installation and repair of irrigation systems.</t>
  </si>
  <si>
    <t>Agricultural Mechanization, Other.</t>
  </si>
  <si>
    <t>Any instructional program in agricultural mechanization not listed above.</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</si>
  <si>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</si>
  <si>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</si>
  <si>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</si>
  <si>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</si>
  <si>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</si>
  <si>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</si>
  <si>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</si>
  <si>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</si>
  <si>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</si>
  <si>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</si>
  <si>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</si>
  <si>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</si>
  <si>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</si>
  <si>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</si>
  <si>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</si>
  <si>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</si>
  <si>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Deleted - Moved To</t>
  </si>
  <si>
    <t>Viticulture and Enology.</t>
  </si>
  <si>
    <t>Moved from 01.0309 to 01.1004</t>
  </si>
  <si>
    <t>Apiculture.</t>
  </si>
  <si>
    <t>A program that focuses on improving the beekeeping industry, promoting pollination of fruits and vegetables, and bee colony expansion and maintenance. Includes instruction in apiary behavior, apiary equipment and supplies, beekeeping, bee pests and parasites, handling bees, hive set up and care, queen rearing, and seasonal management practices.</t>
  </si>
  <si>
    <t>Agricultural Production Operations, Other.</t>
  </si>
  <si>
    <t>Any instructional program in agricultural production operations not listed above.</t>
  </si>
  <si>
    <t>Agricultural and Food Products Processing.</t>
  </si>
  <si>
    <t>Instructional content for this group of programs is defined in codes 01.0401 - 01.0480.</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</si>
  <si>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</si>
  <si>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Reserved.</t>
  </si>
  <si>
    <t>Reserved for use by Statistics Canada. This CIP code is not valid for IPEDS reporting.</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</si>
  <si>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</si>
  <si>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</si>
  <si>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</si>
  <si>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</si>
  <si>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</si>
  <si>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</si>
  <si>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</si>
  <si>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</si>
  <si>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</si>
  <si>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</si>
  <si>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Farrier Science.</t>
  </si>
  <si>
    <t>A program of study that prepares individuals to become specialists in equine hoof care (farriers). Includes instruction in equine science, equine health and first aid, general horseshoeing, corrective horseshoeing, gait analysis, and metal forging techniques using gas or coal.</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</si>
  <si>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</si>
  <si>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</si>
  <si>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</si>
  <si>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</si>
  <si>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</si>
  <si>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</si>
  <si>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</si>
  <si>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</si>
  <si>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</si>
  <si>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</si>
  <si>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</si>
  <si>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</si>
  <si>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</si>
  <si>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</si>
  <si>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</si>
  <si>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</si>
  <si>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</si>
  <si>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</si>
  <si>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Public Horticulture.</t>
  </si>
  <si>
    <t>A program of study that focuses on combining traditional horticulture and public education and outreach. Includes instruction in botany, soil science, plant science, agricultural economics, leadership, and business.</t>
  </si>
  <si>
    <t>Urban and Community Horticulture.</t>
  </si>
  <si>
    <t>A program that focuses on principles and techniques for the production of horticultural crops in an urban environment. Includes instruction in ecology, environmental sustainability, food production systems, and plant and soil sciences.</t>
  </si>
  <si>
    <t>Applied Horticulture/Horticultural Business Services, Other.</t>
  </si>
  <si>
    <t>Any instructional program in horticultural service operations not listed above.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</si>
  <si>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</si>
  <si>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</si>
  <si>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</si>
  <si>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</si>
  <si>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</si>
  <si>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</si>
  <si>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</si>
  <si>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</si>
  <si>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</si>
  <si>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</si>
  <si>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</si>
  <si>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</si>
  <si>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</si>
  <si>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</si>
  <si>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</si>
  <si>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</si>
  <si>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</si>
  <si>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</si>
  <si>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</si>
  <si>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</si>
  <si>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</si>
  <si>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</si>
  <si>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</si>
  <si>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</si>
  <si>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</si>
  <si>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</si>
  <si>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</si>
  <si>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</si>
  <si>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</si>
  <si>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</si>
  <si>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</si>
  <si>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</si>
  <si>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</si>
  <si>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</si>
  <si>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</si>
  <si>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Brewing Science.</t>
  </si>
  <si>
    <t>A program that focuses on the business, science, and technology of beer brewing operations. Includes instruction in biology, biochemistry, brewing, entrepreneurship, fermentation, malting, marketing, microbiology, quality control, and sanitation.</t>
  </si>
  <si>
    <t>New From</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</si>
  <si>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</si>
  <si>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Zymology/Fermentation Science.</t>
  </si>
  <si>
    <t>A program that focuses on the business, science, and technology of fermented food production. Includes instruction in biology, biochemistry, brewing, entrepreneurship, fermentation, marketing, microbiology, quality control, and sanitation.</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</si>
  <si>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</si>
  <si>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</si>
  <si>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</si>
  <si>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</si>
  <si>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</si>
  <si>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</si>
  <si>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</si>
  <si>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</si>
  <si>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</si>
  <si>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</si>
  <si>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</si>
  <si>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</si>
  <si>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</si>
  <si>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</si>
  <si>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</si>
  <si>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</si>
  <si>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</si>
  <si>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</si>
  <si>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</si>
  <si>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</si>
  <si>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</si>
  <si>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</si>
  <si>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</si>
  <si>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</si>
  <si>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</si>
  <si>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</si>
  <si>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</si>
  <si>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</si>
  <si>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Agriculture/Veterinary Preparatory Programs.</t>
  </si>
  <si>
    <t>Instructional content for this group of programs is defined in codes 01.1302 - 01.1399.</t>
  </si>
  <si>
    <t>Pre-Veterinary Studies.</t>
  </si>
  <si>
    <t>A program that prepares individuals for admission to a professional program in veterinary medicine.</t>
  </si>
  <si>
    <t>Agriculture/Veterinary Preparatory Programs, Other.</t>
  </si>
  <si>
    <t>Any instructional program that prepares individuals for admission to a professional program in agriculture or veterinary medicine or science not listed above.</t>
  </si>
  <si>
    <t>Veterinary Medicine.</t>
  </si>
  <si>
    <t>Instructional content is defined in code 01.8001.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</si>
  <si>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</si>
  <si>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Veterinary Biomedical and Clinical Sciences.</t>
  </si>
  <si>
    <t>Instructional content for this group of programs is defined in codes 01.8101 - 01.8199.</t>
  </si>
  <si>
    <t>Veterinary Sciences/Veterinary Clinical Sciences, General.</t>
  </si>
  <si>
    <t>An integrated program of study in one or more of the veterinary medical or clinical sciences or a program undifferentiated as to title.</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</si>
  <si>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</si>
  <si>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</si>
  <si>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</si>
  <si>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</si>
  <si>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</si>
  <si>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</si>
  <si>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</si>
  <si>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</si>
  <si>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</si>
  <si>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</si>
  <si>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</si>
  <si>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</si>
  <si>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</si>
  <si>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</si>
  <si>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</si>
  <si>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</si>
  <si>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</si>
  <si>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</si>
  <si>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</si>
  <si>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</si>
  <si>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Veterinary Biomedical and Clinical Sciences, Other.</t>
  </si>
  <si>
    <t>Any instructional program in veterinary biomedical and clinical sciences not listed above.</t>
  </si>
  <si>
    <t>Veterinary Administrative Services.</t>
  </si>
  <si>
    <t>Instructional content for this group of programs is defined in codes 01.8201 - 01.8299.</t>
  </si>
  <si>
    <t>Veterinary Administrative Services, General.</t>
  </si>
  <si>
    <t>A general program that prepares individuals to provide administrative support services in a veterinary office or animal care facility. Includes instruction in business office operations, customer service, principles of veterinary health care operations, record-keeping, veterinary terminology, and professional standards and ethics.</t>
  </si>
  <si>
    <t>Veterinary Office Management/Administration.</t>
  </si>
  <si>
    <t>A program that prepares individuals to manage the specialized business functions of a veterinary office. Includes instruction in business office operations, business and financial record-keeping, personnel supervision, veterinary care policy administration, conference planning, scheduling and coordination, public relations, and applicable law and regulations.</t>
  </si>
  <si>
    <t>Veterinary Reception/Receptionist.</t>
  </si>
  <si>
    <t>A program that prepares individuals, under the supervision of office managers, veterinary technicians, or veterinarians, to provide customer service, visitor reception, and patient intake and discharge services. Includes instruction in veterinary office and animal care facility procedures, veterinary terminology, interpersonal skills, record-keeping, customer service, telephone skills, data entry, interpersonal communications skills, and applicable policies and regulations.</t>
  </si>
  <si>
    <t>Veterinary Administrative/Executive Assistant and Veterinary Secretary.</t>
  </si>
  <si>
    <t>A program that prepares individuals to perform the duties of special assistants and personal secretaries for practicing veterinarians, veterinary health care facilities and services administrators, and other veterinary professionals. Includes instruction in business and veterinary communications, veterinary terminology, principles of veterinary health care operations, public relations and interpersonal communications, software applications, record-keeping and filing systems, scheduling and meeting planning, applicable policy and regulations, and professional standards and ethics.</t>
  </si>
  <si>
    <t>Veterinary Administrative Services, Other.</t>
  </si>
  <si>
    <t>Any instructional program in veterinary administrative services not listed above.</t>
  </si>
  <si>
    <t>Veterinary/Animal Health Technologies/Technicians.</t>
  </si>
  <si>
    <t>Instructional content for this group of programs is defined in codes 01.8301 - 01.8399.</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</si>
  <si>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</si>
  <si>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</si>
  <si>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Veterinary/Animal Health Technologies/Technicians, Other.</t>
  </si>
  <si>
    <t>Any instructional program in veterinary or animal health technologies not listed above.</t>
  </si>
  <si>
    <t>Agricultural/Animal/Plant/Veterinary Science and Related Fields, Other.</t>
  </si>
  <si>
    <t>Instructional content is defined in code 01.9999.</t>
  </si>
  <si>
    <t>Any instructional program in agricultural, animal, plant, or veterinary science and related fields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</si>
  <si>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</si>
  <si>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</si>
  <si>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</si>
  <si>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</si>
  <si>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</si>
  <si>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</si>
  <si>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</si>
  <si>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</si>
  <si>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</si>
  <si>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</si>
  <si>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Natural Resources Conservation and Research, Other.</t>
  </si>
  <si>
    <t>Any instructional program in natural resources conservation and research not listed above.</t>
  </si>
  <si>
    <t>Environmental/Natural Resources Management and Policy.</t>
  </si>
  <si>
    <t>Instructional content for this group of programs is defined in codes 03.0201 - 03.0299.</t>
  </si>
  <si>
    <t>Environmental/Natural Resources Management and Policy, General.</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</si>
  <si>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</si>
  <si>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Environmental/Natural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</si>
  <si>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</si>
  <si>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</si>
  <si>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</si>
  <si>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</si>
  <si>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</si>
  <si>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Environmental/Natural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</si>
  <si>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</si>
  <si>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Environmental/Natural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</si>
  <si>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</si>
  <si>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Energy and Environmental Policy.</t>
  </si>
  <si>
    <t>A program of study that focuses on the systematic analysis of public policy issues related to climate change, energy policy, environmental economics, global sustainability, and security. Includes instruction in climate change, clean energy technologies, environmental policy, environmental law, environmental economics, food security, fossil fuels, renewable and sustainable energy sources, and water issues.</t>
  </si>
  <si>
    <t>Bioenergy.</t>
  </si>
  <si>
    <t>A program of study that focuses on the environmental and economic impact of using plants and microbes for the production of bio-based fuels such as ethanol and biodiesel. Includes instruction in biochemical engineering, bioprocessing, bioseparations, conversion, feedstock, economics, environmental sustainability, hydrology, and natural resource management.</t>
  </si>
  <si>
    <t>Environmental/Natural Resources Management and Policy, Other.</t>
  </si>
  <si>
    <t>Any instructional program in environmental or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</si>
  <si>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</si>
  <si>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</si>
  <si>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</si>
  <si>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</si>
  <si>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</si>
  <si>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</si>
  <si>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</si>
  <si>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</si>
  <si>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</si>
  <si>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</si>
  <si>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</si>
  <si>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</si>
  <si>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</si>
  <si>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Technology/Technician.</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</si>
  <si>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</si>
  <si>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</si>
  <si>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</si>
  <si>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</si>
  <si>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</si>
  <si>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</si>
  <si>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</si>
  <si>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</si>
  <si>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</si>
  <si>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</si>
  <si>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</si>
  <si>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Natural Resources and Conservation, Other.</t>
  </si>
  <si>
    <t>Instructional content is defined in code 03.9999.</t>
  </si>
  <si>
    <t>Any instructional program in natural resources and conservation not listed above.</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</si>
  <si>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</si>
  <si>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</si>
  <si>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</si>
  <si>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for this group of programs is defined in codes 04.0200 - 04.0299.</t>
  </si>
  <si>
    <t>Pre-Architecture Studies.</t>
  </si>
  <si>
    <t>A program of study that is a precursor to an advanced degree in architecture. Includes instruction in architectural design, architectural graphics, architectural history, architectural technology, architectural theory and criticism, building technology, calculus, design studio, human factors, environmental architecture, geometry and trigonometry, physics, and technical drawing.</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</si>
  <si>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</si>
  <si>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Architectural Design.</t>
  </si>
  <si>
    <t>An advanced program of study for architects and related professionals that focuses on theoretical and practical issues in architecture and integrates digital technologies into architectural design, fabrication, and construction. Includes instruction in architectural history and urban theory, 3-D digital technologies, construction, design and fabrication methods, and sustainable practices in architecture.</t>
  </si>
  <si>
    <t>Architecture, Other.</t>
  </si>
  <si>
    <t>Any instructional program in architecture not listed above.</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</si>
  <si>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</si>
  <si>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</si>
  <si>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</si>
  <si>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Environmental Design.</t>
  </si>
  <si>
    <t>Instructional content for this group of programs is defined in codes 04.0401 - 04.0499.</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</si>
  <si>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</si>
  <si>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</si>
  <si>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Healthcare Environment Design/Architecture.</t>
  </si>
  <si>
    <t>A program that focuses on the design and performance of healthcare environments to optimize healing. Includes instruction in interior design, architecture, healing sciences, healthcare environments, human-centered design, and healthcare delivery.</t>
  </si>
  <si>
    <t>Sustainable Design/Architecture.</t>
  </si>
  <si>
    <t>A program that focuses on the application of biological, physical, and social science in the design of sustainable cities and metropolitan regions. Includes instruction in community revitalization, community economic development, construction technology, design innovation, environmental economics, ethics, justice and politics, sustainable materials, sustainability theory, structural materials, and urbanism.</t>
  </si>
  <si>
    <t>Environmental Design, Other.</t>
  </si>
  <si>
    <t>Any instructional program in environmental design not listed above.</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</si>
  <si>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</si>
  <si>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</si>
  <si>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</si>
  <si>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</si>
  <si>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</si>
  <si>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</si>
  <si>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Architectural History, Criticism, and Conservation.</t>
  </si>
  <si>
    <t>Instructional content for this group of programs is defined in codes 04.0801 - 04.0899.</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</si>
  <si>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</si>
  <si>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</si>
  <si>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Conservation.</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</si>
  <si>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and material conservation.</t>
  </si>
  <si>
    <t>Architectural Studies.</t>
  </si>
  <si>
    <t>A program that focuses on the study of architecture, cities, landscapes, designed objects, ornament, architectural photography, and material culture in diverse places and time periods, and the social and aesthetic dimensions of contemporary architecture, landscapes, and cities, emphasizing issues of sustainable environments, new forms of urbanism, and the use of digital media for visualization and analysis. Includes instruction in the fundamentals of architecture, design, environmental and sustainability studies, historic preservation, landscape architecture, studio art, and urban affairs and planning.</t>
  </si>
  <si>
    <t>Architectural History, Criticism, and Conservation, Other.</t>
  </si>
  <si>
    <t>Any instructional program in architectural history, criticism, and conservation not listed above.</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</si>
  <si>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</si>
  <si>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</si>
  <si>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</si>
  <si>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</si>
  <si>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</si>
  <si>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</si>
  <si>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</si>
  <si>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</si>
  <si>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</si>
  <si>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</si>
  <si>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</si>
  <si>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</si>
  <si>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</si>
  <si>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</si>
  <si>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</si>
  <si>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</si>
  <si>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</si>
  <si>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</si>
  <si>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</si>
  <si>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</si>
  <si>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</si>
  <si>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</si>
  <si>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</si>
  <si>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</si>
  <si>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</si>
  <si>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</si>
  <si>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</si>
  <si>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</si>
  <si>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</si>
  <si>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</si>
  <si>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</si>
  <si>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</si>
  <si>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</si>
  <si>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</si>
  <si>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</si>
  <si>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</si>
  <si>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</si>
  <si>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</si>
  <si>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Scandinavian Studies.</t>
  </si>
  <si>
    <t>A program that focuses on the history, society, politics, culture, and economics of one or more of the peoples of Scandinavia, defined as Northern Europe including Denmark, Finland, Iceland, Norway, Sweden, and related island groups (e.g.,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</si>
  <si>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</si>
  <si>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</si>
  <si>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</si>
  <si>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</si>
  <si>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</si>
  <si>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</si>
  <si>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</si>
  <si>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</si>
  <si>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</si>
  <si>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</si>
  <si>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</si>
  <si>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</si>
  <si>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</si>
  <si>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</si>
  <si>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</si>
  <si>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</si>
  <si>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</si>
  <si>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</si>
  <si>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</si>
  <si>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</si>
  <si>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</si>
  <si>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</si>
  <si>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</si>
  <si>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</si>
  <si>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</si>
  <si>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</si>
  <si>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</si>
  <si>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</si>
  <si>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</si>
  <si>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</si>
  <si>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</si>
  <si>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</si>
  <si>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</si>
  <si>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</si>
  <si>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</si>
  <si>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</si>
  <si>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</si>
  <si>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</si>
  <si>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</si>
  <si>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</si>
  <si>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</si>
  <si>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</si>
  <si>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</si>
  <si>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</si>
  <si>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</si>
  <si>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</si>
  <si>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Appalachian Studies.</t>
  </si>
  <si>
    <t>A program of study that focuses on the history, sociology, culture, and economics of the Appalachian region of the United States. Includes instruction in contemporary issues in Appalachia, political economy of Appalachia, community-based research, ethnomusicology, and oral and written languages of Appalachia.</t>
  </si>
  <si>
    <t>Arctic Studies.</t>
  </si>
  <si>
    <t>A program that focuses on the history, society, politics, culture, and economics of the Arctic region.</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</si>
  <si>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</si>
  <si>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</si>
  <si>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</si>
  <si>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</si>
  <si>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</si>
  <si>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</si>
  <si>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</si>
  <si>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</si>
  <si>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</si>
  <si>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</si>
  <si>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</si>
  <si>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</si>
  <si>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</si>
  <si>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</si>
  <si>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</si>
  <si>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</si>
  <si>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</si>
  <si>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</si>
  <si>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</si>
  <si>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</si>
  <si>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</si>
  <si>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</si>
  <si>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</si>
  <si>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</si>
  <si>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Comparative Group Studies.</t>
  </si>
  <si>
    <t>A program that focuses on the comparative study of the history, literature, sociology, politics, culture, and economics of different groups such as racial, gender, sexual, class, ethnic, geographical, and national. Includes instruction in comparative studies, comparative literature, critical race theory, cultural anthropology, cultural studies, religious studies, science studies, social and cultural theory, urban studies, and visual culture.</t>
  </si>
  <si>
    <t>Ethnic, Cultural Minority, Gender, and Group Studies, Other.</t>
  </si>
  <si>
    <t>Any instructional program in ethnic, cultural minority, gender, and group studies not listed above.</t>
  </si>
  <si>
    <t>Area, Ethnic, Cultural, Gender, and Group Studies, Other.</t>
  </si>
  <si>
    <t>Instructional content is defined in code 05.9999.</t>
  </si>
  <si>
    <t>Any instructional program in area, ethnic, cultural, gender, or group studies not listed above.</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</si>
  <si>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</si>
  <si>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</si>
  <si>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</si>
  <si>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</si>
  <si>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</si>
  <si>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</si>
  <si>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</si>
  <si>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</si>
  <si>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</si>
  <si>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</si>
  <si>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</si>
  <si>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</si>
  <si>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</si>
  <si>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</si>
  <si>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</si>
  <si>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</si>
  <si>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</si>
  <si>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</si>
  <si>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</si>
  <si>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Business and Economic Journalism.</t>
  </si>
  <si>
    <t>A program of study that prepares students to gather, analyze, and synthesize verbal and visual information to communicate stories related to business and economics across multiple media platforms. Includes instruction in accounting, business, business and economic reporting, business law, economics, finance, financial accounting and reporting, ethics, journalistic research methods and resources, and journalism skills and techniques.</t>
  </si>
  <si>
    <t>Cultural Journalism.</t>
  </si>
  <si>
    <t>A program of study that prepares individuals to be journalists who critically examine current culture as expressed through the visual and performing arts, design, film, music, radio, television, dance, theater, and written text. Includes instruction in arts criticism, art and entertainment reporting, cultural critique, investigative reporting, newspaper reporting, photojournalism, and writing.</t>
  </si>
  <si>
    <t>Science/Health/Environmental Journalism.</t>
  </si>
  <si>
    <t>A program that focuses on reporting on science, health, or environmental policy issues; investigating environmental problems and their causes; and public relations. Includes instruction in communication law, health reporting skills, interactive journalism, integrated marketing communication, journalism methods, media ethics, persuasion and political communication, science, health and the environment, social marketing, and video journalism.</t>
  </si>
  <si>
    <t>Journalism, Other.</t>
  </si>
  <si>
    <t>Any instructional program in journalism not listed above.</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</si>
  <si>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</si>
  <si>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</si>
  <si>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</si>
  <si>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</si>
  <si>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</si>
  <si>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</si>
  <si>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</si>
  <si>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</si>
  <si>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</si>
  <si>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</si>
  <si>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</si>
  <si>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</si>
  <si>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</si>
  <si>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</si>
  <si>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</si>
  <si>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</si>
  <si>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</si>
  <si>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</si>
  <si>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</si>
  <si>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</si>
  <si>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</si>
  <si>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</si>
  <si>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</si>
  <si>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</si>
  <si>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</si>
  <si>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</si>
  <si>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</si>
  <si>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Communication Management and Strategic Communications.</t>
  </si>
  <si>
    <t>A program that focuses on the critical thinking, analysis, and practical skills essential to developing and implementing communication strategies that advance organizations goals and missions. Includes instruction in communication management, crisis communication, communications law, digital and traditional marketing strategies, media relations, social media strategies, strategic communication, traditional and emerging media, and writing for the media.</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</si>
  <si>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</si>
  <si>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</si>
  <si>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</si>
  <si>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</si>
  <si>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</si>
  <si>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</si>
  <si>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</si>
  <si>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</si>
  <si>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</si>
  <si>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</si>
  <si>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Technologies/Technicians.</t>
  </si>
  <si>
    <t>Instructional content is defined in code 10.0105.</t>
  </si>
  <si>
    <t>Communications Technology/Technician.</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</si>
  <si>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</si>
  <si>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</si>
  <si>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</si>
  <si>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</si>
  <si>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</si>
  <si>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</si>
  <si>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</si>
  <si>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</si>
  <si>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soundtrack editing; dubbing and mixing; sound engineering; tape, disk, and CD production; digital recording and transmission; amplification and modulation; and working with producers, editors, directors, artists, and production managers.</t>
  </si>
  <si>
    <t>Voice Writing Technology/Technician.</t>
  </si>
  <si>
    <t>A program that prepares individuals to apply technical knowledge and skills to use voice writing computer software and speak a verbal shorthand language to create transcripts and screen captioning of live or recorded events intended for the public or a specific audience in a variety of media (e.g., digital, film, print, television) as well as for conferences, conversations, interviews, and meetings. Includes instruction in screen captioning, speed building, spoken shorthand, transcription, and voice input writing.</t>
  </si>
  <si>
    <t>Audiovisual Communications Technologies/Technicians, Other.</t>
  </si>
  <si>
    <t>Any instructional program in audiovisual communications technologies not listed above.</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</si>
  <si>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</si>
  <si>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</si>
  <si>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</si>
  <si>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</si>
  <si>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</si>
  <si>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</si>
  <si>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</si>
  <si>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</si>
  <si>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</si>
  <si>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</si>
  <si>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</si>
  <si>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</si>
  <si>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</si>
  <si>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</si>
  <si>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</si>
  <si>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</si>
  <si>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</si>
  <si>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</si>
  <si>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</si>
  <si>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</si>
  <si>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</si>
  <si>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</si>
  <si>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</si>
  <si>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</si>
  <si>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</si>
  <si>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</si>
  <si>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</si>
  <si>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</si>
  <si>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</si>
  <si>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</si>
  <si>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</si>
  <si>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</si>
  <si>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</si>
  <si>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</si>
  <si>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Human-Centered Technology Design.</t>
  </si>
  <si>
    <t>A program that focuses on incorporating a human perspective into designing, researching, and creating technological interfaces. Includes instruction in design, human-computer interaction, learning, neuroscience, perception, product design, user-centered design, and usability.</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</si>
  <si>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</si>
  <si>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</si>
  <si>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</si>
  <si>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</si>
  <si>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</si>
  <si>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</si>
  <si>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</si>
  <si>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</si>
  <si>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</si>
  <si>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</si>
  <si>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Game Programming.</t>
  </si>
  <si>
    <t>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t>
  </si>
  <si>
    <t>Computer Programming, Specific Platforms.</t>
  </si>
  <si>
    <t>A program that prepares individuals to design, develop, and implement software-based solutions for specific business and consumer platforms including industrial, game, mobile, tactile, and web platforms. Includes instruction in computer programming, computer hardware, data structures, database theory, maintenance, operating systems, project management, software development, and systems analysis.</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</si>
  <si>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</si>
  <si>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</si>
  <si>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</si>
  <si>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</si>
  <si>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</si>
  <si>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</si>
  <si>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</si>
  <si>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</si>
  <si>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</si>
  <si>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</si>
  <si>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</si>
  <si>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</si>
  <si>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</si>
  <si>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</si>
  <si>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</si>
  <si>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</si>
  <si>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</si>
  <si>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</si>
  <si>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</si>
  <si>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</si>
  <si>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</si>
  <si>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</si>
  <si>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</si>
  <si>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</si>
  <si>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Computer Software and Media Applications.</t>
  </si>
  <si>
    <t>Instructional content for this group of programs is defined in codes 11.0801 - 11.0899.</t>
  </si>
  <si>
    <t>Web Page, Digital/Multimedia and Information Resources Design.</t>
  </si>
  <si>
    <t>A program that prepares individuals to apply HTML, CSS,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</si>
  <si>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</si>
  <si>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</si>
  <si>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</si>
  <si>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</si>
  <si>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</si>
  <si>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</si>
  <si>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Computer Software and Media Applications, Other.</t>
  </si>
  <si>
    <t>Any instructional program in computer software and media applications not listed above.</t>
  </si>
  <si>
    <t>Computer Systems Networking and Telecommunications.</t>
  </si>
  <si>
    <t>Instructional content for this group of programs is defined in codes 11.0901 - 11.0999.</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</si>
  <si>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</si>
  <si>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Cloud Computing.</t>
  </si>
  <si>
    <t>A program that prepares individuals to design and implement enterprise software systems that rely on distributed computing and service-oriented architecture, including databases, web services, cloud computing, and mobile apps. Includes instruction in data management, distributed and cloud computing, enterprise software architecture, enterprise and cloud security, mobile systems and applications, server administration, and web development.</t>
  </si>
  <si>
    <t>Computer Systems Networking and Telecommunications, Other.</t>
  </si>
  <si>
    <t>Any instructional program in computer systems networking and telecommunications not listed above.</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</si>
  <si>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</si>
  <si>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</si>
  <si>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</si>
  <si>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</si>
  <si>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</si>
  <si>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</si>
  <si>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Security/Auditing/Information Assurance.</t>
  </si>
  <si>
    <t>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</si>
  <si>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</si>
  <si>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</si>
  <si>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</si>
  <si>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</si>
  <si>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</si>
  <si>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</si>
  <si>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Computer/Information Technology Services Administration and Management, Other.</t>
  </si>
  <si>
    <t>Any instructional program in computer/information technology services administration and management not listed above.</t>
  </si>
  <si>
    <t>Computer and Information Sciences and Support Services, Other.</t>
  </si>
  <si>
    <t>Instructional content is defined in code 11.9999.</t>
  </si>
  <si>
    <t>Any instructional program in computer and information sciences and support services not listed above.</t>
  </si>
  <si>
    <t>CULINARY, ENTERTAINMENT, AND PERSONAL SERVICES.</t>
  </si>
  <si>
    <t>Instructional programs that prepare individuals to provide professional services related to cosmetology, funeral services, entertainment,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</si>
  <si>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</si>
  <si>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</si>
  <si>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</si>
  <si>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</si>
  <si>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</si>
  <si>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</si>
  <si>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</si>
  <si>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</si>
  <si>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</si>
  <si>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</si>
  <si>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</si>
  <si>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</si>
  <si>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</si>
  <si>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</si>
  <si>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</si>
  <si>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</si>
  <si>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</si>
  <si>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</si>
  <si>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</si>
  <si>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</si>
  <si>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</si>
  <si>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</si>
  <si>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</si>
  <si>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</si>
  <si>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</si>
  <si>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</si>
  <si>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</si>
  <si>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</si>
  <si>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</si>
  <si>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</si>
  <si>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</si>
  <si>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</si>
  <si>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</si>
  <si>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</si>
  <si>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</si>
  <si>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</si>
  <si>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</si>
  <si>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</si>
  <si>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</si>
  <si>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</si>
  <si>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</si>
  <si>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</si>
  <si>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</si>
  <si>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</si>
  <si>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</si>
  <si>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</si>
  <si>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</si>
  <si>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</si>
  <si>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</si>
  <si>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</si>
  <si>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</si>
  <si>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</si>
  <si>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</si>
  <si>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</si>
  <si>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</si>
  <si>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</si>
  <si>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</si>
  <si>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</si>
  <si>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</si>
  <si>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</si>
  <si>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</si>
  <si>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</si>
  <si>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</si>
  <si>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</si>
  <si>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Casino Operations and Services.</t>
  </si>
  <si>
    <t>Instructional content for this group of programs is defined in codes 12.0601 - 12.0699.</t>
  </si>
  <si>
    <t>Casino Operations and Services, General.</t>
  </si>
  <si>
    <t>A program that focuses on casino operations and services. Includes instruction in casino operations, casino security and surveillance, casino dealing, principles of the gaming industry, ethics, and gaming law.</t>
  </si>
  <si>
    <t>Casino Dealing.</t>
  </si>
  <si>
    <t>A program of study that prepares individuals to apply technical skills and knowledge to become table games dealers in casinos or other recreational settings. Includes instruction in dealing techniques for Baccarat, Blackjack, Carnival Games, Craps, Poker, and Roulette.</t>
  </si>
  <si>
    <t>Casino Operations and Services, Other.</t>
  </si>
  <si>
    <t>Any instructional program in casino operations and services not listed above.</t>
  </si>
  <si>
    <t>Culinary, Entertainment, and Personal Services, Other.</t>
  </si>
  <si>
    <t>Instructional content is defined in code 12.9999.</t>
  </si>
  <si>
    <t>Any instructional program in culinary, entertainment, and personal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</si>
  <si>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</si>
  <si>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</si>
  <si>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</si>
  <si>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</si>
  <si>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</si>
  <si>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</si>
  <si>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</si>
  <si>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</si>
  <si>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</si>
  <si>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</si>
  <si>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</si>
  <si>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</si>
  <si>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</si>
  <si>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</si>
  <si>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</si>
  <si>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</si>
  <si>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</si>
  <si>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</si>
  <si>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</si>
  <si>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</si>
  <si>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</si>
  <si>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</si>
  <si>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</si>
  <si>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</si>
  <si>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</si>
  <si>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</si>
  <si>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</si>
  <si>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</si>
  <si>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</si>
  <si>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</si>
  <si>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Community College Administration.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</si>
  <si>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</si>
  <si>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</si>
  <si>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</si>
  <si>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</si>
  <si>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</si>
  <si>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</si>
  <si>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</si>
  <si>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</si>
  <si>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</si>
  <si>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International School Administration/Leadership.</t>
  </si>
  <si>
    <t>A program that focuses on the principles and practice of administration in international schools, the study of international education as an object of applied research, and which may prepare individuals to function as administrators in such settings. Includes instruction in culture in the classroom, educational leadership, globalization, instructional design and technology, international research methods, evaluation, and education policy.</t>
  </si>
  <si>
    <t>Education Entrepreneurship.</t>
  </si>
  <si>
    <t>A program that prepares individuals to create, fund, and manage innovations in education. Includes instruction in philanthropy, business modeling, the design of learning environments, the economics of education, entrepreneurship, evaluation, finance, human-centered design, investing, resource management, project management, and marketing.</t>
  </si>
  <si>
    <t>Early Childhood Program Administration.</t>
  </si>
  <si>
    <t>A program that focuses on early childhood educational program administration and prepares individuals to serve as a principal or director of an early childhood educational program. Includes instruction in early childhood education, program and facilities planning, budgeting and administration, public relations, human resources management, early childhood growth and development, counseling skills, applicable law and regulations, school safety, policy studies, and professional standards and ethics.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</si>
  <si>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</si>
  <si>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</si>
  <si>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</si>
  <si>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</si>
  <si>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</si>
  <si>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</si>
  <si>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</si>
  <si>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</si>
  <si>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</si>
  <si>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</si>
  <si>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</si>
  <si>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</si>
  <si>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</si>
  <si>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</si>
  <si>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</si>
  <si>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</si>
  <si>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Institutional Research.</t>
  </si>
  <si>
    <t>A program of study that prepares an individual to be an institutional researcher at a postsecondary educational institution. Includes instruction in data analysis, data-driven decision-making, data mining, higher education administration and organization, research methods, and statistics.</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</si>
  <si>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</si>
  <si>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</si>
  <si>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</si>
  <si>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</si>
  <si>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a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</si>
  <si>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</si>
  <si>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</si>
  <si>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</si>
  <si>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</si>
  <si>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</si>
  <si>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</si>
  <si>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 a collaborative or team environment.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</si>
  <si>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</si>
  <si>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</si>
  <si>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</si>
  <si>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</si>
  <si>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</si>
  <si>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individuals with emotional disturbances, counseling, and applicable laws and policies.</t>
  </si>
  <si>
    <t>Education/Teaching of Individuals with Intellectual Disabilities.</t>
  </si>
  <si>
    <t>A program that focuses on the design of educational services for children or adults with intellectual disabilities which adversely affect their educational performance and that may prepare individuals to teach such students.  Includes instruction in identifying students with intellectual disabilities,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</si>
  <si>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</si>
  <si>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</si>
  <si>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</si>
  <si>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</si>
  <si>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</si>
  <si>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</si>
  <si>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</si>
  <si>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</si>
  <si>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</si>
  <si>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</si>
  <si>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</si>
  <si>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</si>
  <si>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</si>
  <si>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</si>
  <si>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</si>
  <si>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</si>
  <si>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</si>
  <si>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</si>
  <si>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</si>
  <si>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</si>
  <si>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</si>
  <si>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</si>
  <si>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</si>
  <si>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</si>
  <si>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</si>
  <si>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</si>
  <si>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</si>
  <si>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</si>
  <si>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</si>
  <si>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</si>
  <si>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</si>
  <si>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</si>
  <si>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</si>
  <si>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</si>
  <si>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</si>
  <si>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</si>
  <si>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</si>
  <si>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</si>
  <si>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</si>
  <si>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</si>
  <si>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</si>
  <si>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</si>
  <si>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</si>
  <si>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</si>
  <si>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</si>
  <si>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</si>
  <si>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</si>
  <si>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</si>
  <si>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</si>
  <si>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</si>
  <si>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</si>
  <si>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</si>
  <si>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</si>
  <si>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</si>
  <si>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Online Educator/Online Teaching.</t>
  </si>
  <si>
    <t>A program that prepares individuals to teach students at various academic levels through online instructional technologies. Includes instruction in andragogy, pedagogy, assessment, instructional design and technology, and learning science.</t>
  </si>
  <si>
    <t>International Teaching and Learning.</t>
  </si>
  <si>
    <t>A program that prepares individuals to teach in schools that are implementing or proposing to implement the International Baccalaureate curriculum. Includes instruction in culturally-responsive classrooms, cross-cultural awareness, foundations of international education, human learning, human development, international teaching and learning, and pedagogy.</t>
  </si>
  <si>
    <t>Science, Technology, Engineering, and Mathematics (STEM) Educational Methods.</t>
  </si>
  <si>
    <t>A program that prepares individuals to connect education practices with scientific, engineering, and mathematical principles for PreK-12 students. Includes instruction in critical thinking, curriculum and instruction, history of STEM education, integrating STEM across curricula, learning sciences and technology, STEM education methods, and teacher leadership in STEM education.</t>
  </si>
  <si>
    <t>College/Postsecondary/University Teaching.</t>
  </si>
  <si>
    <t>A program that prepares individuals to teach at a postsecondary institution. Includes instruction in andragogy, assessment, classroom motivation, instructional design and technology, learner-centered teaching, learning science, syllabus construction, and teaching critical thinking.</t>
  </si>
  <si>
    <t>Teacher Education and Professional Development, Specific Levels and Methods, Other.</t>
  </si>
  <si>
    <t>Any instructional program in teacher education and professional development not listed above.</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</si>
  <si>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</si>
  <si>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</si>
  <si>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</si>
  <si>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</si>
  <si>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Art Teacher Education.</t>
  </si>
  <si>
    <t>A program that prepares individuals to teach art and art appreciation programs at various educational levels.</t>
  </si>
  <si>
    <t>Business and Innovation/Entrepreneurship Teacher Education.</t>
  </si>
  <si>
    <t>A program that prepares individuals to teach vocational business, innovation, and entrepreneurship programs at various educational levels. Includes instruction in business administration, business development, finance, idea generation, investing, logistics, management, and marketing.</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</si>
  <si>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</si>
  <si>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</si>
  <si>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</si>
  <si>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</si>
  <si>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</si>
  <si>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</si>
  <si>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</si>
  <si>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</si>
  <si>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</si>
  <si>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</si>
  <si>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</si>
  <si>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</si>
  <si>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</si>
  <si>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</si>
  <si>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</si>
  <si>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</si>
  <si>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</si>
  <si>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</si>
  <si>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</si>
  <si>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</si>
  <si>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</si>
  <si>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</si>
  <si>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</si>
  <si>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</si>
  <si>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</si>
  <si>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</si>
  <si>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</si>
  <si>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</si>
  <si>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</si>
  <si>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</si>
  <si>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</si>
  <si>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</si>
  <si>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</si>
  <si>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</si>
  <si>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</si>
  <si>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</si>
  <si>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</si>
  <si>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</si>
  <si>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</si>
  <si>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</si>
  <si>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</si>
  <si>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</si>
  <si>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</si>
  <si>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</si>
  <si>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</si>
  <si>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</si>
  <si>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</si>
  <si>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</si>
  <si>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</si>
  <si>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</si>
  <si>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</si>
  <si>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</si>
  <si>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</si>
  <si>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</si>
  <si>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</si>
  <si>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</si>
  <si>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</si>
  <si>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</si>
  <si>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</si>
  <si>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</si>
  <si>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</si>
  <si>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</si>
  <si>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</si>
  <si>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</si>
  <si>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</si>
  <si>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</si>
  <si>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Communication Arts and Literature Teacher Education.</t>
  </si>
  <si>
    <t>A program of study that prepares individuals to teach oral expression, literature, and writing to students at various education levels. Includes instruction in interpersonal communication, intercultural communication, language learning, listening instructional techniques, public speaking, reading instructional techniques, writing instructional techniques, and practical teaching experience.</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</si>
  <si>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</si>
  <si>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</si>
  <si>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</si>
  <si>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</si>
  <si>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</si>
  <si>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</si>
  <si>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</si>
  <si>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</si>
  <si>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</si>
  <si>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</si>
  <si>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</si>
  <si>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</si>
  <si>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</si>
  <si>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</si>
  <si>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</si>
  <si>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</si>
  <si>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</si>
  <si>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</si>
  <si>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</si>
  <si>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</si>
  <si>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</si>
  <si>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</si>
  <si>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</si>
  <si>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</si>
  <si>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14.0101 - 14.0103.</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</si>
  <si>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</si>
  <si>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</si>
  <si>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</si>
  <si>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Applied Engineering.</t>
  </si>
  <si>
    <t>A program that generally prepares individuals to apply mathematical and scientific principles inherent to engineering to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</si>
  <si>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Aerospace, Aeronautical, and Astronautical/Space Engineering.</t>
  </si>
  <si>
    <t>Instructional content for this group of programs is defined in codes 14.0201 - 14.0299.</t>
  </si>
  <si>
    <t>Aerospace, Aeronautical, and Astronautical/Space Engineering, General.</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</si>
  <si>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</si>
  <si>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Astronautical Engineering.</t>
  </si>
  <si>
    <t>A program that prepares individuals to apply mathematical and scientific principles to the design, development, and operational evaluation of aircraft and space vehicles. Includes instruction in control systems, fluid dynamics, electrical circuits systems, orbital mechanics, propulsion, remote sensing, satellites, spacecraft centers, spacecraft systems engineering, and space exploration.</t>
  </si>
  <si>
    <t>Aerospace, Aeronautical, and Astronautical/Space Engineering, Other.</t>
  </si>
  <si>
    <t>Any program in aerospace, aeronautical, astronautical, or space engineering not listed above.</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</si>
  <si>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</si>
  <si>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</si>
  <si>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</si>
  <si>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</si>
  <si>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</si>
  <si>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</si>
  <si>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</si>
  <si>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</si>
  <si>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</si>
  <si>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</si>
  <si>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</si>
  <si>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</si>
  <si>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</si>
  <si>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</si>
  <si>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</si>
  <si>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</si>
  <si>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</si>
  <si>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</si>
  <si>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</si>
  <si>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</si>
  <si>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</si>
  <si>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</si>
  <si>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</si>
  <si>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</si>
  <si>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</si>
  <si>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</si>
  <si>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</si>
  <si>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</si>
  <si>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</si>
  <si>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</si>
  <si>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</si>
  <si>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</si>
  <si>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</si>
  <si>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</si>
  <si>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</si>
  <si>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</si>
  <si>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</si>
  <si>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</si>
  <si>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</si>
  <si>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</si>
  <si>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</si>
  <si>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</si>
  <si>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</si>
  <si>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</si>
  <si>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</si>
  <si>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</si>
  <si>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</si>
  <si>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</si>
  <si>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</si>
  <si>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</si>
  <si>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</si>
  <si>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</si>
  <si>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</si>
  <si>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</si>
  <si>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</si>
  <si>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</si>
  <si>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</si>
  <si>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</si>
  <si>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</si>
  <si>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</si>
  <si>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</si>
  <si>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Engineering Science.</t>
  </si>
  <si>
    <t>Instructional content is defined in code 14.1301.</t>
  </si>
  <si>
    <t>A program with a general focus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</si>
  <si>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</si>
  <si>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</si>
  <si>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</si>
  <si>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Materials Engineering.</t>
  </si>
  <si>
    <t>Instructional content is defined in code 14.1801.</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</si>
  <si>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</si>
  <si>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</si>
  <si>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</si>
  <si>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</si>
  <si>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</si>
  <si>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</si>
  <si>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</si>
  <si>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</si>
  <si>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</si>
  <si>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</si>
  <si>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</si>
  <si>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</si>
  <si>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</si>
  <si>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</si>
  <si>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</si>
  <si>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</si>
  <si>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</si>
  <si>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</si>
  <si>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</si>
  <si>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</si>
  <si>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</si>
  <si>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</si>
  <si>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</si>
  <si>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</si>
  <si>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</si>
  <si>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</si>
  <si>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</si>
  <si>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</si>
  <si>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</si>
  <si>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</si>
  <si>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</si>
  <si>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</si>
  <si>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</si>
  <si>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</si>
  <si>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</si>
  <si>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</si>
  <si>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</si>
  <si>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</si>
  <si>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</si>
  <si>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</si>
  <si>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</si>
  <si>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</si>
  <si>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</si>
  <si>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</si>
  <si>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</si>
  <si>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</si>
  <si>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</si>
  <si>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</si>
  <si>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</si>
  <si>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</si>
  <si>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</si>
  <si>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</si>
  <si>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</si>
  <si>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</si>
  <si>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</si>
  <si>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</si>
  <si>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</si>
  <si>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</si>
  <si>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</si>
  <si>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</si>
  <si>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</si>
  <si>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</si>
  <si>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</si>
  <si>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</si>
  <si>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</si>
  <si>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</si>
  <si>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</si>
  <si>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</si>
  <si>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</si>
  <si>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</si>
  <si>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Electrical and Computer Engineering.</t>
  </si>
  <si>
    <t>Instructional content is defined in code 14.4701.</t>
  </si>
  <si>
    <t>A program that prepares individuals to apply mathematical and scientific principles to the design and development of computer systems. Includes instruction in computer architecture, cybersecurity, electronic circuits, electromagnetism, electronic materials and design, micro-fabrication methods and techniques, signal and image processing, and wireless communication networks.</t>
  </si>
  <si>
    <t>Energy Systems Engineering.</t>
  </si>
  <si>
    <t>Instructional content for this group of programs is defined in codes 14.4801 - 14.4899.</t>
  </si>
  <si>
    <t>Energy Systems Engineering, General.</t>
  </si>
  <si>
    <t>A program that prepares individuals to apply mathematical and scientific principles to the design, development and operational evaluation of energy generation, storage, conversion, and distribution systems. Includes instruction in conventional and alternative/renewable energy systems, electrical power systems, and electrical system design.</t>
  </si>
  <si>
    <t>Power Plant Engineering.</t>
  </si>
  <si>
    <t>A program that prepares individuals to plan electrical systems and modify existing electrical systems that generate and use large amounts of electricity required for distribution networks that are economical, safe, and functional. Includes instruction in alternative/renewable energy systems; calculus; circuit analysis; electrical power systems and industry practices; electrical system design; microprocessor architecture; motor control systems; power electronics operation, planning and protection; programmable logic controllers; and project management.</t>
  </si>
  <si>
    <t>Energy Systems Engineering, Other.</t>
  </si>
  <si>
    <t>Any instructional program in energy systems engineering not listed above.</t>
  </si>
  <si>
    <t>Engineering, Other.</t>
  </si>
  <si>
    <t>Instructional content is defined in code 14.9999.</t>
  </si>
  <si>
    <t>Any instructional program in engineering not listed above.</t>
  </si>
  <si>
    <t>ENGINEERING/ENGINEERING-RELATED TECHNOLOGIES/TECHNICIANS.</t>
  </si>
  <si>
    <t>Instructional programs that prepare individuals to apply basic engineering principles and technical skills in support of engineering and related projects or to prepare for engineering-related fields.</t>
  </si>
  <si>
    <t>Engineering Technologies/Technicians, General.</t>
  </si>
  <si>
    <t>Instructional content for this group of programs is defined in codes 15.0000 - 15.0001.</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</si>
  <si>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</si>
  <si>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Applied Engineering Technologies/Technicians.</t>
  </si>
  <si>
    <t>A program that generally prepares individuals to apply basic engineering principles and technical skills in support of engineers engaged in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</si>
  <si>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Architectural Engineering Technologies/Technicians.</t>
  </si>
  <si>
    <t>Instructional content is defined in code 15.0101.</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</si>
  <si>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</si>
  <si>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</si>
  <si>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</si>
  <si>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</si>
  <si>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Electrical/Electronic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</si>
  <si>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</si>
  <si>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</si>
  <si>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</si>
  <si>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</si>
  <si>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</si>
  <si>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</si>
  <si>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</si>
  <si>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Integrated Circuit Design Technology/Technician.</t>
  </si>
  <si>
    <t>A program that prepares individuals to apply basic engineering principles and technical skills to design circuits in microelectronics. Includes instruction in circuit design, circuit layout, circuit analysis, computer-aided drafting, and semi-conductor technologies.</t>
  </si>
  <si>
    <t>Audio Engineering Technology/Technician.</t>
  </si>
  <si>
    <t>A program of study that prepares individuals to apply mathematical and scientific principles to the mixing, recording, and production of music. Includes instruction in acoustics, audio mixing, audio production, audio recording, computer composition of music, music theory, digital devices, and sound technology.</t>
  </si>
  <si>
    <t>Electrical/Electronic Engineering Technologies/Technicians, Other.</t>
  </si>
  <si>
    <t>Any instructional program in electrical and electronic engineering-related technologies not listed above.</t>
  </si>
  <si>
    <t>Electromechanical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</si>
  <si>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</si>
  <si>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</si>
  <si>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</si>
  <si>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Electromechanical/Electromechanical Engineering Technology/Technician.</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</si>
  <si>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</si>
  <si>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</si>
  <si>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</si>
  <si>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</si>
  <si>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</si>
  <si>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</si>
  <si>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</si>
  <si>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Mechatronics, Robotics, and Automation Engineering Technology/Technician.</t>
  </si>
  <si>
    <t>A program that prepares individuals to apply basic engineering principles and technical skills in the support of engineers to the design, development, and operational evaluation of autonomous, computer-controlled, electro-mechanical systems. Includes instruction in computer and software engineering, control engineering, electronic and electrical engineering, mechanical engineering, and robotics.</t>
  </si>
  <si>
    <t>Electromechanical Technologies/Technicians, Other.</t>
  </si>
  <si>
    <t>Any instructional program in electromechanical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</si>
  <si>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</si>
  <si>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</si>
  <si>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</si>
  <si>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</si>
  <si>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Energy Management and Systems Technology/Technician.</t>
  </si>
  <si>
    <t>Moved from 15.0503 to 15.1701</t>
  </si>
  <si>
    <t>Solar Energy Technology/Technician.</t>
  </si>
  <si>
    <t>Moved from 15.0505 to 15.1703</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</si>
  <si>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</si>
  <si>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</si>
  <si>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Environmental/Environmental Engineering Technology/Technician.</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</si>
  <si>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</si>
  <si>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</si>
  <si>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</si>
  <si>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</si>
  <si>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</si>
  <si>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</si>
  <si>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</si>
  <si>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</si>
  <si>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</si>
  <si>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</si>
  <si>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</si>
  <si>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</si>
  <si>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</si>
  <si>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</si>
  <si>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</si>
  <si>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</si>
  <si>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</si>
  <si>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</si>
  <si>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</si>
  <si>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Technology/Technician.</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</si>
  <si>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</si>
  <si>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Composite Materials Technology/Technician.</t>
  </si>
  <si>
    <t>A program of study that prepares individuals to apply basic engineering principles and technical skills in support of engineers and other professionals engaged in the development, manufacture, and use of composite materials in aircraft technology, automotive technology, boats, medical prostheses, and wind turbines. Includes instruction in computer-aided design and drafting, composite materials and processes, composite maintenance, composite manufacturing, composite repair, material science, and mold manufacturing and production.</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</si>
  <si>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</si>
  <si>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</si>
  <si>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</si>
  <si>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</si>
  <si>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</si>
  <si>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</si>
  <si>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</si>
  <si>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</si>
  <si>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</si>
  <si>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to mitigate damage, reduce risks, and prevent accidents. Includes instruction in industrial processes, industrial hygiene, injury prevention, toxicology, ergonomics, risk analysis,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</si>
  <si>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</si>
  <si>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</si>
  <si>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Process Safety Technology/Technician.</t>
  </si>
  <si>
    <t>A program that prepares individuals to apply basic engineering principles and technical skills in support of engineers engaged in developing methods to mitigate damage, reduce risks, and prevent accidents. Includes instruction in design for injury prevention, engineering for process safety, environmental psychology, function-based risk analysis, fundamentals of industrial engineering, operations research, probability and statistics, risk assessment and reduction, and safety engineering.</t>
  </si>
  <si>
    <t>Quality Control and Safety Technologies/Technicians, Other.</t>
  </si>
  <si>
    <t>Any instructional program in quality control and safety technologies not listed above.</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</si>
  <si>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</si>
  <si>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</si>
  <si>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</si>
  <si>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</si>
  <si>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</si>
  <si>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</si>
  <si>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Mechanical/Mechanical Engineering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</si>
  <si>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</si>
  <si>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Marine Engineering Technology/Technician.</t>
  </si>
  <si>
    <t>A program that prepares individuals to apply basic engineering principles and technical skills in support of engineers and other professionals engaged in shipboard mechanical and electrical engineering and the maintenance and operation of marine engines, including gas, diesel, and steam engines. Includes instruction in automation, diesel-powered systems, electrical circuits and systems, engine performance, hydraulics, manufacturing, motor-powered systems, refrigeration and air-conditioning, steam-powered systems, and welding.</t>
  </si>
  <si>
    <t>Motorsports Engineering Technology/Technician.</t>
  </si>
  <si>
    <t>A program that prepares individuals to apply basic engineering principles and technical skills in support of engineers and other professionals engaged in the design, construction, and repair of vehicles used in racing and motorsports. Includes instruction in aerodynamics, design, vehicle dynamics, performance engines, fluid mechanics, computer-aided design (CAD), mechanical engineering, and welding.</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</si>
  <si>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</si>
  <si>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</si>
  <si>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</si>
  <si>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</si>
  <si>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</si>
  <si>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</si>
  <si>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</si>
  <si>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</si>
  <si>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</si>
  <si>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</si>
  <si>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Technology/Technician.</t>
  </si>
  <si>
    <t>Instructional content is defined in code 15.1001.</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</si>
  <si>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</si>
  <si>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Technologies/Technicians.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</si>
  <si>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</si>
  <si>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</si>
  <si>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</si>
  <si>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</si>
  <si>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</si>
  <si>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Technologies/Technicians,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</si>
  <si>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</si>
  <si>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</si>
  <si>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</si>
  <si>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</si>
  <si>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</si>
  <si>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Computer/Computer Systems Technology/Technician.</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</si>
  <si>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</si>
  <si>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</si>
  <si>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</si>
  <si>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</si>
  <si>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</si>
  <si>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</si>
  <si>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</si>
  <si>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</si>
  <si>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</si>
  <si>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</si>
  <si>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</si>
  <si>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</si>
  <si>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</si>
  <si>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</si>
  <si>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</si>
  <si>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</si>
  <si>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</si>
  <si>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</si>
  <si>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</si>
  <si>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</si>
  <si>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</si>
  <si>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3-D Modeling and Design Technology/Technician.</t>
  </si>
  <si>
    <t>A program that prepares individuals to apply technical knowledge and skills in the use of three-dimensional (3-D) computer technology to create technical illustrations and models used in manufacturing, design, production, and construction. Includes instruction in 3-D computer-aided design (CAD), 3-D printing, 3-D model design and construction, and 3-D scanning.</t>
  </si>
  <si>
    <t>Drafting/Design Engineering Technologies/Technicians, Other.</t>
  </si>
  <si>
    <t>Any instructional program in drafting/design engineering technologies not listed above.</t>
  </si>
  <si>
    <t>Nuclear Engineering Technology/Technician.</t>
  </si>
  <si>
    <t>Instructional content is defined in code 15.1401.</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</si>
  <si>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</si>
  <si>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</si>
  <si>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</si>
  <si>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</si>
  <si>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</si>
  <si>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</si>
  <si>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</si>
  <si>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</si>
  <si>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</si>
  <si>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</si>
  <si>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</si>
  <si>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</si>
  <si>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</si>
  <si>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</si>
  <si>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Energy Systems Technologies/Technicians.</t>
  </si>
  <si>
    <t>Instructional content for this group of programs is defined in codes 15.1701 - 15.1799.</t>
  </si>
  <si>
    <t>Energy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</si>
  <si>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</si>
  <si>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Power Plant Technology/Technician.</t>
  </si>
  <si>
    <t>A program that prepares individuals to apply basic engineering principles and technical skills in support of engineers engaged in the operation and maintenance of electricity generating power plants. Includes instruction in basic electricity, electrical power, generator operations, industrial controls, power plant instrumentation, power plant theory, pollution control, reactor theory, thermodynamics, turbines, and water chemistry.</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</si>
  <si>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</si>
  <si>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Wind Energy Technology/Technician.</t>
  </si>
  <si>
    <t>A program that prepares individuals to apply basic engineering principles and technical skills in support of engineers and other professionals engaged in developing wind-powered energy systems. Includes instruction in wind energy principles, energy storage and transfer technologies, testing and inspection procedures, system maintenance procedures, and report preparation.</t>
  </si>
  <si>
    <t>Hydroelectric Energy Technology/Technician.</t>
  </si>
  <si>
    <t>A program that prepares individuals to apply basic engineering principles and technical skills in support of engineers and other professionals engaged in developing hydroelectric energy systems. Includes instruction in hydroelectric energy principles, energy storage and transfer technologies, testing and inspection procedures, system maintenance procedures, and report preparation.</t>
  </si>
  <si>
    <t>Geothermal Energy Technology/Technician.</t>
  </si>
  <si>
    <t>A program that prepares individuals to apply basic engineering principles and technical skills in support of engineers and other professionals engaged in developing geothermal energy systems. Includes instruction in geothermal energy principles, energy storage and transfer technologies, testing and inspection procedures, system maintenance procedures, and report preparation.</t>
  </si>
  <si>
    <t>Energy Systems Technologies/Technicians, Other.</t>
  </si>
  <si>
    <t>Any instructional program in energy systems technologies not listed above.</t>
  </si>
  <si>
    <t>Engineering/Engineering-Related Technologies/Technicians, Other.</t>
  </si>
  <si>
    <t>Instructional content is defined in code 15.9999.</t>
  </si>
  <si>
    <t>Any instructional program in engineering technologies and engineering-related fields not listed above.</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</si>
  <si>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</si>
  <si>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</si>
  <si>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</si>
  <si>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</si>
  <si>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</si>
  <si>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</si>
  <si>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</si>
  <si>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</si>
  <si>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</si>
  <si>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</si>
  <si>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</si>
  <si>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</si>
  <si>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</si>
  <si>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</si>
  <si>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</si>
  <si>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</si>
  <si>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</si>
  <si>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</si>
  <si>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</si>
  <si>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</si>
  <si>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</si>
  <si>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</si>
  <si>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</si>
  <si>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</si>
  <si>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</si>
  <si>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</si>
  <si>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</si>
  <si>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</si>
  <si>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</si>
  <si>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</si>
  <si>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</si>
  <si>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</si>
  <si>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</si>
  <si>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</si>
  <si>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</si>
  <si>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</si>
  <si>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</si>
  <si>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</si>
  <si>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</si>
  <si>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</si>
  <si>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</si>
  <si>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</si>
  <si>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</si>
  <si>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</si>
  <si>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</si>
  <si>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</si>
  <si>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</si>
  <si>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</si>
  <si>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</si>
  <si>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</si>
  <si>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</si>
  <si>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</si>
  <si>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</si>
  <si>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</si>
  <si>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</si>
  <si>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</si>
  <si>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</si>
  <si>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</si>
  <si>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</si>
  <si>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</si>
  <si>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</si>
  <si>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</si>
  <si>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</si>
  <si>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</si>
  <si>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</si>
  <si>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</si>
  <si>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</si>
  <si>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</si>
  <si>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</si>
  <si>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</si>
  <si>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</si>
  <si>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</si>
  <si>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</si>
  <si>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</si>
  <si>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</si>
  <si>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</si>
  <si>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</si>
  <si>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</si>
  <si>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</si>
  <si>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</si>
  <si>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</si>
  <si>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</si>
  <si>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</si>
  <si>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</si>
  <si>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</si>
  <si>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</si>
  <si>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</si>
  <si>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</si>
  <si>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</si>
  <si>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</si>
  <si>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</si>
  <si>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</si>
  <si>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</si>
  <si>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</si>
  <si>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</si>
  <si>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</si>
  <si>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</si>
  <si>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</si>
  <si>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</si>
  <si>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</si>
  <si>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</si>
  <si>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</si>
  <si>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</si>
  <si>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</si>
  <si>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</si>
  <si>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</si>
  <si>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</si>
  <si>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</si>
  <si>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</si>
  <si>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</si>
  <si>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</si>
  <si>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</si>
  <si>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</si>
  <si>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</si>
  <si>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</si>
  <si>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</si>
  <si>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</si>
  <si>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</si>
  <si>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</si>
  <si>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</si>
  <si>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</si>
  <si>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</si>
  <si>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North American language families, including, but not limited to, Algonkian, Athabascan, Siouan, Muskogean, Iroquoian, Kumeyaay,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</si>
  <si>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</si>
  <si>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</si>
  <si>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</si>
  <si>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</si>
  <si>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</si>
  <si>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</si>
  <si>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</si>
  <si>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</si>
  <si>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</si>
  <si>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</si>
  <si>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</si>
  <si>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</si>
  <si>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</si>
  <si>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</si>
  <si>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</si>
  <si>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</si>
  <si>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</si>
  <si>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</si>
  <si>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</si>
  <si>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</si>
  <si>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</si>
  <si>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</si>
  <si>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</si>
  <si>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</si>
  <si>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</si>
  <si>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</si>
  <si>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</si>
  <si>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</si>
  <si>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</si>
  <si>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</si>
  <si>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</si>
  <si>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</si>
  <si>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</si>
  <si>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</si>
  <si>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</si>
  <si>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</si>
  <si>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</si>
  <si>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</si>
  <si>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</si>
  <si>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</si>
  <si>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</si>
  <si>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</si>
  <si>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</si>
  <si>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</si>
  <si>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</si>
  <si>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Hawaiian Language and Literature.</t>
  </si>
  <si>
    <t>A program that focuses on the Hawaiian language and related dialects. Includes instruction in philology; dialects;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</si>
  <si>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</si>
  <si>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</si>
  <si>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No substantive changes</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</si>
  <si>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</si>
  <si>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</si>
  <si>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</si>
  <si>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</si>
  <si>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</si>
  <si>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</si>
  <si>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</si>
  <si>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</si>
  <si>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</si>
  <si>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</si>
  <si>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</si>
  <si>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</si>
  <si>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</si>
  <si>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</si>
  <si>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</si>
  <si>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</si>
  <si>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</si>
  <si>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</si>
  <si>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</si>
  <si>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</si>
  <si>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</si>
  <si>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</si>
  <si>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Second Language Learning.</t>
  </si>
  <si>
    <t>Instructional content for this group of programs is defined in codes 16.1701 - 16.1799.</t>
  </si>
  <si>
    <t>English as a Second Language.</t>
  </si>
  <si>
    <t>A program that focuses on the development of proficiency in reading, writing, and speaking English for those for whom English is not their mother tongue. Includes instruction in the use of basic communication skills to develop and transmit ideas and thoughts in English as well as specialized programs that focus on the development of proficiency in English sufficient to meet specific occupational or academic demands. Note: These programs are for academic credit towards a postsecondary credential. For second language programs that are not for academic credit towards a postsecondary credential, see 32.0109.</t>
  </si>
  <si>
    <t>Armenian Languages, Literatures, and Linguistics.</t>
  </si>
  <si>
    <t>Instructional content is defined in code 16.1801.</t>
  </si>
  <si>
    <t>Armenian Language and Literature.</t>
  </si>
  <si>
    <t>A program that focuses on the historical and modern languages spoken by Armenians. Includes instruction in philology; linguistics; dialects and pidgins; literature; and applications to business, science/technology, and other settings.</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</si>
  <si>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</si>
  <si>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</si>
  <si>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</si>
  <si>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</si>
  <si>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</si>
  <si>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Work and Family Studies.</t>
  </si>
  <si>
    <t>Moved from 19.00 to 19.10</t>
  </si>
  <si>
    <t>Moved from 19.0000 to 19.1001</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</si>
  <si>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</si>
  <si>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</si>
  <si>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</si>
  <si>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</si>
  <si>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</si>
  <si>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</si>
  <si>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</si>
  <si>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</si>
  <si>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</si>
  <si>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</si>
  <si>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</si>
  <si>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</si>
  <si>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</si>
  <si>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</si>
  <si>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</si>
  <si>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</si>
  <si>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</si>
  <si>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</si>
  <si>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</si>
  <si>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</si>
  <si>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</si>
  <si>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</si>
  <si>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</si>
  <si>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</si>
  <si>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</si>
  <si>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</si>
  <si>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</si>
  <si>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</si>
  <si>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</si>
  <si>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</si>
  <si>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</si>
  <si>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</si>
  <si>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</si>
  <si>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</si>
  <si>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</si>
  <si>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</si>
  <si>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</si>
  <si>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</si>
  <si>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</si>
  <si>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</si>
  <si>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</si>
  <si>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</si>
  <si>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</si>
  <si>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</si>
  <si>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</si>
  <si>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</si>
  <si>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</si>
  <si>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</si>
  <si>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</si>
  <si>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</si>
  <si>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</si>
  <si>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</si>
  <si>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</si>
  <si>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</si>
  <si>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</si>
  <si>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</si>
  <si>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</si>
  <si>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</si>
  <si>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</si>
  <si>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</si>
  <si>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</si>
  <si>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Early Childhood and Family Studies.</t>
  </si>
  <si>
    <t>A program of study that focuses on the development and learning of children from birth to six years old within the context of the family. Includes instruction in child abuse and neglect, child and infant growth and development, early childhood education, early childhood language and literacy, early childhood math and science, early childhood special education, family literacy, family sociology, family and marriage relations, assessment and measurement, psychology, and psychopathology.</t>
  </si>
  <si>
    <t>Parent Education Services.</t>
  </si>
  <si>
    <t>A program that prepares individuals to plan, coordinate, and teach parent education programs and services that address the cultural, emotional, intellectual, physical and social needs of children and parents. Includes instruction in child development, cultural diversity in schools, child behavior, family development, family-community partnerships, family dynamics, interpersonal relationships, parent-child relationships, and social services.</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</si>
  <si>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</si>
  <si>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</si>
  <si>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</si>
  <si>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</si>
  <si>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</si>
  <si>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</si>
  <si>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</si>
  <si>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</si>
  <si>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</si>
  <si>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</si>
  <si>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</si>
  <si>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</si>
  <si>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</si>
  <si>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</si>
  <si>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</si>
  <si>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</si>
  <si>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Instructional content is defined in code 19.1001.</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</si>
  <si>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</si>
  <si>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Other.</t>
  </si>
  <si>
    <t>Instructional content is defined in code 19.9999.</t>
  </si>
  <si>
    <t>Any instructional program in family and consumer sciences/human sciences not listed above.</t>
  </si>
  <si>
    <t>RESERVED.</t>
  </si>
  <si>
    <t>Reserved for use by Statistics Canada. These CIP codes are not valid for IPEDS reporting.</t>
  </si>
  <si>
    <t>Instructional content is defined in code 21.0101.</t>
  </si>
  <si>
    <t>LEGAL PROFESSIONS AND STUDIES.</t>
  </si>
  <si>
    <t>Instructional programs that prepare individuals for the legal profession, for related support professions and professional legal research, and focus on the study of legal issues in non-professional programs.</t>
  </si>
  <si>
    <t>Non-Professional Legal Studies.</t>
  </si>
  <si>
    <t>Instructional content for this group of programs is defined in codes 22.0000 - 22.0099.</t>
  </si>
  <si>
    <t>Legal Studies.</t>
  </si>
  <si>
    <t>A program of study that focuses on law and legal issues from the perspective of the social sciences and humanities.</t>
  </si>
  <si>
    <t>Pre-Law Studies.</t>
  </si>
  <si>
    <t>A program that prepares individuals for the professional study of law at the post-baccalaureate level.</t>
  </si>
  <si>
    <t>Non-Professional Legal Studies, Other.</t>
  </si>
  <si>
    <t>Any program in non-professional legal studies not listed above.</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</si>
  <si>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</si>
  <si>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</si>
  <si>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</si>
  <si>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</si>
  <si>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</si>
  <si>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</si>
  <si>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</si>
  <si>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Programs for Foreign Lawyers.</t>
  </si>
  <si>
    <t>A program that prepares lawyers educated outside the United States to understand U. S. or Canadian law and jurisprudence.</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</si>
  <si>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</si>
  <si>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</si>
  <si>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</si>
  <si>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</si>
  <si>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</si>
  <si>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</si>
  <si>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Comparative Law.</t>
  </si>
  <si>
    <t>An advanced, professional study of legal systems and philosophies in comparative perspective.</t>
  </si>
  <si>
    <t>Energy, Environment, and Natural Resources Law.</t>
  </si>
  <si>
    <t>An advanced, professional study of  the law, policies, and regulations governing the energy industry, environmental protection, natural resources and land use, and related topics.</t>
  </si>
  <si>
    <t>Health Law.</t>
  </si>
  <si>
    <t>An advanced, professional study of the law, policies and regulations affecting the health care industry, health professions, health services and insurance industries, and patients.</t>
  </si>
  <si>
    <t>International Law and Legal Studies.</t>
  </si>
  <si>
    <t>An advanced, professional study of the law affecting relations between nations, the behavior of international organizations, and the international activities of private citizens and organizations.</t>
  </si>
  <si>
    <t>International Business, Trade, and Tax Law.</t>
  </si>
  <si>
    <t>An advanced, professional study of the law, policies, and regulations governing transnational business and commercial practices, including the specialized tax law related to international financial transactions.</t>
  </si>
  <si>
    <t>Tax Law/Taxation.</t>
  </si>
  <si>
    <t>An advanced, professional study of tax law and taxation procedures in U.S. or Canadian jurisdictions affecting individuals and corporations.</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</si>
  <si>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</si>
  <si>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</si>
  <si>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Patent Law.</t>
  </si>
  <si>
    <t>An advanced, professional study of the law, policies, and regulations affecting patents.</t>
  </si>
  <si>
    <t>Agriculture Law.</t>
  </si>
  <si>
    <t>An advanced, professional study of the law, policies, and regulations for lawyers and non-legal professionals in food and agriculture.</t>
  </si>
  <si>
    <t>Arts and Entertainment Law.</t>
  </si>
  <si>
    <t>An advanced, professional study of the law, policies, and regulations affecting the sports, fashion, entertainment, arts, and media industries.</t>
  </si>
  <si>
    <t>Compliance Law.</t>
  </si>
  <si>
    <t>An advanced, professional study of the law, policies, and regulations for lawyers and non-legal professionals in compliance, ethics, internal monitoring, regulatory affairs, and related areas.</t>
  </si>
  <si>
    <t>Criminal Law and Procedure.</t>
  </si>
  <si>
    <t>An advanced, professional study of the law, policies, and regulations affecting criminal law and trial procedures.</t>
  </si>
  <si>
    <t>Entrepreneurship Law.</t>
  </si>
  <si>
    <t>An advanced, professional study of the law, policies, and regulations affecting entrepreneurship and innovation.</t>
  </si>
  <si>
    <t>Family/Child/Elder Law.</t>
  </si>
  <si>
    <t>An advanced, professional study of the law, policies, and regulations affecting domestic relations across the lifespan.</t>
  </si>
  <si>
    <t>Human Resources Law.</t>
  </si>
  <si>
    <t>An advanced, professional study of the law, policies, and regulations affecting human resources.</t>
  </si>
  <si>
    <t>Insurance Law.</t>
  </si>
  <si>
    <t>An advanced, professional study of the law, policies, and regulations affecting insurance.</t>
  </si>
  <si>
    <t>Real Estate and Land Development Law.</t>
  </si>
  <si>
    <t>An advanced, professional study of the law, policies, and regulations affecting real estate and land development.</t>
  </si>
  <si>
    <t>Transportation Law.</t>
  </si>
  <si>
    <t>An advanced, professional study of the law, policies, and regulations affecting land, sea, air, and space transportation.</t>
  </si>
  <si>
    <t>Tribal/Indigenous Law.</t>
  </si>
  <si>
    <t>An advanced, professional study of the law, policies, and regulations affecting federal Indian law, tribal law and policy, and Indigenous peoples' human rights.</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</si>
  <si>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</si>
  <si>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</si>
  <si>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</si>
  <si>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</si>
  <si>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</si>
  <si>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</si>
  <si>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</si>
  <si>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</si>
  <si>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 and Captioning/Court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</si>
  <si>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</si>
  <si>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Court Interpreter.</t>
  </si>
  <si>
    <t>A program of study that prepares individuals to provide accurate translation and interpretation between two or more languages for parties involved in a legal proceeding. Includes instruction in courtroom standards and procedures, court interpreting, legal terminology, consecutive interpretation, simultaneous interpretation, and sight translation.</t>
  </si>
  <si>
    <t>Scopist.</t>
  </si>
  <si>
    <t>An instructional program that prepares individuals to perform editing and word processing on a court reporter transcript to ensure the accuracy of the transcripts. Includes instruction in legal terminology, legal transcriptioning, machine shorthand, and computer-aided transcription software.</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</si>
  <si>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</si>
  <si>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</si>
  <si>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</si>
  <si>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</si>
  <si>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</si>
  <si>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</si>
  <si>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</si>
  <si>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</si>
  <si>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</si>
  <si>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</si>
  <si>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</si>
  <si>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</si>
  <si>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</si>
  <si>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</si>
  <si>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Creative Writing.</t>
  </si>
  <si>
    <t>A program that focuses on the process and techniques of original composition in various literary forms such as the short story, poetry, the novel, and others.  Includes instruction in technical and editorial skills, criticism, and the marketing of finished manuscripts.</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</si>
  <si>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</si>
  <si>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</si>
  <si>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</si>
  <si>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</si>
  <si>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</si>
  <si>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</si>
  <si>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</si>
  <si>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</si>
  <si>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</si>
  <si>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</si>
  <si>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American Literature (United States).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</si>
  <si>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</si>
  <si>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American Literature (Canadian).</t>
  </si>
  <si>
    <t>A program that focuses on the literature and literary development, both formal and folkloric, of Canada from its origins to the present.  Includes instruction in period and genre studies, author studies, literary criticism, and regional and oral traditions.</t>
  </si>
  <si>
    <t>English Literature (British and Commonwealth).</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</si>
  <si>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</si>
  <si>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</si>
  <si>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</si>
  <si>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</si>
  <si>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</si>
  <si>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</si>
  <si>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</si>
  <si>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</si>
  <si>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</si>
  <si>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</si>
  <si>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</si>
  <si>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</si>
  <si>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</si>
  <si>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</si>
  <si>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</si>
  <si>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</si>
  <si>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</si>
  <si>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</si>
  <si>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</si>
  <si>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</si>
  <si>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</si>
  <si>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</si>
  <si>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</si>
  <si>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</si>
  <si>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</si>
  <si>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</si>
  <si>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</si>
  <si>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</si>
  <si>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</si>
  <si>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</si>
  <si>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</si>
  <si>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</si>
  <si>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</si>
  <si>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</si>
  <si>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</si>
  <si>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</si>
  <si>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</si>
  <si>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</si>
  <si>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</si>
  <si>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</si>
  <si>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</si>
  <si>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</si>
  <si>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</si>
  <si>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</si>
  <si>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</si>
  <si>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</si>
  <si>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</si>
  <si>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</si>
  <si>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</si>
  <si>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</si>
  <si>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</si>
  <si>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</si>
  <si>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</si>
  <si>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</si>
  <si>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</si>
  <si>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</si>
  <si>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</si>
  <si>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</si>
  <si>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</si>
  <si>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</si>
  <si>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</si>
  <si>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</si>
  <si>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</si>
  <si>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</si>
  <si>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</si>
  <si>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</si>
  <si>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Biochemistry, Biophysics and Molecular Biology, Other.</t>
  </si>
  <si>
    <t>Any instructional program in biochemistry, biophysics and molecular biology not listed above.</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</si>
  <si>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</si>
  <si>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</si>
  <si>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</si>
  <si>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</si>
  <si>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</si>
  <si>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</si>
  <si>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</si>
  <si>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</si>
  <si>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</si>
  <si>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</si>
  <si>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</si>
  <si>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</si>
  <si>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</si>
  <si>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</si>
  <si>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</si>
  <si>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</si>
  <si>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</si>
  <si>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</si>
  <si>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</si>
  <si>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</si>
  <si>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</si>
  <si>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</si>
  <si>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</si>
  <si>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</si>
  <si>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</si>
  <si>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</si>
  <si>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</si>
  <si>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</si>
  <si>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</si>
  <si>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</si>
  <si>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</si>
  <si>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</si>
  <si>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</si>
  <si>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</si>
  <si>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</si>
  <si>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</si>
  <si>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</si>
  <si>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</si>
  <si>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</si>
  <si>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</si>
  <si>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</si>
  <si>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Infectious Disease and Global Health.</t>
  </si>
  <si>
    <t>A program that focuses on the biological, social, and behavioral factors contributing to the cause and spread of infectious diseases. Includes instruction in research design and evaluation, infectious disease epidemiology, international health policy and management, microbiology, microbial genetics, molecular virology, disease mechanisms, antimicrobial resistance, immunology, and bioterrorism.</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</si>
  <si>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</si>
  <si>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</si>
  <si>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</si>
  <si>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</si>
  <si>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</si>
  <si>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</si>
  <si>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</si>
  <si>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</si>
  <si>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</si>
  <si>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</si>
  <si>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</si>
  <si>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</si>
  <si>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</si>
  <si>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</si>
  <si>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</si>
  <si>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</si>
  <si>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</si>
  <si>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</si>
  <si>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</si>
  <si>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</si>
  <si>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</si>
  <si>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</si>
  <si>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</si>
  <si>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</si>
  <si>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</si>
  <si>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</si>
  <si>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</si>
  <si>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</si>
  <si>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</si>
  <si>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</si>
  <si>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</si>
  <si>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</si>
  <si>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</si>
  <si>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</si>
  <si>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</si>
  <si>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</si>
  <si>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</si>
  <si>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</si>
  <si>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</si>
  <si>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</si>
  <si>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</si>
  <si>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</si>
  <si>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</si>
  <si>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</si>
  <si>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</si>
  <si>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</si>
  <si>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</si>
  <si>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 and Kinesiology.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</si>
  <si>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</si>
  <si>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</si>
  <si>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</si>
  <si>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</si>
  <si>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</si>
  <si>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</si>
  <si>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</si>
  <si>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</si>
  <si>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</si>
  <si>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Biomechanics.</t>
  </si>
  <si>
    <t>A program of study that focuses on the biological, anatomical, and mechanical structure and function of the mechanical aspects of biological systems. Includes courses in anatomy, physiology, kinesiology, mechanics, measurement and instrumentation, and research methods.</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</si>
  <si>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</si>
  <si>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</si>
  <si>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</si>
  <si>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</si>
  <si>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</si>
  <si>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</si>
  <si>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</si>
  <si>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</si>
  <si>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</si>
  <si>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</si>
  <si>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</si>
  <si>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</si>
  <si>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</si>
  <si>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</si>
  <si>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</si>
  <si>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</si>
  <si>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</si>
  <si>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</si>
  <si>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</si>
  <si>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</si>
  <si>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</si>
  <si>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</si>
  <si>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</si>
  <si>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</si>
  <si>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</si>
  <si>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</si>
  <si>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</si>
  <si>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</si>
  <si>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</si>
  <si>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Biomathematics, Bioinformatics, and Computational Biology, Other.</t>
  </si>
  <si>
    <t>Any instructional program in biomathematics, bioinformatics, and computational biology not listed above.</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</si>
  <si>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</si>
  <si>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</si>
  <si>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</si>
  <si>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</si>
  <si>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</si>
  <si>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</si>
  <si>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</si>
  <si>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</si>
  <si>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paleocology and palentology; and applications to fields such as fisheries science and biotechnology.</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</si>
  <si>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</si>
  <si>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</si>
  <si>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</si>
  <si>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</si>
  <si>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</si>
  <si>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</si>
  <si>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</si>
  <si>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</si>
  <si>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</si>
  <si>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</si>
  <si>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</si>
  <si>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</si>
  <si>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</si>
  <si>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</si>
  <si>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</si>
  <si>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</si>
  <si>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Epidemiology and Biostatistics.</t>
  </si>
  <si>
    <t>A program with a general synthesis of epidemiology and biostatistics or a specialization which draws from epidemiology and biostatistics. Includes instruction in biostatistics, disease and injury determinants, epidemiology, health services research, pathology, spatial analysis, and statistics.</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</si>
  <si>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</si>
  <si>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</si>
  <si>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</si>
  <si>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</si>
  <si>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</si>
  <si>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</si>
  <si>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</si>
  <si>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</si>
  <si>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</si>
  <si>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Neuroanatomy.</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</si>
  <si>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</si>
  <si>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</si>
  <si>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</si>
  <si>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</si>
  <si>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</si>
  <si>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</si>
  <si>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</si>
  <si>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</si>
  <si>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</si>
  <si>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</si>
  <si>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</si>
  <si>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</si>
  <si>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</si>
  <si>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</si>
  <si>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</si>
  <si>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</si>
  <si>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</si>
  <si>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</si>
  <si>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</si>
  <si>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</si>
  <si>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</si>
  <si>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</si>
  <si>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</si>
  <si>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</si>
  <si>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</si>
  <si>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</si>
  <si>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</si>
  <si>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</si>
  <si>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</si>
  <si>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</si>
  <si>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</si>
  <si>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</si>
  <si>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</si>
  <si>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</si>
  <si>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</si>
  <si>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</si>
  <si>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</si>
  <si>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</si>
  <si>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</si>
  <si>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</si>
  <si>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</si>
  <si>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</si>
  <si>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</si>
  <si>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</si>
  <si>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</si>
  <si>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</si>
  <si>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</si>
  <si>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</si>
  <si>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Statistics, Other.</t>
  </si>
  <si>
    <t>Any instructional program in statistics not listed above.</t>
  </si>
  <si>
    <t>Applied Statistics.</t>
  </si>
  <si>
    <t>Instructional content is defined in code 27.0601.</t>
  </si>
  <si>
    <t>Applied Statistics, General.</t>
  </si>
  <si>
    <t>A program that focuses on the application of statistics to the solution of functional problems in fields such as business, engineering, medicine, and the applied sciences. Includes instruction in the principles in inference, probability theory, regression analysis, descriptive statistics, stochastic processes, Monte Carlo method, Bayesian statistics, non-parametric statistics, sampling theory, statistical computing, and statistical techniques.</t>
  </si>
  <si>
    <t>Mathematics and Statistics, Other.</t>
  </si>
  <si>
    <t>Instructional content is defined in code 27.9999.</t>
  </si>
  <si>
    <t>Any instructional program in mathematics and  statistics not listed above.</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</si>
  <si>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</si>
  <si>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</si>
  <si>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</si>
  <si>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</si>
  <si>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</si>
  <si>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</si>
  <si>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</si>
  <si>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</si>
  <si>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</si>
  <si>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</si>
  <si>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</si>
  <si>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</si>
  <si>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</si>
  <si>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</si>
  <si>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</si>
  <si>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</si>
  <si>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</si>
  <si>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</si>
  <si>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</si>
  <si>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</si>
  <si>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</si>
  <si>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</si>
  <si>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</si>
  <si>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</si>
  <si>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</si>
  <si>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</si>
  <si>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</si>
  <si>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</si>
  <si>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</si>
  <si>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</si>
  <si>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</si>
  <si>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</si>
  <si>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</si>
  <si>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</si>
  <si>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</si>
  <si>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</si>
  <si>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</si>
  <si>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</si>
  <si>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</si>
  <si>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</si>
  <si>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</si>
  <si>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</si>
  <si>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</si>
  <si>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</si>
  <si>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</si>
  <si>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</si>
  <si>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</si>
  <si>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</si>
  <si>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</si>
  <si>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</si>
  <si>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</si>
  <si>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</si>
  <si>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</si>
  <si>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</si>
  <si>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</si>
  <si>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</si>
  <si>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</si>
  <si>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</si>
  <si>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</si>
  <si>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</si>
  <si>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Instructional content is defined in code 28.0801. These CIP codes are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</si>
  <si>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</si>
  <si>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</si>
  <si>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</si>
  <si>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</si>
  <si>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</si>
  <si>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</si>
  <si>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</si>
  <si>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</si>
  <si>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</si>
  <si>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</si>
  <si>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</si>
  <si>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</si>
  <si>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</si>
  <si>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</si>
  <si>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</si>
  <si>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</si>
  <si>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</si>
  <si>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</si>
  <si>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</si>
  <si>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</si>
  <si>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</si>
  <si>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</si>
  <si>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</si>
  <si>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</si>
  <si>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</si>
  <si>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</si>
  <si>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</si>
  <si>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</si>
  <si>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</si>
  <si>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</si>
  <si>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</si>
  <si>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</si>
  <si>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</si>
  <si>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</si>
  <si>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</si>
  <si>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</si>
  <si>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</si>
  <si>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</si>
  <si>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</si>
  <si>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</si>
  <si>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</si>
  <si>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</si>
  <si>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</si>
  <si>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</si>
  <si>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</si>
  <si>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</si>
  <si>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</si>
  <si>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</si>
  <si>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</si>
  <si>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</si>
  <si>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</si>
  <si>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</si>
  <si>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</si>
  <si>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</si>
  <si>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</si>
  <si>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</si>
  <si>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</si>
  <si>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</si>
  <si>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</si>
  <si>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</si>
  <si>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</si>
  <si>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</si>
  <si>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</si>
  <si>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Instructional content is defined in code 29.0501.</t>
  </si>
  <si>
    <t>Military Technology and Applied Sciences Management.</t>
  </si>
  <si>
    <t>Instructional content is defined in code 29.0601.</t>
  </si>
  <si>
    <t>A program that focuses on applied military science, military operations, intelligence gathering, military technology, and national security. Includes instruction in computer science, engineering, ethics, field training, leadership, military strategy, logistics, management skills, and politics.</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</si>
  <si>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</si>
  <si>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</si>
  <si>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</si>
  <si>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</si>
  <si>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</si>
  <si>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</si>
  <si>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for this group of programs is defined in codes 30.0000 - 30.0001.</t>
  </si>
  <si>
    <t>A program that derives from two or more distinct programs and that is integrated around a unifying theme or topic that cannot be subsumed under a single discipline or occupational field.</t>
  </si>
  <si>
    <t>Comprehensive Transition and Postsecondary (CTP) Program.</t>
  </si>
  <si>
    <t>A comprehensive transition and postsecondary (CTP) program that provides students with intellectual disabilities with academic enrichment, socialization, independent living skills, self-advocacy skills, and integrated work experiences and career skills that lead to gainful employment.</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</si>
  <si>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</si>
  <si>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</si>
  <si>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</si>
  <si>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</si>
  <si>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</si>
  <si>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</si>
  <si>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</si>
  <si>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</si>
  <si>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</si>
  <si>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</si>
  <si>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</si>
  <si>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</si>
  <si>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Biopsychology.</t>
  </si>
  <si>
    <t>Instructional content is defined in code 30.1001.</t>
  </si>
  <si>
    <t>A program that focuses on biological and psychological linkages, especially the linkages between biochemical and biophysical activity and the functioning of the central nervous system.</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</si>
  <si>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</si>
  <si>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</si>
  <si>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</si>
  <si>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Historic Preservation and Conservation.</t>
  </si>
  <si>
    <t>Instructional content for this group of programs is defined in codes 30.1201 - 30.1299.</t>
  </si>
  <si>
    <t>Historic Preservation and Conservation, General.</t>
  </si>
  <si>
    <t>A program that focuses on the design and implementation of plans to restore and maintain historic buildings, districts, and landscapes in a way that balances conservation and preservation with commercial and development interests. Includes instruction in architectural history, building conservation, cultural resource management, economics, historical documentation and preservation, land-use and zoning codes, public policy, public relations, real estate law, and taxation.</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</si>
  <si>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</si>
  <si>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</si>
  <si>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</si>
  <si>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</si>
  <si>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</si>
  <si>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</si>
  <si>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</si>
  <si>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</si>
  <si>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</si>
  <si>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</si>
  <si>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</si>
  <si>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</si>
  <si>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</si>
  <si>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Accounting and Computer Science.</t>
  </si>
  <si>
    <t>Instructional content is defined in code 30.1601.</t>
  </si>
  <si>
    <t>A program that combines accounting with computer science and/or computer studies.</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</si>
  <si>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</si>
  <si>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</si>
  <si>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</si>
  <si>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</si>
  <si>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</si>
  <si>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</si>
  <si>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</si>
  <si>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</si>
  <si>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</si>
  <si>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International/Globalization Studies.</t>
  </si>
  <si>
    <t>Instructional content is defined in code 30.2001.</t>
  </si>
  <si>
    <t>A program that focuses on global and international issues from the perspective of the social sciences, social services, and related fields.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</si>
  <si>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</si>
  <si>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</si>
  <si>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</si>
  <si>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Classical and Ancient Studies.</t>
  </si>
  <si>
    <t>Instructional content for this group of programs is defined in codes 30.2201 - 30.2299.</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</si>
  <si>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</si>
  <si>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</si>
  <si>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</si>
  <si>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study of the classical ancient civilizations of the ancient Near East, Europe, and the Mediterranean Sea, such as Athens, Anatolia, Egypt, Greece, Israel, Mesopotamia, North Africa, and Rome. Includes instruction in ancient languages, ancient history, archaeology, anthropology, Greek and Roman mythology, philosophy, and religion.</t>
  </si>
  <si>
    <t>Classical and Ancient Studies, Other.</t>
  </si>
  <si>
    <t>Any program in classical and ancient studies not listed above.</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</si>
  <si>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</si>
  <si>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</si>
  <si>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</si>
  <si>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Cognitive Science.</t>
  </si>
  <si>
    <t>Instructional content for this group of programs is defined in codes 30.2501 - 30.2599.</t>
  </si>
  <si>
    <t>Cognitive Science, General.</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</si>
  <si>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</si>
  <si>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Contemplative Studies/Inquiry.</t>
  </si>
  <si>
    <t>A program that focuses on the philosophical, psychological, and scientific bases of human contemplative experience. Includes instruction in cognitive science, meditation, mindfulness, neuroscience, philosophy, psychology, and religion.</t>
  </si>
  <si>
    <t>Cognitive Science, Other.</t>
  </si>
  <si>
    <t>Any instructional program in cognitive science not listed above.</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</si>
  <si>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</si>
  <si>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</si>
  <si>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</si>
  <si>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</si>
  <si>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</si>
  <si>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</si>
  <si>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</si>
  <si>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</si>
  <si>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</si>
  <si>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</si>
  <si>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</si>
  <si>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</si>
  <si>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</si>
  <si>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</si>
  <si>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</si>
  <si>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</si>
  <si>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</si>
  <si>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engineering,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</si>
  <si>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</si>
  <si>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</si>
  <si>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</si>
  <si>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</si>
  <si>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</si>
  <si>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</si>
  <si>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Anthrozoology.</t>
  </si>
  <si>
    <t>Instructional content is defined in code 30.3401.</t>
  </si>
  <si>
    <t>A program of study that combines anthropology and zoology in order to examine the relationship between animals and humans. Includes instruction in animal behavior and communication, animal welfare, animal conservation, animal training, animal-assisted therapy techniques, biology, ethics, and education.</t>
  </si>
  <si>
    <t>Climate Science.</t>
  </si>
  <si>
    <t>Instructional content is defined in code 30.3501.</t>
  </si>
  <si>
    <t>A program that focuses on the scientific study of the climate system of the earth with emphasis on the physical, dynamical, and chemical interactions of the atmosphere, ocean, land, ice, and the terrestrial and marine biospheres. Includes instruction in biology, chemistry, climate analysis, climate change adaptation/mitigation, climate policy, ecology, energy development, environmental impacts, marine chemistry, meteorology, and oceanography.</t>
  </si>
  <si>
    <t>Cultural Studies and Comparative Literature.</t>
  </si>
  <si>
    <t>Instructional content is defined in code 30.3601.</t>
  </si>
  <si>
    <t>A program with a general synthesis of cultural studies and comparative literature or a specialization which draws from cultural studies and comparative literature. Includes instruction in anthropology, comparative linguistics, cultural studies, history, literary criticism, literary studies, philosophy, political economy, sociology, and textual studies.</t>
  </si>
  <si>
    <t>Design for Human Health.</t>
  </si>
  <si>
    <t>Instructional content is defined in code 30.3701.</t>
  </si>
  <si>
    <t>A program that focuses on the impact of design and architecture on the health of individuals and larger populations, and how to create settings that promote health, healing, and well-being. Includes instruction in architecture, interior design, human health services, communication studies, medical and clinical innovations, behavioral and engineering sciences, hospitals and health systems, and environmental conditions that influence health.</t>
  </si>
  <si>
    <t>Earth Systems Science.</t>
  </si>
  <si>
    <t>Instructional content is defined in code 30.3801.</t>
  </si>
  <si>
    <t>A program that focuses on the interaction of the Earth's oceanographic, atmospheric, and terrestrial systems. Includes instruction in biogeochemistry, climate dynamics, geographical information science (GIS), geophysics, hydrology, landscape ecology, meteorology, and satellite remote sensing analysis.</t>
  </si>
  <si>
    <t>Economics and Computer Science.</t>
  </si>
  <si>
    <t>Instructional content is defined in code 30.3901.</t>
  </si>
  <si>
    <t>A program of study that focuses on the theoretical and practical connections between computer science and economics. Includes instruction in data analysis, database design, data mining, computer algorithms, economics, econometrics, computer programing, mathematics, and statistics.</t>
  </si>
  <si>
    <t>Economics and Foreign Language/Literature.</t>
  </si>
  <si>
    <t>Instructional content is defined in code 30.4001.</t>
  </si>
  <si>
    <t>A program with a general synthesis of economics and the language and literature of one or more countries or regions or a specialization which draws from economics and the language and literature of one or more countries or regions. Includes instruction in comparative economic systems, econometrics, economic theory, money and banking systems, international economics, international trade, linguistics, philology, and translation.</t>
  </si>
  <si>
    <t>Environmental Geosciences.</t>
  </si>
  <si>
    <t>Instructional content is defined in code 30.4101.</t>
  </si>
  <si>
    <t>A program that focuses on the scientific study of the environmental implications of geological processes and human activities on Earth. Includes instruction in environmental/natural resource management, geographic information systems (GIS), geology, hydrology, regulatory agency compliance, hazard identification and mitigation, environmental law, environmental policy, and sustainability studies.</t>
  </si>
  <si>
    <t>Geoarcheaology.</t>
  </si>
  <si>
    <t>Instructional content is defined in code 30.4201.</t>
  </si>
  <si>
    <t>A program that focuses on the application of analytical techniques, concepts, and field methods from the earth sciences to solve archaeological questions related to human settlement, artifacts, site taphonomy, and paleoenvironments. Includes instruction in anthropology, ancient civilizations, archeology, geology, paleoclimatic reconstruction, sedimentology, and site taphonomic research.</t>
  </si>
  <si>
    <t>Geobiology.</t>
  </si>
  <si>
    <t>Instructional content is defined in code 30.4301.</t>
  </si>
  <si>
    <t>A program that focuses on the scientific study of how living things interact with geological systems. Includes instruction in evolution of Earth systems, geochemistry, geology, geomicrobiology, marine chemistry, paleobiology, paleoecology, paleontology, and petrology.</t>
  </si>
  <si>
    <t>Geography and Environmental Studies.</t>
  </si>
  <si>
    <t>Instructional content is defined in code 30.4401.</t>
  </si>
  <si>
    <t>A program that focuses on interactions between people and the natural and built environments. Includes instruction in climate science, sustainability, environmental science and policy, research methods, geographic information systems (GIS), human geography, physical geography, remote sensing, and public policy.</t>
  </si>
  <si>
    <t>History and Language/Literature.</t>
  </si>
  <si>
    <t>Instructional content is defined in code 30.4501.</t>
  </si>
  <si>
    <t>A program with a general synthesis of history and the language and literature of one or more countries or regions or a specialization which draws from history and the language and literature of one or more countries or regions. Includes instruction in historiography; historical research methods; linguistics; literature, philology; and studies of specific periods, issues and cultures.</t>
  </si>
  <si>
    <t>History and Political Science.</t>
  </si>
  <si>
    <t>Instructional content is defined in code 30.4601.</t>
  </si>
  <si>
    <t>A program with a general synthesis of history and political science or a specialization which draws from history and political science. Includes instruction in comparative government and politics, historiography, historical research methods, political science, political theory, records administration, and systematic study of political institutions and behavior.</t>
  </si>
  <si>
    <t>Linguistics and Anthropology.</t>
  </si>
  <si>
    <t>Instructional content is defined in code 30.4701.</t>
  </si>
  <si>
    <t>A program that focuses on the study of the anthropological, historical, and sociological context of language with a particular emphasis on language use and its role in shaping cultural and social diversity. Includes instruction in applied linguistics, data management, field methods, language heritage, socialization, structure, linguistic analysis, linguistic theory, and multilingualism.</t>
  </si>
  <si>
    <t>Linguistics and Computer Science.</t>
  </si>
  <si>
    <t>Instructional content is defined in code 30.4801.</t>
  </si>
  <si>
    <t>A program that focuses on the relationship between computer and human language and computational techniques applied to natural language. Includes instruction in computer programming, human languages, linguistic analysis, logic, natural language processing, semantics, machine learning, psycholinguistics, software engineering, and syntax.</t>
  </si>
  <si>
    <t>Mathematical Economics.</t>
  </si>
  <si>
    <t>Instructional content is defined in code 30.4901.</t>
  </si>
  <si>
    <t>A program that focuses on the application of mathematical methods to the development of economic theory, models, and quantitative analysis. Includes instruction in data analysis, applied business economics, calculus, econometrics, linear algebra, microeconomic theory, probability, and statistical methods.</t>
  </si>
  <si>
    <t>Mathematics and Atmospheric/Oceanic Science.</t>
  </si>
  <si>
    <t>Instructional content is defined in code 30.5001.</t>
  </si>
  <si>
    <t>A program that focuses on the application of mathematics to atmospheric and oceanic problems. Includes instruction in chemistry, physics, atmospheric/ocean dynamics, climatology, weather simulation, climate modeling, mathematics, oceanography, and atmospheric science.</t>
  </si>
  <si>
    <t>Philosophy, Politics, and Economics.</t>
  </si>
  <si>
    <t>Instructional content is defined in code 30.5101.</t>
  </si>
  <si>
    <t>A program that focuses on philosophical foundations, political institutions, collective behavior, economic theory, and economic influences. Includes instruction in econometrics, logic, metaphysics, moral responsibility, philosophy of language, philosophy of perception, philosophy through history, reasoning and persuasion, and social epistemology.</t>
  </si>
  <si>
    <t>Digital Humanities and Textual Studies.</t>
  </si>
  <si>
    <t>Instructional content for this group of programs is defined in codes 30.5201 - 30.5299.</t>
  </si>
  <si>
    <t>Digital Humanities and Textual Studies, General.</t>
  </si>
  <si>
    <t>A program that focuses on digital textual editing, archiving, and publishing, and on the study of new media and computing platforms from the perspectives of the humanities and computer science. Includes instruction in archiving, computer programming, cultural studies, and textual criticism.</t>
  </si>
  <si>
    <t>Digital Humanities.</t>
  </si>
  <si>
    <t>A program that focuses on the use of new technologies, advanced computing, and public engagement to investigate and analyze questions in the humanities. Includes instruction in anthropology, art, data mining and machine learning, design, digital archives, geospatial technologies, history, human-computer interface design, literature, markup languages, social media technologies, and software development.</t>
  </si>
  <si>
    <t>Textual Studies.</t>
  </si>
  <si>
    <t>A program that focuses on the interconnected histories of digital or print texts and manuscripts for cultural and literary study. Includes instruction in archiving texts, bibliography, book and literary history, cultural studies, codicology, paleography, stemmatology, and textual criticism.</t>
  </si>
  <si>
    <t>Digital Humanities and Textual Studies, Other.</t>
  </si>
  <si>
    <t>Any instructional program in digital humanities and textual studies not listed above.</t>
  </si>
  <si>
    <t>Thanatology.</t>
  </si>
  <si>
    <t>Instructional content is defined in code 30.5301.</t>
  </si>
  <si>
    <t>A program of study that focuses on the biological, philosophical, psychological, sociological, and theological aspects of death, dying, and bereavement. Includes instruction in counseling, ethics, grief, palliative and hospice care, philosophy, thanatology, and theology.</t>
  </si>
  <si>
    <t>Data Science.</t>
  </si>
  <si>
    <t>Instructional content for this group of programs is defined in codes 30.7001 - 30.7099.</t>
  </si>
  <si>
    <t>Data Science, General.</t>
  </si>
  <si>
    <t>A program that focuses on the analysis of large scale data sources from the interdisciplinary perspectives of applied statistics, computer science, data storage, data representation, data modeling, mathematics, and statistics. Includes instruction in computer algorithms, computer programming, data management, data mining, information policy, information retrieval, mathematical modeling, quantitative analysis, statistics, trend spotting, and visual analytics.</t>
  </si>
  <si>
    <t>Data Science, Other.</t>
  </si>
  <si>
    <t>Any instructional program in data science not listed above.</t>
  </si>
  <si>
    <t>Data Analytics.</t>
  </si>
  <si>
    <t>Instructional content for this group of programs is defined in codes 30.7101 - 30.7199.</t>
  </si>
  <si>
    <t>Data Analytics, General.</t>
  </si>
  <si>
    <t>A program that prepares individuals to apply data science to generate insights from data and identify and predict trends. Includes instruction in computer databases, computer programming, inference, machine learning, optimization, probability and stochastic models, statistics, strategy, uncertainty quantification, and visual analytics.</t>
  </si>
  <si>
    <t>Business Analytics.</t>
  </si>
  <si>
    <t>A program that prepares individuals to apply data science to solve business challenges. Includes instruction in machine learning, optimization methods, computer algorithms, probability and stochastic models, information economics, logistics, strategy, consumer behavior, marketing, and visual analytics.</t>
  </si>
  <si>
    <t>Data Visualization.</t>
  </si>
  <si>
    <t>A program that prepares individuals to organize and derive meaning from data by using visual presentation tools and techniques. Includes instruction in cognitive science, computer programming, data management, data visualization theory, graphic design, infographics, perceptual psychology, statistics, and visual design.</t>
  </si>
  <si>
    <t>Financial Analytics.</t>
  </si>
  <si>
    <t>A program that focuses on financial big data modeling from algorithms to cloud-based data-driven financial technologies. Includes instruction in financial analytics, financial data processing, knowledge management, data visualization, effective decision communication, machine learning for finance, statistical inference and dynamic modeling on financial data, and project management.</t>
  </si>
  <si>
    <t>Data Analytics, Other.</t>
  </si>
  <si>
    <t>Any instructional program in data analytics not listed above.</t>
  </si>
  <si>
    <t>Multi/Interdisciplinary Studies, Other.</t>
  </si>
  <si>
    <t>Instructional content is defined in code 30.9999.</t>
  </si>
  <si>
    <t>Multi-/Interdisciplinary Studies, Other.</t>
  </si>
  <si>
    <t>Any instructional program in multi/interdisciplinary studies not listed above.</t>
  </si>
  <si>
    <t>PARKS, RECREATION, LEISURE, FITNESS, AND KINESIOLOGY.</t>
  </si>
  <si>
    <t>Instructional programs that focus on the principles and practices of managing parks and other recreational and fitness facilities; providing recreational, leisure and fitness services; and the study of human kinesiology and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</si>
  <si>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</si>
  <si>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</si>
  <si>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</si>
  <si>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</si>
  <si>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</si>
  <si>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</si>
  <si>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</si>
  <si>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</si>
  <si>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</si>
  <si>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</si>
  <si>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</si>
  <si>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Sports, Kinesiology, and Physical Education/Fitness.</t>
  </si>
  <si>
    <t>Instructional content for this group of programs is defined in codes 31.0501 - 31.0599.</t>
  </si>
  <si>
    <t>Sports, Kinesiology,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</si>
  <si>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</si>
  <si>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</si>
  <si>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</si>
  <si>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Exercise Science and Kinesiology.</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</si>
  <si>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</si>
  <si>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</si>
  <si>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</si>
  <si>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</si>
  <si>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</si>
  <si>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Sports, Kinesiology, and Physical Education/Fitness, Other.</t>
  </si>
  <si>
    <t>Any instructional program in sports, kinesiology,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</si>
  <si>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</si>
  <si>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</si>
  <si>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</si>
  <si>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Parks, Recreation, Leisure, Fitness, and Kinesiology, Other.</t>
  </si>
  <si>
    <t>Instructional content is defined in code 31.9999.</t>
  </si>
  <si>
    <t>Any instructional program in parks, recreation, leisure, fitness, and kinesiology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</si>
  <si>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</si>
  <si>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</si>
  <si>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</si>
  <si>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</si>
  <si>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</si>
  <si>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</si>
  <si>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Developmental/Remedial Mathematics.</t>
  </si>
  <si>
    <t>A program that focuses on the development of computing and other mathematical reasoning abilities and skills. This CIP code is not valid for IPEDS reporting.</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</si>
  <si>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</si>
  <si>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</si>
  <si>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</si>
  <si>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</si>
  <si>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</si>
  <si>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</si>
  <si>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</si>
  <si>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</si>
  <si>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</si>
  <si>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Workforce Development and Training.</t>
  </si>
  <si>
    <t>A program that focuses on learning or upgrading basic skills in order to enhance job performance, promote career development, or train for a new job. This CIP code is not valid for IPEDS reporting.</t>
  </si>
  <si>
    <t>Accent Reduction/Modification.</t>
  </si>
  <si>
    <t>A program that focuses on accent modification and effective pronunciation in order to assist individuals in changing their accents/dialects to Standard American English. Includes instruction in changing speech patterns, intonation, phonology, pronunciation, rhythm, semantics, syntax, vocabulary, voice production, and word order. This CIP code is not valid for IPEDS reporting.</t>
  </si>
  <si>
    <t>Basic Skills and Developmental/Remedial Education, Other.</t>
  </si>
  <si>
    <t>Any instructional program in basic skills not listed above. This CIP code is not valid for IPEDS reporting.</t>
  </si>
  <si>
    <t>General Exam Preparation and Test-Taking Skills.</t>
  </si>
  <si>
    <t>Instructional content for this group of programs is defined in codes 32.0201 - 32.0299. These CIP codes are not valid for IPEDS reporting.</t>
  </si>
  <si>
    <t>Exam Preparation and Test-Taking Skills, General.</t>
  </si>
  <si>
    <t>A program of study that focuses on general study and exam-taking skills. This CIP code is not valid for IPEDS reporting.</t>
  </si>
  <si>
    <t>High School Equivalent Exam Preparation.</t>
  </si>
  <si>
    <t>A program of study that focuses on general study and exam-taking skills associated with preparation for the high school equivalency examinations. This CIP code is not valid for IPEDS reporting.</t>
  </si>
  <si>
    <t>Undergraduate Entrance/Placement Examination Preparation.</t>
  </si>
  <si>
    <t>A program of study that focuses on general study and exam-taking skills associated with preparation for undergraduate college/university entrance or placement examinations. This CIP code is not valid for IPEDS reporting.</t>
  </si>
  <si>
    <t>Graduate/Professional School Entrance Examination Preparation.</t>
  </si>
  <si>
    <t>A program of study that focuses on general study and exam-taking skills associated with preparation for graduate and professional school entrance examinations. This CIP code is not valid for IPEDS reporting.</t>
  </si>
  <si>
    <t>Professional Certification/Licensure Examination Preparation.</t>
  </si>
  <si>
    <t>A program of study that focuses on general study and exam-taking skills associated with preparation for professional certification and licensure examinations. This CIP code is not valid for IPEDS reporting.</t>
  </si>
  <si>
    <t>General Exam Preparation and Test-Taking Skills, Other.</t>
  </si>
  <si>
    <t>Any instructional program in general exam preparation and test-taking skills not listed above.</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</si>
  <si>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</si>
  <si>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</si>
  <si>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</si>
  <si>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</si>
  <si>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</si>
  <si>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</si>
  <si>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</si>
  <si>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</si>
  <si>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</si>
  <si>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</si>
  <si>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</si>
  <si>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</si>
  <si>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</si>
  <si>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</si>
  <si>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Personal Emergency Preparedness.</t>
  </si>
  <si>
    <t>A program of study that focuses on the leadership and management skills needed to prepare and respond to critical threats such as natural disasters, hazardous spills, and security threats. Includes instruction in communication, community preparedness, decision-making, disaster management, disaster recovery, disaster preparation, emergency planning and preparation, resource planning, and risk and hazard impact.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</si>
  <si>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</si>
  <si>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</si>
  <si>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</si>
  <si>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programs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</si>
  <si>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</si>
  <si>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</si>
  <si>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</si>
  <si>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</si>
  <si>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</si>
  <si>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</si>
  <si>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</si>
  <si>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</si>
  <si>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Meditation/Mind-Body Wellness.</t>
  </si>
  <si>
    <t>A program that focuses on meditation and mindfulness training, and how these techniques can enhance brain function, regulate emotions, reduce stress, and increase compassion. Includes instruction in alternative medicine, innovative and ancient healing practices, inspired creativity and the arts, meditation, mindfulness, neuroscience, religious belief systems, spiritual psychology, therapeutic movement, and visualization meditation. This CIP code is not valid for IPEDS reporting.</t>
  </si>
  <si>
    <t>Health-Related Knowledge and Skills, Other.</t>
  </si>
  <si>
    <t>Any instructional program in health-related knowledge and skills not listed above. This CIP code is not valid for IPEDS reporting.</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</si>
  <si>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</si>
  <si>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</si>
  <si>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</si>
  <si>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</si>
  <si>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</si>
  <si>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</si>
  <si>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</si>
  <si>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</si>
  <si>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</si>
  <si>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</si>
  <si>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Life Coaching.</t>
  </si>
  <si>
    <t>A program that focuses on assisting individuals in achieving personal goals such as life transitions, relationships, physical well-being, emotional well-being, and career choices. Includes instruction in career and vocational development, coaching methodologies, coaching research techniques, group coaching, leadership techniques, and personal coaching.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</si>
  <si>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</si>
  <si>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</si>
  <si>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</si>
  <si>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</si>
  <si>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</si>
  <si>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</si>
  <si>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</si>
  <si>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</si>
  <si>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</si>
  <si>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</si>
  <si>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</si>
  <si>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</si>
  <si>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</si>
  <si>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</si>
  <si>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</si>
  <si>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</si>
  <si>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</si>
  <si>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</si>
  <si>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</si>
  <si>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</si>
  <si>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</si>
  <si>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</si>
  <si>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</si>
  <si>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</si>
  <si>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</si>
  <si>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</si>
  <si>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</si>
  <si>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</si>
  <si>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</si>
  <si>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</si>
  <si>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</si>
  <si>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</si>
  <si>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</si>
  <si>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</si>
  <si>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</si>
  <si>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</si>
  <si>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</si>
  <si>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</si>
  <si>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</si>
  <si>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</si>
  <si>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Aircraft Pilot (Private).</t>
  </si>
  <si>
    <t>Moved from 36.0119 to 36.0202</t>
  </si>
  <si>
    <t>Beekeeping.</t>
  </si>
  <si>
    <t>A program that focuses on keeping bees for personal enjoyment, pollination of plants and vegetables, and domestic honey and other bee product production. Includes instruction in bee behavior, hive equipment, beekeeping supplies, bee pests and parasites, handling bees, hive set up and care, honey production, and seasonal management practices. This CIP code is not valid for IPEDS reporting.</t>
  </si>
  <si>
    <t>Firearms Training/Safety.</t>
  </si>
  <si>
    <t>A program that focuses on the fundamentals of gun operation, shooting techniques, and firearm safety. Includes instruction in ammunition, firearm cleaning, firearms law, firearm operation, and shooting techniques. This CIP code is not valid for IPEDS reporting.</t>
  </si>
  <si>
    <t>Floral Design/Arrangement.</t>
  </si>
  <si>
    <t>A program that focuses on the techniques of floral design based on color palette, theme, season, and flower selection. Includes instruction in botanical terminology, flower handling and identification, foliage and plants, traditional and contemporary floral design, and use of seasonal, dry, silk, or exotic plant materials. This CIP code is not valid for IPEDS reporting.</t>
  </si>
  <si>
    <t>Master Gardener/Gardening.</t>
  </si>
  <si>
    <t>A program that prepares individuals to educate the public on science-based, environmentally-sound practices in sustainable gardening and horticulture. Includes instruction in vegetables, houseplants, composting, flowers, fruits, turf grass, woody plants, plant propagation, pollination, soils, wildlife management, integrated pest management, plant pathology, and entomology. This CIP code is not valid for IPEDS reporting.</t>
  </si>
  <si>
    <t>Leisure and Recreational Activities, Other.</t>
  </si>
  <si>
    <t>Any instructional program in leisure and recreational activities not listed above. This CIP code is not valid for IPEDS reporting.</t>
  </si>
  <si>
    <t>Noncommercial Vehicle Operation.</t>
  </si>
  <si>
    <t>Instructional content for this group of programs is defined in codes 36.0202 - 36.0299. These CIP codes are not valid for IPEDS reporting.</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</si>
  <si>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</si>
  <si>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Automobile Driver Education.</t>
  </si>
  <si>
    <t>A program that prepares individuals to drive automobiles for personal use and qualifies them to sit for a driver's license examination. Includes instruction in automobile operation, driving skills, safety, and traffic rules. This CIP code is not valid for IPEDS reporting.</t>
  </si>
  <si>
    <t>Helicopter Pilot (Private).</t>
  </si>
  <si>
    <t>A program that prepares individuals to fly helicopters for personal use, and qualifies individuals to sit for the FAA Private Pilot - Helicopter (PRH) examination. Includes instruction in principles of helicopter design and performance; helicopter flight systems and controls; flight crew operations and procedures; radio communications and navigation procedures and systems; airways safety and traffic regulations; and governmental rules and regulations pertaining to piloting helicopters. This CIP code is not valid for IPEDS reporting.</t>
  </si>
  <si>
    <t>Motorcycle Rider Education.</t>
  </si>
  <si>
    <t>A program that prepares individuals to ride motorcycles for personal use and qualifies them to sit for a motorcycle license examination. Includes instruction in motorcycle operation, riding skills, safety, and traffic rules. This CIP code is not valid for IPEDS reporting.</t>
  </si>
  <si>
    <t>Personal Watercraft/Boating Education.</t>
  </si>
  <si>
    <t>A program that prepares individuals to operate boats and other watercraft for personal use and qualifies them to sit for a boating license examination. Includes instruction in boat and watercraft operation, safety, and applicable laws and rules. This CIP code is not valid for IPEDS reporting.</t>
  </si>
  <si>
    <t>Remote Aircraft Pilot.</t>
  </si>
  <si>
    <t>A program that prepares individuals to fly an unmanned aircraft system (UAS) for personal use, and qualifies individuals to sit for the FAA Remote Pilot Certificate with small unmanned aircraft systems (sUAS) rating knowledge examination. Includes instruction in principles of unmanned aircraft system design and performance; aircraft flight systems and controls; airway safety and traffic regulations; and governmental rules and regulations pertaining to piloting unmanned aircraft. This CIP code is not valid for IPEDS reporting.</t>
  </si>
  <si>
    <t>Noncommercial Vehicle Operation, Other.</t>
  </si>
  <si>
    <t>Any instructional program in noncommercial vehicle operation not listed above.</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</si>
  <si>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</si>
  <si>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</si>
  <si>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</si>
  <si>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</si>
  <si>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</si>
  <si>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</si>
  <si>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</si>
  <si>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</si>
  <si>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</si>
  <si>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</si>
  <si>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</si>
  <si>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</si>
  <si>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Investing/Wealth Management/Retirement Planning.</t>
  </si>
  <si>
    <t>A program that prepares individuals to evaluate their personal financial health, establish financial planning strategies, and solve financial problems, based on their short term and long term financial goals. Includes instruction in asset management, estate planning, college savings, investment theory, insurance, real estate, retirement planning, and taxation. This CIP code is not valid for IPEDS reporting.</t>
  </si>
  <si>
    <t>Self-Defense.</t>
  </si>
  <si>
    <t>A program that focuses on defensive concepts and techniques against various types of assault. Includes instruction in basic principles of defense, continuum of survival, date rape, defensive mindset, weapons and strategies, offensive and defensive postures, recognizing vulnerable locations, risk reduction strategies, and using personal weapons.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</si>
  <si>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</si>
  <si>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</si>
  <si>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</si>
  <si>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</si>
  <si>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</si>
  <si>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</si>
  <si>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</si>
  <si>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</si>
  <si>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</si>
  <si>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</si>
  <si>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</si>
  <si>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</si>
  <si>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</si>
  <si>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</si>
  <si>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</si>
  <si>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</si>
  <si>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</si>
  <si>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</si>
  <si>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</si>
  <si>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</si>
  <si>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</si>
  <si>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</si>
  <si>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</si>
  <si>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</si>
  <si>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</si>
  <si>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</si>
  <si>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</si>
  <si>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</si>
  <si>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</si>
  <si>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</si>
  <si>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</si>
  <si>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Talmudic Studies.</t>
  </si>
  <si>
    <t>A program focused on intense study of the Talmud that fosters values, critical thinking, and scholarship skills; prepares students for entry into a broad spectrum of graduate and professional schools; and prepares students for entry into a variety of careers including the Rabbinate. Includes instruction in Jewish law, Jewish jurisprudence, ethics, philosophy, and related disciplines.</t>
  </si>
  <si>
    <t>Catholic Studies.</t>
  </si>
  <si>
    <t>A program that focuses on Catholic thought, culture, and how Catholic tradition informs theology, culture, institutions, and identity. Includes instruction in Biblical Greek, Biblical Hebrew, Catholic bioethics, Catholic social thought, church history, Latin, philosophy, and theology.</t>
  </si>
  <si>
    <t>Mormon Studies.</t>
  </si>
  <si>
    <t>A program that focuses on beliefs, practices, culture, and history of the Church of Jesus Christ of Latter-day Saints (Mormon). Includes instruction in Mormon culture, history, literature, philosophy, sociology, and theology.</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</si>
  <si>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</si>
  <si>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</si>
  <si>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</si>
  <si>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</si>
  <si>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</si>
  <si>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</si>
  <si>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</si>
  <si>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</si>
  <si>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</si>
  <si>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</si>
  <si>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Missions/Missionary Studies and Missiology.</t>
  </si>
  <si>
    <t>Instructional content for this group of programs is defined in codes 39.0301 - 39.0399.</t>
  </si>
  <si>
    <t>Missions/Missionary Studies.</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</si>
  <si>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</si>
  <si>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Church Planting.</t>
  </si>
  <si>
    <t>A program of study that prepares individuals to establish congregations of Christians in new locations. Includes instruction in models of church planting, church multiplication strategies, church leadership, evangelism, missiology, Christian ethics, and mission-oriented theology.</t>
  </si>
  <si>
    <t>Missions/Missionary Studies and Missiology, Other.</t>
  </si>
  <si>
    <t>Any instructional program in missions, missionary studies, and missiology not listed above.</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</si>
  <si>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</si>
  <si>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</si>
  <si>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</si>
  <si>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 Music and Worship.</t>
  </si>
  <si>
    <t>Instructional content for this group of programs is defined in codes 39.0501 - 39.0599.</t>
  </si>
  <si>
    <t>Religious/Sacred Music.</t>
  </si>
  <si>
    <t>A program that focuses on the history, theory, composition, and performance of music for religious or sacred purposes, and that prepares individuals for religious musical vocations such as choir directors, cantors, organists, and chanters.</t>
  </si>
  <si>
    <t>Worship Ministry.</t>
  </si>
  <si>
    <t>A program of study that focuses on the use of musical and theatrical arts in Christian worship. Includes instruction in digital media, electronic hardware design and installation, music, theater, and worship theology.</t>
  </si>
  <si>
    <t>Religious Music and Worship, Other.</t>
  </si>
  <si>
    <t>Any instructional program in religious music and worship not listed above.</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</si>
  <si>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</si>
  <si>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</si>
  <si>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</si>
  <si>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</si>
  <si>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</si>
  <si>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</si>
  <si>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</si>
  <si>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</si>
  <si>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</si>
  <si>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</si>
  <si>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Moved from 39.0606 to 38.0207</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</si>
  <si>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</si>
  <si>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</si>
  <si>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</si>
  <si>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</si>
  <si>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</si>
  <si>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</si>
  <si>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</si>
  <si>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</si>
  <si>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</si>
  <si>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</si>
  <si>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</si>
  <si>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</si>
  <si>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</si>
  <si>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</si>
  <si>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Chaplain/Chaplaincy Studies.</t>
  </si>
  <si>
    <t>A program that prepares individuals to provide caregiver, pastoral, and spiritual support in an institutional, hospice, military, or sports setting. Includes instruction in global, healthcare, prison, and sports chaplaincy; addiction, crisis, disaster, family, marriage, grief, and loss counseling; ethics; leadership; multi-cultural, multi-faith contexts; and worship.</t>
  </si>
  <si>
    <t>Pastoral Counseling and Specialized Ministries, Other.</t>
  </si>
  <si>
    <t>Any instructional program in pastoral counseling and specialized ministries not listed above.</t>
  </si>
  <si>
    <t>Religious Institution Administration and Law.</t>
  </si>
  <si>
    <t>Instructional content for this group of programs is defined in codes 39.0801 - 39.0899.</t>
  </si>
  <si>
    <t>Religious Institution Administration and Management.</t>
  </si>
  <si>
    <t>A program that prepares individuals to manage the business affairs and administration of religious institutions. Includes instruction in business management, principles of accounting and financial management, human resources management, taxation of religious institutions, and business law as applied to religious institutions.</t>
  </si>
  <si>
    <t>Religious/Canon Law.</t>
  </si>
  <si>
    <t>A program of study that focuses on the history, theology, and philosophy of religious, church, and ecclesiastical law and that prepares individuals to serve as professional canonists.</t>
  </si>
  <si>
    <t>Religious Institution Administration and Law, Other.</t>
  </si>
  <si>
    <t>Any instructional program in religious institution administration and law not listed above.</t>
  </si>
  <si>
    <t>Theology and Religious Vocations, Other.</t>
  </si>
  <si>
    <t>Instructional content is defined in code 39.9999.</t>
  </si>
  <si>
    <t>Any instructional program in theological studies and religious vocations not listed above.</t>
  </si>
  <si>
    <t>PHYSICAL SCIENCES.</t>
  </si>
  <si>
    <t>Instructional programs that focus on the scientific study of inanimate objects, processes of matter and energy, and associated phenomena.</t>
  </si>
  <si>
    <t>Physical Sciences, General.</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</si>
  <si>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</si>
  <si>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</si>
  <si>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</si>
  <si>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</si>
  <si>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</si>
  <si>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</si>
  <si>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</si>
  <si>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</si>
  <si>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</si>
  <si>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</si>
  <si>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</si>
  <si>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</si>
  <si>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</si>
  <si>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</si>
  <si>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</si>
  <si>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</si>
  <si>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</si>
  <si>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</si>
  <si>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</si>
  <si>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</si>
  <si>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</si>
  <si>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</si>
  <si>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</si>
  <si>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</si>
  <si>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</si>
  <si>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</si>
  <si>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</si>
  <si>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</si>
  <si>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</si>
  <si>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</si>
  <si>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</si>
  <si>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</si>
  <si>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</si>
  <si>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</si>
  <si>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</si>
  <si>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</si>
  <si>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</si>
  <si>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</si>
  <si>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</si>
  <si>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</si>
  <si>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</si>
  <si>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</si>
  <si>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</si>
  <si>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</si>
  <si>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</si>
  <si>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</si>
  <si>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Cheminformatics/Chemistry Informatics.</t>
  </si>
  <si>
    <t>A program that focuses on applying computer science approaches in the representation, analysis, design, and modeling of chemical structures and associated metadata, such as biological activity endpoints and physicochemical properties. Includes instruction in chemical information technology, computational chemistry, computer science, database design, molecular modeling, scientific computing, and statistics.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</si>
  <si>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</si>
  <si>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</si>
  <si>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</si>
  <si>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</si>
  <si>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</si>
  <si>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</si>
  <si>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</si>
  <si>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</si>
  <si>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</si>
  <si>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</si>
  <si>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</si>
  <si>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</si>
  <si>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</si>
  <si>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</si>
  <si>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</si>
  <si>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</si>
  <si>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</si>
  <si>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</si>
  <si>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</si>
  <si>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</si>
  <si>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</si>
  <si>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</si>
  <si>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</si>
  <si>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</si>
  <si>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</si>
  <si>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</si>
  <si>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</si>
  <si>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</si>
  <si>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</si>
  <si>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</si>
  <si>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</si>
  <si>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</si>
  <si>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</si>
  <si>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</si>
  <si>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</si>
  <si>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</si>
  <si>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</si>
  <si>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</si>
  <si>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</si>
  <si>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</si>
  <si>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</si>
  <si>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</si>
  <si>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Materials Sciences.</t>
  </si>
  <si>
    <t>Instructional content for this group of programs is defined in codes 40.1001 - 40.1099.</t>
  </si>
  <si>
    <t>Materials Science.</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</si>
  <si>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</si>
  <si>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</si>
  <si>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</si>
  <si>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Materials Sciences, Other.</t>
  </si>
  <si>
    <t>Any instructional program in materials sciences not listed above.</t>
  </si>
  <si>
    <t>Physics and Astronomy.</t>
  </si>
  <si>
    <t>Instructional content is defined in code 40.1101.</t>
  </si>
  <si>
    <t>A program that focuses on the scientific study of the theories that explain the fundamental structure of our world and the universe and which draws from physics and astronomy. Includes instruction in astronomy, calculus, cosmology, differential equations, electricity, magnetism, data analysis, physics, quantum mechanics, space science, spectroscopy, and thermal physics.</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</si>
  <si>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</si>
  <si>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</si>
  <si>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</si>
  <si>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</si>
  <si>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</si>
  <si>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</si>
  <si>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</si>
  <si>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</si>
  <si>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Biology/Biotechnology Technologies/Technicians.</t>
  </si>
  <si>
    <t>Instructional content is defined in code 41.0101.</t>
  </si>
  <si>
    <t>Biology/Biotechnology Technology/Technician.</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</si>
  <si>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</si>
  <si>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</si>
  <si>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</si>
  <si>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</si>
  <si>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</si>
  <si>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</si>
  <si>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</si>
  <si>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</si>
  <si>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</si>
  <si>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</si>
  <si>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</si>
  <si>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</si>
  <si>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</si>
  <si>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</si>
  <si>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</si>
  <si>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</si>
  <si>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</si>
  <si>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</si>
  <si>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</si>
  <si>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</si>
  <si>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</si>
  <si>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</si>
  <si>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</si>
  <si>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</si>
  <si>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</si>
  <si>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Research and Experimental Psychology.</t>
  </si>
  <si>
    <t>Instructional content for this group of programs is defined in codes 42.2701 - 42.2799.</t>
  </si>
  <si>
    <t>Cognitive Psychology and Psycholinguistics.</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</si>
  <si>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</si>
  <si>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Comparative Psychology.</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</si>
  <si>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</si>
  <si>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Developmental and Child Psychology.</t>
  </si>
  <si>
    <t>A program that focuses on the scientific study of the unique stages of psychological growth and development of individuals from infancy through childhood.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</si>
  <si>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Experimental Psychology.</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</si>
  <si>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</si>
  <si>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Personality Psychology.</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</si>
  <si>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</si>
  <si>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Behavioral Neuroscience.</t>
  </si>
  <si>
    <t>A program that focuses on the scientific study of the biological bases of behavior and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molecular and cellular neuroscience, brain science, anatomy and physiology of the central nervous system, and specialized experimental design and research methods.</t>
  </si>
  <si>
    <t>Social 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</si>
  <si>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</si>
  <si>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Psychometrics and Quantitative Psychology.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</si>
  <si>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</si>
  <si>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Psychopharmacology.</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</si>
  <si>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</si>
  <si>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Developmental and Adolescent Psychology.</t>
  </si>
  <si>
    <t>A program that focuses on the scientific study of the unique stages of psychological growth and development of individuals from adolescence to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</si>
  <si>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</si>
  <si>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</si>
  <si>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</si>
  <si>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</si>
  <si>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Clinical Psychology.</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</si>
  <si>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</si>
  <si>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Community Psychology.</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</si>
  <si>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</si>
  <si>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Counseling Psychology.</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</si>
  <si>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</si>
  <si>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Industrial and Organizational Psychology.</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</si>
  <si>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</si>
  <si>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School Psychology.</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</si>
  <si>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</si>
  <si>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Educational Psychology.</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</si>
  <si>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</si>
  <si>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Clinical Child Psychology.</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</si>
  <si>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</si>
  <si>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Environmental Psychology.</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</si>
  <si>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</si>
  <si>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Geropsychology.</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</si>
  <si>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</si>
  <si>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Health/Medical Psychology.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</si>
  <si>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</si>
  <si>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Family Psychology.</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</si>
  <si>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</si>
  <si>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Forensic Psychology.</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</si>
  <si>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</si>
  <si>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</si>
  <si>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</si>
  <si>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</si>
  <si>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</si>
  <si>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Performance and Sport Psychology.</t>
  </si>
  <si>
    <t>A program that focuses on the motor, physiological, and psychosocial aspects of sport behavior. Includes instruction in applied sport psychology, clinical mental health counseling, coaching, exercise physiology, ethical performance enhancement; human development, leadership and team building, mind-body practices, neuroscience, and personality and health.</t>
  </si>
  <si>
    <t>Somatic Psychology.</t>
  </si>
  <si>
    <t>A program that focuses on a holistic approach to solving interpersonal issues and psychological problems. Includes instruction in authentic movement, body-mind balance and integration, contact improvisation, dance, Pilates, Tai Chi, relaxation techniques, and Yoga.</t>
  </si>
  <si>
    <t>Transpersonal/Spiritual Psychology.</t>
  </si>
  <si>
    <t>A program that prepares individuals to pursue spiritual and psychological practices for counseling. Includes instruction in emotional intelligence, expressive movement, healing practices and rituals, human consciousness, movement and meditation, psychosomatic connection, spiritual systems and wellness, transpersonal counseling, and therapeutic trance.</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</si>
  <si>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</si>
  <si>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</si>
  <si>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</si>
  <si>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</si>
  <si>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</si>
  <si>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</si>
  <si>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</si>
  <si>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</si>
  <si>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43.0100 - 43.0199.</t>
  </si>
  <si>
    <t>Criminal Justice and Corrections, General.</t>
  </si>
  <si>
    <t>A program of study that focuses on the general study of criminal justice and corrections. Includes instruction in criminology, criminal justice, correctional science, forensic science, law enforcement, psychology, and ethics.</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</si>
  <si>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</si>
  <si>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</si>
  <si>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</si>
  <si>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</si>
  <si>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</si>
  <si>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</si>
  <si>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Forensic Science and Technology.</t>
  </si>
  <si>
    <t>Moved from 43.0106 to 43.0406</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</si>
  <si>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</si>
  <si>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</si>
  <si>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</si>
  <si>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</si>
  <si>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</si>
  <si>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</si>
  <si>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Criminalistics and Criminal Science.</t>
  </si>
  <si>
    <t>Moved from 43.0111 to 43.0402</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</si>
  <si>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</si>
  <si>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</si>
  <si>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</si>
  <si>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</si>
  <si>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</si>
  <si>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</si>
  <si>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</si>
  <si>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</si>
  <si>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Cyber/Computer Forensics and Counterterrorism.</t>
  </si>
  <si>
    <t>Moved from 43.0116 to 43.0403</t>
  </si>
  <si>
    <t>Financial Forensics and Fraud Investigation.</t>
  </si>
  <si>
    <t>Moved from 43.0117 to 43.0405</t>
  </si>
  <si>
    <t>Law Enforcement Intelligence Analysis.</t>
  </si>
  <si>
    <t>Moved from 43.0118 to 43.0408</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</si>
  <si>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</si>
  <si>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</si>
  <si>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</si>
  <si>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</si>
  <si>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</si>
  <si>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</si>
  <si>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</si>
  <si>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</si>
  <si>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</si>
  <si>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</si>
  <si>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</si>
  <si>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</si>
  <si>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</si>
  <si>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</si>
  <si>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</si>
  <si>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</si>
  <si>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</si>
  <si>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</si>
  <si>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</si>
  <si>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</si>
  <si>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</si>
  <si>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</si>
  <si>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</si>
  <si>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</si>
  <si>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</si>
  <si>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</si>
  <si>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</si>
  <si>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</si>
  <si>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</si>
  <si>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</si>
  <si>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</si>
  <si>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</si>
  <si>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</si>
  <si>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</si>
  <si>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</si>
  <si>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</si>
  <si>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</si>
  <si>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</si>
  <si>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</si>
  <si>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Security Science and Technology.</t>
  </si>
  <si>
    <t>Instructional content for this group of programs is defined in codes 43.0401 - 43.0499.</t>
  </si>
  <si>
    <t>Security Science and Technology, General.</t>
  </si>
  <si>
    <t>A program of study that focuses on the general application of science and technology to security.</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</si>
  <si>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</si>
  <si>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</si>
  <si>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Cybersecurity Defense Strategy/Policy.</t>
  </si>
  <si>
    <t>A program that focuses on the study of strategy, policy, and standards regarding the security of and operations in cyberspace. Includes instruction in incident response, information assurance, recovery policies, vulnerability reduction, deterrence, threat reduction, and resiliency.</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</si>
  <si>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</si>
  <si>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</si>
  <si>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Geospatial Intelligence.</t>
  </si>
  <si>
    <t>A program that prepares individuals to analyze security and intelligence problems using a geographic perspective by relating human actions to cultural, political, economic, social, and physical landscapes. Includes instruction in aerial photography analysis, cartography, geographic information systems (GIS), physical geography, remote sensing, spatial programming, and quantitative methods in geographic research.</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</si>
  <si>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</si>
  <si>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Security Science and Technology, Other.</t>
  </si>
  <si>
    <t>Any instructional program in security science and technology not listed above.</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</si>
  <si>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</si>
  <si>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</si>
  <si>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</si>
  <si>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</si>
  <si>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</si>
  <si>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</si>
  <si>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</si>
  <si>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</si>
  <si>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</si>
  <si>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</si>
  <si>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organizing and providing services to communities. May prepare individuals to apply such knowledge and skills in community service positions.</t>
  </si>
  <si>
    <t>Public Administration.</t>
  </si>
  <si>
    <t>Instructional content for this group of programs is defined in codes 44.0401 - 44.0499.</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</si>
  <si>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</si>
  <si>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Works Management.</t>
  </si>
  <si>
    <t>A program of study that focuses on public works management skills and public works operation. Includes instruction in accountability, budget, conflict resolution strategies, ethics, finance, human resources, labor and employee relations, and operations management.</t>
  </si>
  <si>
    <t>Transportation and Infrastructure Planning/Studies.</t>
  </si>
  <si>
    <t>A program that focuses on the economic, social, spatial, and environmental aspects of transportation and infrastructure planning. Includes instruction in economics, environmental analysis, geographic information systems (GIS), logistics, risk analysis, transportation economics, transportation evaluation, transportation planning, transportation policy, and urban transportation planning.</t>
  </si>
  <si>
    <t>Public Administration, Other.</t>
  </si>
  <si>
    <t>Any program in public administration not listed above.</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</si>
  <si>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</si>
  <si>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</si>
  <si>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</si>
  <si>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</si>
  <si>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</si>
  <si>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</si>
  <si>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</si>
  <si>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</si>
  <si>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</si>
  <si>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</si>
  <si>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</si>
  <si>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</si>
  <si>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</si>
  <si>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</si>
  <si>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</si>
  <si>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</si>
  <si>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</si>
  <si>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Forensic Social Work.</t>
  </si>
  <si>
    <t>A program that prepares individuals to serve as social workers in correctional facilities, mental health hospitals, the justice system, substance abuse treatment programs, and victim assistance. Includes instruction in forensic social work, criminal justice administration, domestic violence, ethics, juvenile justice systems, mental illness and crime, program evaluation, and research methods.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</si>
  <si>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</si>
  <si>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</si>
  <si>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</si>
  <si>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</si>
  <si>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</si>
  <si>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</si>
  <si>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</si>
  <si>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</si>
  <si>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45.0101 - 45.0199.</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</si>
  <si>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</si>
  <si>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</si>
  <si>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</si>
  <si>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Survey Research/Methodology.</t>
  </si>
  <si>
    <t>A program that focuses on survey research design to gather data about behaviors, demographics, opinions, and data analysis to answer complex questions. Includes instruction in the analysis of survey data, cross-cultural and multi-population survey methodology, data collection methods, modes of survey analysis, quantitative analysis, questionnaire design, research design, sampling, survey error, and structural equation modeling.</t>
  </si>
  <si>
    <t>Social Sciences, Other.</t>
  </si>
  <si>
    <t>Any program in general social sciences not listed above.</t>
  </si>
  <si>
    <t>Anthropology.</t>
  </si>
  <si>
    <t>Instructional content for this group of programs is defined in codes 45.0201 - 45.0299.</t>
  </si>
  <si>
    <t>Anthropology, General.</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</si>
  <si>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</si>
  <si>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</si>
  <si>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</si>
  <si>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</si>
  <si>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</si>
  <si>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</si>
  <si>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enthnography, linguistics, and quantitative and qualitative research methods.</t>
  </si>
  <si>
    <t>Forensic Anthropology.</t>
  </si>
  <si>
    <t>A program that focuses on the application of the biological sciences and skeletal anthropology in medicolegal death investigations. Includes instruction in biological anthropology theory, crime scene investigation, forensic anthropology field methods, forensic anthropological techniques and procedures, human anatomy, methods of human identification, mortuary archaeology, osteology, and taphonomy.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</si>
  <si>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</si>
  <si>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</si>
  <si>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</si>
  <si>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</si>
  <si>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</si>
  <si>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</si>
  <si>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</si>
  <si>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</si>
  <si>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Demography.</t>
  </si>
  <si>
    <t>Instructional content for this group of programs is defined in codes 45.0501 - 45.0599.</t>
  </si>
  <si>
    <t>Demography and Population Studies.</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</si>
  <si>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</si>
  <si>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Applied Demography.</t>
  </si>
  <si>
    <t>A program of study that focuses on the practical application of demographic methods and materials for decision-making in business, education, health, and government. Includes instruction in statistics, research methods, geographic information systems, and demographic methods and techniques.</t>
  </si>
  <si>
    <t>Demography, Other.</t>
  </si>
  <si>
    <t>Any instructional program in demography not listed above.</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</si>
  <si>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</si>
  <si>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</si>
  <si>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</si>
  <si>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</si>
  <si>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</si>
  <si>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</si>
  <si>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</si>
  <si>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</si>
  <si>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</si>
  <si>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</si>
  <si>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</si>
  <si>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</si>
  <si>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Economics, Other.</t>
  </si>
  <si>
    <t>Any instructional program in economics not listed above.</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</si>
  <si>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</si>
  <si>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</si>
  <si>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</si>
  <si>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</si>
  <si>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</si>
  <si>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</si>
  <si>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</si>
  <si>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</si>
  <si>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</si>
  <si>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</si>
  <si>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</si>
  <si>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</si>
  <si>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</si>
  <si>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</si>
  <si>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</si>
  <si>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</si>
  <si>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</si>
  <si>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</si>
  <si>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</si>
  <si>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</si>
  <si>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</si>
  <si>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</si>
  <si>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</si>
  <si>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</si>
  <si>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</si>
  <si>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</si>
  <si>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Political Science and Government, Other.</t>
  </si>
  <si>
    <t>Any instructional program in political science and government not listed above.</t>
  </si>
  <si>
    <t>Sociology.</t>
  </si>
  <si>
    <t>Instructional content for this group of programs is defined in codes 45.1101 - 45.1199.</t>
  </si>
  <si>
    <t>Sociology, General.</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</si>
  <si>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</si>
  <si>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Applied/Public Sociology.</t>
  </si>
  <si>
    <t>A program that focuses on the application of sociological theory, methods, skills, and research to resolve particular issues in real-world settings. Includes instruction in data collection, group and organizational dynamics, participatory action research, program evaluation, sociological research methods, and sociological theory.</t>
  </si>
  <si>
    <t>Rural Sociology.</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</si>
  <si>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</si>
  <si>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Sociology, Other.</t>
  </si>
  <si>
    <t>Any instructional program in sociology not listed above.</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</si>
  <si>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</si>
  <si>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</si>
  <si>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</si>
  <si>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</si>
  <si>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</si>
  <si>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</si>
  <si>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Deleted</t>
  </si>
  <si>
    <t>Deleted, Report under 45.1103</t>
  </si>
  <si>
    <t>Moved from 45.1401 to 45.1103</t>
  </si>
  <si>
    <t>Geography and Anthropology.</t>
  </si>
  <si>
    <t>Instructional content is defined in code 45.1501.</t>
  </si>
  <si>
    <t>A program that focuses on human cultures and their adaptation to physical environments. Includes instruction in archaeology, biogeography, climatology, cultural anthropology, cultural geography, economic development, environmental geography, geomorphology, global environmental change, historical geography, mapping sciences, physical anthropology, political ecology, Quaternary studies, and urban geography.</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</si>
  <si>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</si>
  <si>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</si>
  <si>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</si>
  <si>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</si>
  <si>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</si>
  <si>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</si>
  <si>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</si>
  <si>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</si>
  <si>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</si>
  <si>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</si>
  <si>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</si>
  <si>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</si>
  <si>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</si>
  <si>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</si>
  <si>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</si>
  <si>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</si>
  <si>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</si>
  <si>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</si>
  <si>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</si>
  <si>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</si>
  <si>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</si>
  <si>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</si>
  <si>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</si>
  <si>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</si>
  <si>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</si>
  <si>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</si>
  <si>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</si>
  <si>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</si>
  <si>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</si>
  <si>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</si>
  <si>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</si>
  <si>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</si>
  <si>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</si>
  <si>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</si>
  <si>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</si>
  <si>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</si>
  <si>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</si>
  <si>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</si>
  <si>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</si>
  <si>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</si>
  <si>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</si>
  <si>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</si>
  <si>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</si>
  <si>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</si>
  <si>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Carpet, Floor, and Tile Worker.</t>
  </si>
  <si>
    <t>A program that prepares individuals to plan, prepare, install, and repair carpet; linoleum; vinyl; ceramic, marble, quarry, mosaic, and terazzo tiles; and wood materials on floors, walls, and stairs. Includes instruction in measuring, cutting, and installing materials; use of hand and power-operated equipment; estimation of material and labor costs; and safety training.</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</si>
  <si>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</si>
  <si>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</si>
  <si>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Building Construction Technology/Technician.</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</si>
  <si>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</si>
  <si>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</si>
  <si>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</si>
  <si>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</si>
  <si>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</si>
  <si>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</si>
  <si>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</si>
  <si>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</si>
  <si>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</si>
  <si>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</si>
  <si>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</si>
  <si>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</si>
  <si>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</si>
  <si>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</si>
  <si>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</si>
  <si>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</si>
  <si>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</si>
  <si>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</si>
  <si>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</si>
  <si>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</si>
  <si>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</si>
  <si>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</si>
  <si>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</si>
  <si>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Technologies/Technicians.</t>
  </si>
  <si>
    <t>Instructional content for this group of programs is defined in codes 47.0101 - 47.0199.</t>
  </si>
  <si>
    <t>Electrical/Electronics Equipment Installation and Repair Technology/Technician,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</si>
  <si>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</si>
  <si>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</si>
  <si>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</si>
  <si>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Technology/Technician.</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</si>
  <si>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</si>
  <si>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</si>
  <si>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</si>
  <si>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</si>
  <si>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</si>
  <si>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</si>
  <si>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</si>
  <si>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</si>
  <si>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</si>
  <si>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Technologies/Technicians, Other.</t>
  </si>
  <si>
    <t>Any instructional program in electrical and electronics equipment installation and repair technologies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</si>
  <si>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</si>
  <si>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</si>
  <si>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</si>
  <si>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</si>
  <si>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Heavy/Industrial Equipment Maintenance Technologies/Technicians.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</si>
  <si>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</si>
  <si>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</si>
  <si>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</si>
  <si>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Industrial Mechanics and Maintenance Technology/Technician.</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</si>
  <si>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</si>
  <si>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Heavy/Industrial Equipment Maintenance Technologies/Technicians, Other.</t>
  </si>
  <si>
    <t>Any instructional program in heavy or industrial equipment maintenance technologies not listed above.</t>
  </si>
  <si>
    <t>Precision Systems Maintenance and Repair Technologies/Technicians.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</si>
  <si>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</si>
  <si>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</si>
  <si>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</si>
  <si>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</si>
  <si>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</si>
  <si>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</si>
  <si>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</si>
  <si>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</si>
  <si>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</si>
  <si>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</si>
  <si>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</si>
  <si>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Precision Systems Maintenance and Repair Technologies/Technicians, Other.</t>
  </si>
  <si>
    <t>Any instructional program in precision systems maintenance and repair not listed above.</t>
  </si>
  <si>
    <t>Vehicle Maintenance and Repair Technologies/Technicians.</t>
  </si>
  <si>
    <t>Instructional content for this group of programs is defined in codes 47.0600 - 47.0699.</t>
  </si>
  <si>
    <t>Vehicle Maintenance and Repair Technology/Technician,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</si>
  <si>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</si>
  <si>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</si>
  <si>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</si>
  <si>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</si>
  <si>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</si>
  <si>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</si>
  <si>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</si>
  <si>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</si>
  <si>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</si>
  <si>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</si>
  <si>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</si>
  <si>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</si>
  <si>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</si>
  <si>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</si>
  <si>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</si>
  <si>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</si>
  <si>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</si>
  <si>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</si>
  <si>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</si>
  <si>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</si>
  <si>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</si>
  <si>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</si>
  <si>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</si>
  <si>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</si>
  <si>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</si>
  <si>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</si>
  <si>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</si>
  <si>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</si>
  <si>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</si>
  <si>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</si>
  <si>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</si>
  <si>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</si>
  <si>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</si>
  <si>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Vehicle Maintenance and Repair Technologies/Technicians, Other.</t>
  </si>
  <si>
    <t>Any instructional program in vehicle maintenance and repair technologies not listed above.</t>
  </si>
  <si>
    <t>Energy Systems Maintenance and Repair Technologies/Technicians.</t>
  </si>
  <si>
    <t>Instructional content for this group of programs is defined in codes 47.0701 - 47.0799.</t>
  </si>
  <si>
    <t>Energy Systems Installation and Repair Technology/Technician.</t>
  </si>
  <si>
    <t>A program that prepares individuals to apply technical knowledge and skills to assemble, install, operate, maintain, and repair energy systems. Includes instruction in installing, maintaining and testing various types of equipment.</t>
  </si>
  <si>
    <t>Solar Energy System Installation and Repair Technology/Technician.</t>
  </si>
  <si>
    <t>A program that prepares individuals to apply technical knowledge and skills to assemble, install, operate, maintain, and repair solar energy systems. Includes instruction in installing, maintaining and testing various types of equipment.</t>
  </si>
  <si>
    <t>Wind Energy System Installation and Repair Technology/Technician.</t>
  </si>
  <si>
    <t>A program that prepares individuals to apply technical knowledge and skills to assemble, install, operate, maintain, and repair wind energy systems. Includes instruction in installing, maintaining and testing various types of equipment.</t>
  </si>
  <si>
    <t>Hydroelectric Energy System Installation and Repair Technology/Technician.</t>
  </si>
  <si>
    <t>A program that prepares individuals to apply technical knowledge and skills to assemble, install, operate, maintain, and repair hydroelectric energy systems. Includes instruction in installing, maintaining and testing various types of equipment.</t>
  </si>
  <si>
    <t>Geothermal Energy System Installation and Repair Technology/Technician.</t>
  </si>
  <si>
    <t>A program that prepares individuals to apply technical knowledge and skills to assemble, install, operate, maintain, and repair geothermal energy systems. Includes instruction in installing, maintaining and testing various types of equipment.</t>
  </si>
  <si>
    <t>Energy Systems Maintenance and Repair Technologies/Technicians, Other.</t>
  </si>
  <si>
    <t>Any instructional program in energy systems maintenance and repair technologies not listed above.</t>
  </si>
  <si>
    <t>Mechanic and Repair Technologies/Technicians, Other.</t>
  </si>
  <si>
    <t>Instructional content is defined in code 47.9999.</t>
  </si>
  <si>
    <t>Any instructional program in mechanic and repair technologies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</si>
  <si>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</si>
  <si>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</si>
  <si>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</si>
  <si>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</si>
  <si>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</si>
  <si>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</si>
  <si>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</si>
  <si>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</si>
  <si>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</si>
  <si>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</si>
  <si>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</si>
  <si>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</si>
  <si>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</si>
  <si>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</si>
  <si>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</si>
  <si>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</si>
  <si>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</si>
  <si>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</si>
  <si>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</si>
  <si>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</si>
  <si>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</si>
  <si>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</si>
  <si>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</si>
  <si>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</si>
  <si>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</si>
  <si>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</si>
  <si>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</si>
  <si>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</si>
  <si>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</si>
  <si>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</si>
  <si>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</si>
  <si>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</si>
  <si>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</si>
  <si>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</si>
  <si>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</si>
  <si>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</si>
  <si>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</si>
  <si>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</si>
  <si>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</si>
  <si>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</si>
  <si>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</si>
  <si>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Wooden Boatbuilding Technology/Technician.</t>
  </si>
  <si>
    <t>A program that prepares individuals to apply technical knowledge and skills to construct and repair traditional and modern wooden boats. Includes instruction in budgeting, drafting, fairing, lofting, joinery, planking, spars and rigging, and woodworking.</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</si>
  <si>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</si>
  <si>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</si>
  <si>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</si>
  <si>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</si>
  <si>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</si>
  <si>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Precision Production, Other.</t>
  </si>
  <si>
    <t>Instructional content is defined in code 48.9999.</t>
  </si>
  <si>
    <t>Any instructional program in precision production not listed above.</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</si>
  <si>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</si>
  <si>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</si>
  <si>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</si>
  <si>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</si>
  <si>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</si>
  <si>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</si>
  <si>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</si>
  <si>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</si>
  <si>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</si>
  <si>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</si>
  <si>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</si>
  <si>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</si>
  <si>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</si>
  <si>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</si>
  <si>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</si>
  <si>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</si>
  <si>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</si>
  <si>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</si>
  <si>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</si>
  <si>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</si>
  <si>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</si>
  <si>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backfiling, clearing and excavating.</t>
  </si>
  <si>
    <t>Truck and Bus Driver/Commercial Vehicle Operator and Instructor.</t>
  </si>
  <si>
    <t>A program that prepares individuals to apply technical knowledge and skills to drive trucks and buses, delivery vehicles, for-hire vehicles and other commercial vehicles, or to instruct commerical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</si>
  <si>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Operator/Operation.</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</si>
  <si>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</si>
  <si>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</si>
  <si>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</si>
  <si>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</si>
  <si>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</si>
  <si>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Forklift Operation/Operator.</t>
  </si>
  <si>
    <t>A program that prepares individuals to operate forklifts in a variety of work environments. Includes instruction in accident prevention, forklift operation, materials handling, and worksite safety.</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</si>
  <si>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</si>
  <si>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</si>
  <si>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</si>
  <si>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</si>
  <si>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</si>
  <si>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</si>
  <si>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</si>
  <si>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</si>
  <si>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</si>
  <si>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</si>
  <si>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</si>
  <si>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</si>
  <si>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</si>
  <si>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</si>
  <si>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</si>
  <si>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</si>
  <si>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</si>
  <si>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</si>
  <si>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</si>
  <si>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</si>
  <si>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</si>
  <si>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</si>
  <si>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</si>
  <si>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</si>
  <si>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</si>
  <si>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</si>
  <si>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</si>
  <si>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</si>
  <si>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</si>
  <si>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</si>
  <si>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</si>
  <si>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</si>
  <si>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</si>
  <si>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</si>
  <si>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</si>
  <si>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</si>
  <si>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</si>
  <si>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</si>
  <si>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</si>
  <si>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</si>
  <si>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</si>
  <si>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</si>
  <si>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</si>
  <si>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</si>
  <si>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</si>
  <si>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</si>
  <si>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</si>
  <si>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</si>
  <si>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</si>
  <si>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</si>
  <si>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</si>
  <si>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</si>
  <si>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</si>
  <si>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</si>
  <si>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</si>
  <si>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</si>
  <si>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</si>
  <si>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</si>
  <si>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</si>
  <si>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</si>
  <si>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</si>
  <si>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</si>
  <si>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</si>
  <si>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</si>
  <si>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</si>
  <si>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</si>
  <si>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</si>
  <si>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</si>
  <si>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</si>
  <si>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</si>
  <si>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</si>
  <si>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</si>
  <si>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</si>
  <si>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Comedy Writing and Performance.</t>
  </si>
  <si>
    <t>A program that focuses on the historical, cultural, and theoretical dimensions of comedy as an art form, and the writing, performance, and production of comedy. Includes instruction in comedic storytelling, comedy production, comedy writing, history of comedy, improvisation, and sketch writing.</t>
  </si>
  <si>
    <t>Theatre and Dance.</t>
  </si>
  <si>
    <t>A program of study that focuses on integrating the studies of dance and theatre arts to provide perspectives in all facets of production, performance, and critical engagement. Includes instruction in acting, aesthetics, choreography, costume design, criticism, dance, improvisation, music analysis, playwriting, theatre performance history, scene design, stage lighting, and technical theatre.</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</si>
  <si>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</si>
  <si>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</si>
  <si>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</si>
  <si>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</si>
  <si>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Film/Cinema/Media Studies.</t>
  </si>
  <si>
    <t>A program in the visual arts that focuses on the study of the history, development, theory, and criticism of the film/media arts, as well as the basic principles of filmmaking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</si>
  <si>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</si>
  <si>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</si>
  <si>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</si>
  <si>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</si>
  <si>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</si>
  <si>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</si>
  <si>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</si>
  <si>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</si>
  <si>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</si>
  <si>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</si>
  <si>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</si>
  <si>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</si>
  <si>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</si>
  <si>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</si>
  <si>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</si>
  <si>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</si>
  <si>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</si>
  <si>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</si>
  <si>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</si>
  <si>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</si>
  <si>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</si>
  <si>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</si>
  <si>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</si>
  <si>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</si>
  <si>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</si>
  <si>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</si>
  <si>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</si>
  <si>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</si>
  <si>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</si>
  <si>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</si>
  <si>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Jewelry Arts.</t>
  </si>
  <si>
    <t>A program that prepares individuals creatively and technically to express emotions, ideas, or inner visions by fashioning jewelry from gems, other stones, and precious metals. Includes instruction in design concepts, electroforming, enameling, gemology, lapidary technique and art, metal and non-metal casting and molding, metal coloring, metalsmithing and finishing, personal style development, photo etching, and stone cutting and polishing.</t>
  </si>
  <si>
    <t>Metal Arts.</t>
  </si>
  <si>
    <t>A program that focuses on the development of individual artistic expression and technical skills necessary for fabricating refined metal works. Includes instruction in aesthetics, anodizing, art history, casting, design, electroforming, enameling, metalsmithing, sculpture, two and three-dimensional design, wax carving, and welding.</t>
  </si>
  <si>
    <t>Fine Arts and Art Studies, Other.</t>
  </si>
  <si>
    <t>Any instructional program in fine arts and art studies not listed above.</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</si>
  <si>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</si>
  <si>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</si>
  <si>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</si>
  <si>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</si>
  <si>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</si>
  <si>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</si>
  <si>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</si>
  <si>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</si>
  <si>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</si>
  <si>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</si>
  <si>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</si>
  <si>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</si>
  <si>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</si>
  <si>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</si>
  <si>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</si>
  <si>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</si>
  <si>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</si>
  <si>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</si>
  <si>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</si>
  <si>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</si>
  <si>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</si>
  <si>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</si>
  <si>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</si>
  <si>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</si>
  <si>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</si>
  <si>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Brass Instruments.</t>
  </si>
  <si>
    <t>A program that prepares individuals to master a brass instrument and performing art as solo, ensemble, and/or accompanist performers. Includes instruction in playing and personal style development.</t>
  </si>
  <si>
    <t>Woodwind Instruments.</t>
  </si>
  <si>
    <t>A program that prepares individuals to master a woodwind instrument and performing art as solo, ensemble, and/or accompanist  performers. Includes instruction in playing and personal style development.</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</si>
  <si>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</si>
  <si>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</si>
  <si>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Sound Arts.</t>
  </si>
  <si>
    <t>A program that focuses on sound as a form of cultural expression, and its relationship to other disciplines such as computer programming, performance, and video. Includes instruction in acoustics; arranging, composing, and editing music; music theory; musicology; orchestration and scoring; and sound design.</t>
  </si>
  <si>
    <t>Music, Other.</t>
  </si>
  <si>
    <t>Any instructional program in music not listed above.</t>
  </si>
  <si>
    <t>Arts, Entertainment, and Media Management.</t>
  </si>
  <si>
    <t>Instructional content for this group of programs is defined in codes 50.1001 - 50.1099.</t>
  </si>
  <si>
    <t>Arts, Entertainment, 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</si>
  <si>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</si>
  <si>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</si>
  <si>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</si>
  <si>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</si>
  <si>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</si>
  <si>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Theatre/Theatre Arts Management.</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</si>
  <si>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</si>
  <si>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</si>
  <si>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</si>
  <si>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Community/Environmental/Socially-Engaged Art.</t>
  </si>
  <si>
    <t>Instructional content is defined in code 50.1101.</t>
  </si>
  <si>
    <t>A program that focuses on using the arts to promote activism, civic dialog, community development, ecological and environmental awareness, or social justice. Includes instruction in community organizing, cultural criticism, social practice, studio art, and visual and performing arts.</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</si>
  <si>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</si>
  <si>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</si>
  <si>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</si>
  <si>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</si>
  <si>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</si>
  <si>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</si>
  <si>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</si>
  <si>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</si>
  <si>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</si>
  <si>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</si>
  <si>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</si>
  <si>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</si>
  <si>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</si>
  <si>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</si>
  <si>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</si>
  <si>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</si>
  <si>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</si>
  <si>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</si>
  <si>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</si>
  <si>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</si>
  <si>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</si>
  <si>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</si>
  <si>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</si>
  <si>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Communication Disorders Sciences and Services, Other.</t>
  </si>
  <si>
    <t>Any  instructional program in communications disorders sciences and services not listed above.</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</si>
  <si>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</si>
  <si>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</si>
  <si>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</si>
  <si>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</si>
  <si>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</si>
  <si>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</si>
  <si>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</si>
  <si>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</si>
  <si>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</si>
  <si>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</si>
  <si>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</si>
  <si>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</si>
  <si>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</si>
  <si>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</si>
  <si>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</si>
  <si>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</si>
  <si>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</si>
  <si>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</si>
  <si>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</si>
  <si>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</si>
  <si>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</si>
  <si>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</si>
  <si>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and the treatment of handicapped patients.</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</si>
  <si>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</si>
  <si>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occulsion, nutritional aspects of periodontology, surgical treatments, and patient care and management.</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</si>
  <si>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</si>
  <si>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</si>
  <si>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Digital Dentistry.</t>
  </si>
  <si>
    <t>A program that focuses on the use of digital and CAD/CAM technology in dental treatment. Includes instruction in digital diagnostic and treatment planning techniques, CAD/CAM restoration, and patient management.</t>
  </si>
  <si>
    <t>Geriatric Dentistry.</t>
  </si>
  <si>
    <t>A program that focuses on the advanced study of the therapeutic and preventive care of the oral health of geriatric patients. Includes instruction in aging, preventive medicine, diet therapy and counseling, geriatric restorative procedures, pulp therapy, trauma management, anesthesia, treatment planning, and patient management.</t>
  </si>
  <si>
    <t>Implantology/Implant Dentistry.</t>
  </si>
  <si>
    <t>A program that focuses on dental implantology. Includes instruction in diagnosis and treatment planning, surgical protocols, implant placement, sinus grafting, guided bone regeneration, soft tissue grafting, prosthetic protocols, prosthesis design, and aftercare.</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</si>
  <si>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</si>
  <si>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</si>
  <si>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</si>
  <si>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</si>
  <si>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</si>
  <si>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</si>
  <si>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</si>
  <si>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</si>
  <si>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</si>
  <si>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</si>
  <si>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</si>
  <si>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</si>
  <si>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</si>
  <si>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</si>
  <si>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</si>
  <si>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</si>
  <si>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</si>
  <si>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</si>
  <si>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</si>
  <si>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</si>
  <si>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</si>
  <si>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</si>
  <si>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</si>
  <si>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</si>
  <si>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</si>
  <si>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</si>
  <si>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</si>
  <si>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</si>
  <si>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</si>
  <si>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</si>
  <si>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</si>
  <si>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</si>
  <si>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</si>
  <si>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</si>
  <si>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</si>
  <si>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</si>
  <si>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</si>
  <si>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</si>
  <si>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</si>
  <si>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</si>
  <si>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</si>
  <si>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</si>
  <si>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</si>
  <si>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</si>
  <si>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</si>
  <si>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</si>
  <si>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</si>
  <si>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</si>
  <si>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</si>
  <si>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</si>
  <si>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</si>
  <si>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</si>
  <si>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Regulatory Science/Affairs.</t>
  </si>
  <si>
    <t>A program that prepares individuals to manage the regulatory process for companies innovating and developing cutting edge products in science, biotechnology, pharmaceuticals, and medicine. Includes instruction in regulatory affairs, clinical documentation, human and animal subject protection, Food and Drug Administration (FDA) regulations, data management and analysis, good manufacturing practices, and quality management.</t>
  </si>
  <si>
    <t>Disease Registry Data Management.</t>
  </si>
  <si>
    <t>A program that prepares individuals to find, interpret, and record demographic and medical information on individuals for healthcare agencies and disease registries. Includes instruction in anatomy, data management, disease registry organization and operations, epidemiology, ethics, fundamentals of disease coding and staging, medical terminology, pathophysiology, pharmacology, physiology, quality management, and statistics.</t>
  </si>
  <si>
    <t>Healthcare Innovation.</t>
  </si>
  <si>
    <t>A program that prepares individuals to innovate solutions and lead change within a healthcare organization. Includes instruction in innovation management, medical device development, evidence-based practice, systems thinking, information technology, healthcare policy and finance, organizational change, and leadership.</t>
  </si>
  <si>
    <t>Healthcare Information Privacy Assurance and Security.</t>
  </si>
  <si>
    <t>A program that prepares individuals for careers in designing, implementing, and administering comprehensive privacy and security protection programs in all types of healthcare organizations. Includes instruction in health information ethics, healthcare information privacy and security, healthcare compliance, healthcare information security and disaster recovery, and healthcare privacy law.</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</si>
  <si>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</si>
  <si>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</si>
  <si>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</si>
  <si>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</si>
  <si>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</si>
  <si>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</si>
  <si>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</si>
  <si>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</si>
  <si>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</si>
  <si>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</si>
  <si>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</si>
  <si>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</si>
  <si>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</si>
  <si>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behavioral sciences, biomechanics, clinical documentation, clinical pathology, communication, exercise physiology, kinesiology, neuroscience, and professional standards and ethics.</t>
  </si>
  <si>
    <t>Moved from 51.0808 to 01.8301</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</si>
  <si>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</si>
  <si>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</si>
  <si>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</si>
  <si>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</si>
  <si>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</si>
  <si>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</si>
  <si>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</si>
  <si>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</si>
  <si>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Technician/Assistant.</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</si>
  <si>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</si>
  <si>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</si>
  <si>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</si>
  <si>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</si>
  <si>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</si>
  <si>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</si>
  <si>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</si>
  <si>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</si>
  <si>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</si>
  <si>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</si>
  <si>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</si>
  <si>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</si>
  <si>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</si>
  <si>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</si>
  <si>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</si>
  <si>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</si>
  <si>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</si>
  <si>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</si>
  <si>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</si>
  <si>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</si>
  <si>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</si>
  <si>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</si>
  <si>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</si>
  <si>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</si>
  <si>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</si>
  <si>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</si>
  <si>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</si>
  <si>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</si>
  <si>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</si>
  <si>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</si>
  <si>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</si>
  <si>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</si>
  <si>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</si>
  <si>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</si>
  <si>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</si>
  <si>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</si>
  <si>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</si>
  <si>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</si>
  <si>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</si>
  <si>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</si>
  <si>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</si>
  <si>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</si>
  <si>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</si>
  <si>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</si>
  <si>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</si>
  <si>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</si>
  <si>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</si>
  <si>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Mammography Technology/Technician.</t>
  </si>
  <si>
    <t>A program that prepares registered radiographers to become registered mammographers. Includes instruction in anatomy and physiology, mammography instrumentation, mammography positioning, principles and procedures of mammography, and quality assurance.</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</si>
  <si>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</si>
  <si>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</si>
  <si>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Hyperbaric Medicine Technology/Technician.</t>
  </si>
  <si>
    <t>A program that prepares individuals, under the supervision of physicians, to operate hyperbaric (recompression) chambers for the treatment of disease. Includes instruction in patient assessment and management, hyperbaric safety, physics of hyperbaric and hypobaric exposures, physiology, hyperbaric chamber operation, and air decompression procedures.</t>
  </si>
  <si>
    <t>Intraoperative Neuromonitoring Technology/Technician.</t>
  </si>
  <si>
    <t>A program that prepares individuals, under the supervision of physicians, to become neuromonitoring technicians who analyze, monitor, and record nervous system function to promote the effective treatment of pathological conditions. Includes instruction in EEG technology, EMG technology, anatomy, and neuroanatomy.</t>
  </si>
  <si>
    <t>Orthopedic Technology/Technician.</t>
  </si>
  <si>
    <t>A program that prepares individuals, under the supervision of physicians, to cast, splint, and brace orthopedic injuries. Includes instruction in patient assessment; casting, splinting, and orthopedic appliances; radiographic interpretation; traction; and wound care.</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</si>
  <si>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</si>
  <si>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</si>
  <si>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</si>
  <si>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</si>
  <si>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</si>
  <si>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</si>
  <si>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</si>
  <si>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</si>
  <si>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</si>
  <si>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</si>
  <si>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</si>
  <si>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</si>
  <si>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</si>
  <si>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</si>
  <si>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</si>
  <si>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</si>
  <si>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</si>
  <si>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</si>
  <si>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</si>
  <si>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</si>
  <si>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</si>
  <si>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</si>
  <si>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</si>
  <si>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</si>
  <si>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</si>
  <si>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</si>
  <si>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</si>
  <si>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</si>
  <si>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Clinical/Medical Laboratory Science and Allied Professions, Other.</t>
  </si>
  <si>
    <t>Any instructional program in clinical/medical laboratory science and allied professions not listed above.</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</si>
  <si>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</si>
  <si>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</si>
  <si>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</si>
  <si>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</si>
  <si>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</si>
  <si>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</si>
  <si>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</si>
  <si>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</si>
  <si>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Moved from 51.1104 to 01.1302</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</si>
  <si>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</si>
  <si>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</si>
  <si>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</si>
  <si>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</si>
  <si>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</si>
  <si>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</si>
  <si>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</si>
  <si>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</si>
  <si>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</si>
  <si>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</si>
  <si>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Pre-Art Therapy.</t>
  </si>
  <si>
    <t>A program that prepares individuals for admission to a professional art therapy program.</t>
  </si>
  <si>
    <t>Pre-Physician Assistant.</t>
  </si>
  <si>
    <t>A program that prepares individuals for admission to a professional physician assistant program.</t>
  </si>
  <si>
    <t>Health/Medical Preparatory Programs, Other.</t>
  </si>
  <si>
    <t>Any instructional program in health and medical professional preparation not listed above.</t>
  </si>
  <si>
    <t>Medicine.</t>
  </si>
  <si>
    <t>Instructional content for this group of programs is defined in codes 51.1201 - 51.1299.</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</si>
  <si>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</si>
  <si>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Osteopathic Medicine/Osteopathy.</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</si>
  <si>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</si>
  <si>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Podiatric Medicine/Podiatry.</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</si>
  <si>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</si>
  <si>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Medicine, Other.</t>
  </si>
  <si>
    <t>Any program in medicine not listed above.</t>
  </si>
  <si>
    <t>Medical Clinical Sciences/Graduate Medical Studies.</t>
  </si>
  <si>
    <t>Instructional content for this group of programs is defined in codes 51.1401 - 51.1499.</t>
  </si>
  <si>
    <t>Medical Science/Scientist.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</si>
  <si>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</si>
  <si>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Clinical and Translational Science.</t>
  </si>
  <si>
    <t>A program of study that prepares clinicians to direct a broad range of scientific or clinical or translational studies, translate scientific knowledge into clinical practice, and bridge clinical science with laboratory investigations. Includes instruction in bioinformatics, Information technology, biostatistics, epidemiology, grant writing, management and analysis of clinical data, clinical and translational research law and policy, responsible conduct of research, and scientific writing.</t>
  </si>
  <si>
    <t>Pain Management.</t>
  </si>
  <si>
    <t>A post-residency program of study that prepares physicians in the diagnosis, management, and treatment of acute and chronic pain. Includes instruction in anesthesiology, pain assessment, pain classification and diagnosis, pain neuroscience, palliative and end-of-life care, physical medicine and rehabilitation, psychiatry of pain, pain pharmacology, public policy, and legal issues of pain management.</t>
  </si>
  <si>
    <t>Temporomandibular Disorders and Orofacial Pain.</t>
  </si>
  <si>
    <t>A program that prepares clinicians to evaluate, diagnose, and treat of a wide variety of temporomandibular disorders (TMD) and orofacial pain disorders as well as the treatment of sleep apnea and snoring with intraoral appliances. Includes instruction in head and neck anatomy, physical diagnosis and evaluation, orofacial pain, neurobiology of pain and analgesia, and diagnostic radiography.</t>
  </si>
  <si>
    <t>Tropical Medicine.</t>
  </si>
  <si>
    <t>A program that prepares clinicians to prevent and control vector-borne and tropical infectious diseases. Includes instruction in microbiology, parasitology, mycology, virology, vector biology, vaccinology, laboratory diagnosis, travelers' health, epidemiology, and disease management.</t>
  </si>
  <si>
    <t>Medical Clinical Sciences/Graduate Medical Studies, Other.</t>
  </si>
  <si>
    <t>Any program in medical clinical sciences or graduate medical studies not listed above.</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</si>
  <si>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</si>
  <si>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</si>
  <si>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</si>
  <si>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</si>
  <si>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</si>
  <si>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</si>
  <si>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</si>
  <si>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</si>
  <si>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</si>
  <si>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</si>
  <si>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</si>
  <si>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</si>
  <si>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</si>
  <si>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</si>
  <si>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</si>
  <si>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</si>
  <si>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</si>
  <si>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</si>
  <si>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</si>
  <si>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</si>
  <si>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Infant/Toddler Mental Health Services.</t>
  </si>
  <si>
    <t>A program that prepares individuals to provide mental health services to infants, toddlers, and preschoolers and their families. Includes instruction in developmental psychology, cognitive and biological development, social and emotional development, research methods, and ethics.</t>
  </si>
  <si>
    <t>Medical Family Therapy/Therapist.</t>
  </si>
  <si>
    <t>A program that prepares individuals to work with patients and their families who are experiencing emotional, physical, relational and spiritual difficulties related to acute and chronic illnesses. Includes instruction in cultural context, ethics, family dynamics, family therapy, gender, human development, marriage counseling, psychopathology, research design and methods, sexuality, and systems thinking.</t>
  </si>
  <si>
    <t>Hospice and Palliative Care.</t>
  </si>
  <si>
    <t>A program of study that prepares individuals to work with patients in hospice and palliative care and focuses on the physical, psychological, spiritual, and social needs of patients and families affected by advanced illness. Includes instruction in aging, thanatology, pharmacology, complementary and integrative therapies, pathophysiology, and ethics.</t>
  </si>
  <si>
    <t>Trauma Counseling.</t>
  </si>
  <si>
    <t>A program that focuses on understanding elements of traumatic exposure, trauma-sensitive care, and crisis intervention. Includes instruction in disaster response, grief and loss counseling, crisis intervention and management, trauma counseling, neurobiology of trauma, PTSD and combat-related trauma, relational trauma and treatment of trauma-related disorders.</t>
  </si>
  <si>
    <t>Mental and Social Health Services and Allied Professions, Other.</t>
  </si>
  <si>
    <t>Any instructional program in mental and social health services and allied professions not listed above.</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</si>
  <si>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</si>
  <si>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</si>
  <si>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</si>
  <si>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</si>
  <si>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</si>
  <si>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</si>
  <si>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</si>
  <si>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</si>
  <si>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</si>
  <si>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</si>
  <si>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</si>
  <si>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</si>
  <si>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</si>
  <si>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</si>
  <si>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</si>
  <si>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Deleted, Report under 51.1202</t>
  </si>
  <si>
    <t>Moved from 51.1901 to 51.1202</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</si>
  <si>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</si>
  <si>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</si>
  <si>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</si>
  <si>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</si>
  <si>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</si>
  <si>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</si>
  <si>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</si>
  <si>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</si>
  <si>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</si>
  <si>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</si>
  <si>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</si>
  <si>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</si>
  <si>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</si>
  <si>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</si>
  <si>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</si>
  <si>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</si>
  <si>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</si>
  <si>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</si>
  <si>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</si>
  <si>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</si>
  <si>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</si>
  <si>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</si>
  <si>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</si>
  <si>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</si>
  <si>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Pharmacy, Pharmaceutical Sciences, and Administration, Other.</t>
  </si>
  <si>
    <t>Any instructional program in pharmacy, pharmaceutical sciences, and administration not listed above.</t>
  </si>
  <si>
    <t>Deleted, Report under 51.1203</t>
  </si>
  <si>
    <t>Moved from 51.2101 to 51.1203</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</si>
  <si>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</si>
  <si>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</si>
  <si>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</si>
  <si>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</si>
  <si>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</si>
  <si>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</si>
  <si>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</si>
  <si>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</si>
  <si>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</si>
  <si>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</si>
  <si>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</si>
  <si>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</si>
  <si>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</si>
  <si>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</si>
  <si>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</si>
  <si>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</si>
  <si>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</si>
  <si>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</si>
  <si>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</si>
  <si>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</si>
  <si>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</si>
  <si>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</si>
  <si>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Patient Safety and Healthcare Quality.</t>
  </si>
  <si>
    <t>A program that focuses on the application of transformative mechanisms and evidence-based protocols to reduce preventable patient harm and improve clinical outcomes. Includes instruction in healthcare quality, patient safety, research methods, program evaluation, epidemiology, legal and regulatory compliance, systems thinking, human factors engineering, and risk management.</t>
  </si>
  <si>
    <t>Public Health Genetics.</t>
  </si>
  <si>
    <t>A program that prepares individuals to respond to the complex social, legal, ethical, and public health policy implications generated by genetic research. Includes instruction in biochemical genetics of complex diseases, bioethics, chromosomes and human disease, genetic counseling, genetic epidemiology, gene mapping, human population genetics, and the molecular basis of human inherited disease.</t>
  </si>
  <si>
    <t>Public Health, Other.</t>
  </si>
  <si>
    <t>Any instructional program in public health not listed above.</t>
  </si>
  <si>
    <t>Rehabilitation and Therapeutic Professions.</t>
  </si>
  <si>
    <t>Instructional content for this group of programs is defined in codes 51.2300 - 51.2399.</t>
  </si>
  <si>
    <t>Rehabilitation and Therapeutic Professions, General.</t>
  </si>
  <si>
    <t>A program that prepares individuals to work with people who have learning disabilities, mental illness, and physical disabilities in a clinical, educational, or institutional setting. Includes instruction in abnormal psychology, assistive technology, case management, counseling techniques, cultural diversity, disability assessment and measurement, ethics, psychological and physiological aspects of disability, rehabilitation services, rehabilitation science, and vocational counseling.</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</si>
  <si>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</si>
  <si>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</si>
  <si>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</si>
  <si>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</si>
  <si>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Music Therapy/Therapist.</t>
  </si>
  <si>
    <t>A program that prepares individuals, in association with a rehabilitation team or in private practice, to use music in therapeutic relationships to address the physical, psychological, cognitive, emotional, and social needs of clients.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</si>
  <si>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</si>
  <si>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</si>
  <si>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</si>
  <si>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</si>
  <si>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</si>
  <si>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evaluate, examine, diagnose, and alleviate physical functional impairments and limitations caused by injury or disease through the design and implementation of therapeutic interventions to promote fitness and health. Includes instruction in anatomy, behavioral sciences, biology, biomechanics, biophysical agents, care plan development and documentation, cellular histology, clinical evaluation and measurement, clinical reasoning, communication, exercise physiology, kinesiology, neuroscience, pharmacology, pathology, physiology, professional standards and ethics, rehabilitation psychology, and therapeutic exercise.</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</si>
  <si>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</si>
  <si>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</si>
  <si>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</si>
  <si>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</si>
  <si>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</si>
  <si>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</si>
  <si>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</si>
  <si>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</si>
  <si>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</si>
  <si>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</si>
  <si>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</si>
  <si>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</si>
  <si>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Drama Therapy/Therapist.</t>
  </si>
  <si>
    <t>A program that prepares individuals, in association with a rehabilitation team or in private practice, to use dramatic play, theater, role play, psychodrama, and dramatic ritual in therapeutic relationships to address the physical, psychological, cognitive, emotional, and social needs of clients. Includes instruction in drama theory and performance, human growth and development, biomedical sciences, abnormal psychology, disabling conditions, patient assessment and diagnosis, treatment plan development and implementation, clinical evaluation, record-keeping, and professional standards and ethics.</t>
  </si>
  <si>
    <t>Horticulture Therapy/Therapist.</t>
  </si>
  <si>
    <t>A program that focuses on plant science and horticulture techniques to achieve measurable physical and mental health outcomes for individuals with physical or mental challenges. Includes instruction in abnormal psychology, adult development and aging, botany, facilities design, horticultural therapy, plant pathology, people-plant relationships, and psychology.</t>
  </si>
  <si>
    <t>Play Therapy/Therapist.</t>
  </si>
  <si>
    <t>A program that prepares individuals to be a Registered Play Therapist (RPT) or a School Based-Registered Play Therapist (SB-RPT). Includes instruction in child development, theories of personality, psychotherapy, child and adolescent psychopathology, and ethics.</t>
  </si>
  <si>
    <t>Rehabilitation and Therapeutic Professions, Other.</t>
  </si>
  <si>
    <t>Any instructional program in rehabilitation and therapeutic professions not listed above.</t>
  </si>
  <si>
    <t>Moved from 51.24 to 01.80</t>
  </si>
  <si>
    <t>Moved from 51.2401 to 01.8001</t>
  </si>
  <si>
    <t>Moved from 51.25 to 01.81</t>
  </si>
  <si>
    <t>Moved from 51.2501 to 01.8101</t>
  </si>
  <si>
    <t>Moved from 51.2502 to 01.8105</t>
  </si>
  <si>
    <t>Moved from 51.2503 to 01.8109</t>
  </si>
  <si>
    <t>Moved from 51.2504 to 01.8107</t>
  </si>
  <si>
    <t>Moved from 51.2505 to 01.8108</t>
  </si>
  <si>
    <t>Moved from 51.2506 to 01.8111</t>
  </si>
  <si>
    <t>Moved from 51.2507 to 01.8103</t>
  </si>
  <si>
    <t>Moved from 51.2508 to 01.8104</t>
  </si>
  <si>
    <t>Moved from 51.2509 to 01.8102</t>
  </si>
  <si>
    <t>Moved from 51.2510 to 01.8110</t>
  </si>
  <si>
    <t>Moved from 51.2511 to 01.8106</t>
  </si>
  <si>
    <t>Moved from 51.2599 to 01.8199</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</si>
  <si>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</si>
  <si>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</si>
  <si>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</si>
  <si>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</si>
  <si>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</si>
  <si>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</si>
  <si>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</si>
  <si>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</si>
  <si>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</si>
  <si>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</si>
  <si>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Physical Therapy Technician/Aide.</t>
  </si>
  <si>
    <t>A program that prepares individuals to assist in rehabilitation services under the supervision of physical therapists, and to perform routine functions in support of physical therapy and rehabilitation. Includes instruction in applied kinesiology, basic function of the human body, communication skills, principles and procedures of physical therapy, physical therapy modalities, and professional ethics.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</si>
  <si>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</si>
  <si>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</si>
  <si>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</si>
  <si>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</si>
  <si>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</si>
  <si>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</si>
  <si>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</si>
  <si>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</si>
  <si>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</si>
  <si>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</si>
  <si>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</si>
  <si>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</si>
  <si>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</si>
  <si>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</si>
  <si>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</si>
  <si>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</si>
  <si>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</si>
  <si>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</si>
  <si>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</si>
  <si>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</si>
  <si>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</si>
  <si>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</si>
  <si>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Health Professions Education, Ethics, and Humanities.</t>
  </si>
  <si>
    <t>Instructional content for this group of programs is defined in codes 51.3201 - 51.3299.</t>
  </si>
  <si>
    <t>Bioethics/Medical Ethics.</t>
  </si>
  <si>
    <t>A program that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</si>
  <si>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Health Professions Education.</t>
  </si>
  <si>
    <t>A program that focuses on education and administration leadership skills for clinical educators across health professions and specialties. Includes instruction in academic leadership, assessment, clinical decision making, curriculum development, ethics, primary care education, program evaluation, research methods, and statistics.</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</si>
  <si>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</si>
  <si>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</si>
  <si>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Medical/Health Humanities.</t>
  </si>
  <si>
    <t>A program that explores the ethical, historical, literary, philosophical, and religious dimensions of medicine or health. Includes instruction in art, cultural studies, economics, ethics, history, literature, medical anthropology, philosophy, religion and spiritual thought, science and technology, visual art, and writing.</t>
  </si>
  <si>
    <t>History of Medicine.</t>
  </si>
  <si>
    <t>A program that focuses on the historical evolution and socio-economic context of medical theories, education, practices, and technologies; and on the history of diseases, therapeutics, patients, and healers. Includes instruction in the concepts and methods of the historiography of medicine; the history of science, medicine, and technology; and of research methods in the history of medicine.</t>
  </si>
  <si>
    <t>Arts in Medicine/Health.</t>
  </si>
  <si>
    <t>A program that focuses on the design, implementation, and management of programs that use the visual and performing arts in support of health and wellness among diverse individuals and communities. Includes instruction in dance, literary arts, music, theatre, healthcare systems, program administration, and public health.</t>
  </si>
  <si>
    <t>Health Professions Education, Ethics, and Humanities, Other.</t>
  </si>
  <si>
    <t>Any instructional program in health professions education, ethics, and humanities not listed above.</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</si>
  <si>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</si>
  <si>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</si>
  <si>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</si>
  <si>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</si>
  <si>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</si>
  <si>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</si>
  <si>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</si>
  <si>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</si>
  <si>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</si>
  <si>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</si>
  <si>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</si>
  <si>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</si>
  <si>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</si>
  <si>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</si>
  <si>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Holistic/Integrative Health.</t>
  </si>
  <si>
    <t>A program that focuses on the holistic interconnectedness of physical, psychological, social, spiritual, and environmental well-being and that integrates aspects of alternative, complementary, and conventional medicine to alleviate illness and promote, maintain, and optimize wellness. Includes instruction in anatomy and physiology, alternative diagnostic and healing methods, aromatherapy, biofeedback, energy medicine, environmental psychology, ethics, health coaching, herbal medicine, mind-body medicine, mindfulness, nutrition, somatic bodywork, and stress management.</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</si>
  <si>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</si>
  <si>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</si>
  <si>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</si>
  <si>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</si>
  <si>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</si>
  <si>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</si>
  <si>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</si>
  <si>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</si>
  <si>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</si>
  <si>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</si>
  <si>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</si>
  <si>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</si>
  <si>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</si>
  <si>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</si>
  <si>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</si>
  <si>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</si>
  <si>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</si>
  <si>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</si>
  <si>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</si>
  <si>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</si>
  <si>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</si>
  <si>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</si>
  <si>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</si>
  <si>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</si>
  <si>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</si>
  <si>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</si>
  <si>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</si>
  <si>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</si>
  <si>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</si>
  <si>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</si>
  <si>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</si>
  <si>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</si>
  <si>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</si>
  <si>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</si>
  <si>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</si>
  <si>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</si>
  <si>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</si>
  <si>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</si>
  <si>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</si>
  <si>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</si>
  <si>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</si>
  <si>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</si>
  <si>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</si>
  <si>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</si>
  <si>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</si>
  <si>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</si>
  <si>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Adult Health Nurse/Nursing.</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</si>
  <si>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</si>
  <si>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Nurse Anesthetist.</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</si>
  <si>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</si>
  <si>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</si>
  <si>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</si>
  <si>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Maternal/Child Health and Neonatal Nurse/Nursing.</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</si>
  <si>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</si>
  <si>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Nurse Midwife/Nursing Midwifery.</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</si>
  <si>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</si>
  <si>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</si>
  <si>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</si>
  <si>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Pediatric Nurse/Nursing.</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</si>
  <si>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</si>
  <si>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Psychiatric/Mental Health Nurse/Nursing.</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</si>
  <si>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</si>
  <si>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Public Health/Community Nurse/Nursing.</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</si>
  <si>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</si>
  <si>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Perioperative/Operating Room and Surgical Nurse/Nursing.</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</si>
  <si>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</si>
  <si>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Clinical Nurse Specialist.</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</si>
  <si>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</si>
  <si>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Critical Care Nursing.</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</si>
  <si>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</si>
  <si>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Occupational and Environmental Health Nursing.</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</si>
  <si>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</si>
  <si>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</si>
  <si>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</si>
  <si>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Moved from 51.3817 to 51.3203</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</si>
  <si>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</si>
  <si>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</si>
  <si>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</si>
  <si>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</si>
  <si>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</si>
  <si>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</si>
  <si>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</si>
  <si>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</si>
  <si>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</si>
  <si>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</si>
  <si>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Forensic Nursing.</t>
  </si>
  <si>
    <t>A program that prepares individuals to apply the law and forensic science to nursing practice and collaborate with other professionals for the care of victims and the prosecution of criminals. Includes instruction in advanced physical assessment, evidence collection and preservation, forensic anthropology, legal testimony, medicolegal investigation, pathophysiology, pathohistology, pharmacology, and violence prevention.</t>
  </si>
  <si>
    <t>Registered Nursing, Nursing Administration, Nursing Research and Clinical Nursing, Other.</t>
  </si>
  <si>
    <t>Any instructional program in registered nursing, nursing administration, nursing research, and clinical nursing not listed above.</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</si>
  <si>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</si>
  <si>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</si>
  <si>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</si>
  <si>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</si>
  <si>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</si>
  <si>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</si>
  <si>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</si>
  <si>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</si>
  <si>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</si>
  <si>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for this group of programs is defined in codes 51.9980 - 51.9999.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</si>
  <si>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</si>
  <si>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</si>
  <si>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</si>
  <si>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</si>
  <si>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</si>
  <si>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</si>
  <si>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</si>
  <si>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</si>
  <si>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</si>
  <si>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</si>
  <si>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</si>
  <si>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</si>
  <si>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</si>
  <si>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</si>
  <si>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</si>
  <si>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</si>
  <si>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</si>
  <si>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</si>
  <si>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</si>
  <si>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</si>
  <si>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</si>
  <si>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</si>
  <si>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</si>
  <si>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</si>
  <si>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</si>
  <si>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focuses on the theory, policy, law, and practices required to administrate and operate public transportation facilities, networks, services, and systems. Includes instruction in demand analysis and forecasting, environmental planning, facilities design and construction, geographic information systems (GIS), logistics, multi- and intermodal transportation systems, project management, public administration, public policy, transportation economics, transportation law, transportation operations, transportation systems, and transportation technologies.</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</si>
  <si>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</si>
  <si>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</si>
  <si>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</si>
  <si>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</si>
  <si>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</si>
  <si>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</si>
  <si>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</si>
  <si>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</si>
  <si>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Research Administration.</t>
  </si>
  <si>
    <t>A program designed to prepare formally trained, advanced-level personnel for research administration leadership positions at colleges and universities, government agencies, hospitals, nonprofit agencies, and in industry. Includes instruction in bioethics, biostatistics, ethical, legal and regulatory consideration in clinical investigation, financial analysis, grant writing, managing and monitoring clinical trials, project management, strategic planning, and team building.</t>
  </si>
  <si>
    <t>Risk Management.</t>
  </si>
  <si>
    <t>A program that focuses on the principles of business risk measurement, mitigation, and management. Includes instruction in business analytics, foundations of insurance and risk management, investments, life and health insurance, loss prevention, property and liability insurance risk assessment, risk control, risk financing, and security.</t>
  </si>
  <si>
    <t>Science/Technology Management.</t>
  </si>
  <si>
    <t>A program that prepares individuals to develop science, technical, and business skills required for management of people and systems in technology-based industries, government agencies, and non-profit organizations. Includes instruction in computer applications, general management principles, production and operations management, project management, quality control, safety and health issues, and statistics.</t>
  </si>
  <si>
    <t>Business Administration, Management and Operations, Other.</t>
  </si>
  <si>
    <t>Any instructional program in business and administration not listed above.</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</si>
  <si>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</si>
  <si>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</si>
  <si>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</si>
  <si>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</si>
  <si>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</si>
  <si>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</si>
  <si>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</si>
  <si>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</si>
  <si>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</si>
  <si>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</si>
  <si>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Accounting and Business/Management.</t>
  </si>
  <si>
    <t>An integrated or combined program in accounting and business administration/management that prepares individuals to function as accountants and business managers.</t>
  </si>
  <si>
    <t>Accounting and Related Services, Other.</t>
  </si>
  <si>
    <t>Any instructional program in accounting not listed above.</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</si>
  <si>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</si>
  <si>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</si>
  <si>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</si>
  <si>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</si>
  <si>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</si>
  <si>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</si>
  <si>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</si>
  <si>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</si>
  <si>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</si>
  <si>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</si>
  <si>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</si>
  <si>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</si>
  <si>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</si>
  <si>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</si>
  <si>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</si>
  <si>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</si>
  <si>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</si>
  <si>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</si>
  <si>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</si>
  <si>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</si>
  <si>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</si>
  <si>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for this group of programs is defined in codes 52.0501 - 52.0599.</t>
  </si>
  <si>
    <t>Business/Corporate Communications, General.</t>
  </si>
  <si>
    <t>A program that prepares individuals to function in an organization as a composer, editor, and proofreader of business or business-related communications.</t>
  </si>
  <si>
    <t>Grantsmanship.</t>
  </si>
  <si>
    <t>A program that prepares individuals to develop and write grant proposals to support an organization or cause. Includes instruction in identifying grant opportunities, developing an effective proposal, budget justifications, and developing a working relationship with the funder.</t>
  </si>
  <si>
    <t>Business/Corporate Communications, Other.</t>
  </si>
  <si>
    <t>Any program in business or corporate communications not included above.</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</si>
  <si>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</si>
  <si>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</si>
  <si>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</si>
  <si>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</si>
  <si>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</si>
  <si>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</si>
  <si>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</si>
  <si>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</si>
  <si>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</si>
  <si>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</si>
  <si>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</si>
  <si>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Social Entrepreneurship.</t>
  </si>
  <si>
    <t>A program that focuses on blending entrepreneurial ideas and management skills for issue advocacy and social change. Includes instruction in philanthropy, business modeling, design, entrepreneurship, finance, investing, resource management, project management, prototype development, and marketing.</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</si>
  <si>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</si>
  <si>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</si>
  <si>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</si>
  <si>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</si>
  <si>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</si>
  <si>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</si>
  <si>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</si>
  <si>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</si>
  <si>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</si>
  <si>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</si>
  <si>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</si>
  <si>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</si>
  <si>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</si>
  <si>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</si>
  <si>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</si>
  <si>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</si>
  <si>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</si>
  <si>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</si>
  <si>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Financial Risk Management.</t>
  </si>
  <si>
    <t>A program that focuses on the strategies used to define and manage acceptable financial risk for companies. Includes instruction in banking and bank regulations, derivative securities, interest rate and credit markets, financial engineering of systematic risk, and equity, bond, futures, and options markets.</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</si>
  <si>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</si>
  <si>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</si>
  <si>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</si>
  <si>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</si>
  <si>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</si>
  <si>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</si>
  <si>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</si>
  <si>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</si>
  <si>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</si>
  <si>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</si>
  <si>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</si>
  <si>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</si>
  <si>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</si>
  <si>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</si>
  <si>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</si>
  <si>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</si>
  <si>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Casino Management.</t>
  </si>
  <si>
    <t>A program that prepares individuals to manage casinos and gaming establishments. Includes instruction in business and financial management; casino operations; casino security and surveillance; hospitality, facilities, and personnel management; and principles of the gaming industry, ethics, and gaming law.</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</si>
  <si>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</si>
  <si>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</si>
  <si>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Brewery/Brewpub Operations/Management.</t>
  </si>
  <si>
    <t>A program that prepares individuals to plan, manage, and market breweries and brewpubs. Includes instruction in brewing science, food services management, logistics and distribution, business networking, personnel management, business planning and capitalization, brewing industry operations, marketing, alcohol and liquor law and regulations, finance, and ethics.</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</si>
  <si>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</si>
  <si>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</si>
  <si>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</si>
  <si>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</si>
  <si>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</si>
  <si>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</si>
  <si>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</si>
  <si>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</si>
  <si>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</si>
  <si>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</si>
  <si>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</si>
  <si>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</si>
  <si>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</si>
  <si>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</si>
  <si>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Executive/Career Coaching.</t>
  </si>
  <si>
    <t>A program of study that focuses on assisting individuals achieve career goals or assisting business leaders achieve organizational change. Includes instruction in executive coaching, group dynamics, leadership, management, organizational behavior, organizational communication, and team building.</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</si>
  <si>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</si>
  <si>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</si>
  <si>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</si>
  <si>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</si>
  <si>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</si>
  <si>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</si>
  <si>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</si>
  <si>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</si>
  <si>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</si>
  <si>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</si>
  <si>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</si>
  <si>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</si>
  <si>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</si>
  <si>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</si>
  <si>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</si>
  <si>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</si>
  <si>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</si>
  <si>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</si>
  <si>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</si>
  <si>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</si>
  <si>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</si>
  <si>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</si>
  <si>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</si>
  <si>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</si>
  <si>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</si>
  <si>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</si>
  <si>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</si>
  <si>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</si>
  <si>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</si>
  <si>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</si>
  <si>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</si>
  <si>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</si>
  <si>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</si>
  <si>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</si>
  <si>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Digital Marketing.</t>
  </si>
  <si>
    <t>A program that prepares individuals to develop a digital marketing plan and integrate marketing, advertising, sales, and logistics across physical and digital channels. Includes instruction in digital marketing, e-commerce, online consumer psychology, search engine optimization, social media marketing, and web analytics.</t>
  </si>
  <si>
    <t>Marketing, Other.</t>
  </si>
  <si>
    <t>Any instructional program in general marketing and marketing research not listed above.</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</si>
  <si>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</si>
  <si>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</si>
  <si>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</si>
  <si>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</si>
  <si>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</si>
  <si>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</si>
  <si>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</si>
  <si>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</si>
  <si>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</si>
  <si>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</si>
  <si>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</si>
  <si>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</si>
  <si>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</si>
  <si>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</si>
  <si>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</si>
  <si>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</si>
  <si>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</si>
  <si>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</si>
  <si>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</si>
  <si>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</si>
  <si>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</si>
  <si>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</si>
  <si>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</si>
  <si>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</si>
  <si>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</si>
  <si>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</si>
  <si>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</si>
  <si>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</si>
  <si>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</si>
  <si>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</si>
  <si>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</si>
  <si>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</si>
  <si>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</si>
  <si>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</si>
  <si>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</si>
  <si>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</si>
  <si>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</si>
  <si>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</si>
  <si>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</si>
  <si>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</si>
  <si>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</si>
  <si>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</si>
  <si>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</si>
  <si>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</si>
  <si>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</si>
  <si>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Construction Management.</t>
  </si>
  <si>
    <t>Instructional content for this group of programs is defined in codes 52.2001 - 52.2099.</t>
  </si>
  <si>
    <t>Construction Management, General.</t>
  </si>
  <si>
    <t>A program that prepares individuals to manage, coordinate, and supervise the construction process. Includes instruction in commercial, residential, mechanical, highway/heavy civil, electrical, environmental, industrial, and specialty construction; facilities management; budgeting and cost control; logistics and materials management; organization and scheduling; personnel management and labor relations; site safety; construction contracting; construction processes and techniques; and applicable codes and regulations.</t>
  </si>
  <si>
    <t>Construction Project Management.</t>
  </si>
  <si>
    <t>A program that prepares individuals to apply project management knowledge, skills, tools, and techniques in the construction and facility management industries. Includes instruction in facilities operations and maintenance, construction estimating, OSHA standards, sustainability, drafting, construction plans, project planning, risk management, cost and time management, contracts and procurement, accounting, statistics, decision making, and human resources.</t>
  </si>
  <si>
    <t>Construction Management, Other.</t>
  </si>
  <si>
    <t>Any program in construction management not listed above.</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</si>
  <si>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</si>
  <si>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</si>
  <si>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</si>
  <si>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</si>
  <si>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</si>
  <si>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</si>
  <si>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</si>
  <si>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</si>
  <si>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</si>
  <si>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</si>
  <si>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</si>
  <si>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</si>
  <si>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</si>
  <si>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</si>
  <si>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</si>
  <si>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</si>
  <si>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</si>
  <si>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</si>
  <si>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</si>
  <si>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</si>
  <si>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</si>
  <si>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</si>
  <si>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</si>
  <si>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</si>
  <si>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</si>
  <si>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</si>
  <si>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</si>
  <si>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</si>
  <si>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</si>
  <si>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</si>
  <si>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</si>
  <si>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</si>
  <si>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</si>
  <si>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</si>
  <si>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</si>
  <si>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</si>
  <si>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</si>
  <si>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</si>
  <si>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</si>
  <si>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</si>
  <si>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</si>
  <si>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</si>
  <si>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</si>
  <si>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</si>
  <si>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</si>
  <si>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</si>
  <si>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</si>
  <si>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</si>
  <si>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</si>
  <si>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</si>
  <si>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</si>
  <si>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</si>
  <si>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History, Other.</t>
  </si>
  <si>
    <t>Any instructional program in history not listed above.</t>
  </si>
  <si>
    <t>Instructional content is defined in code 55.0101.</t>
  </si>
  <si>
    <t>Instructional content for this group of programs is defined in codes 55.1301 - 55.1399.</t>
  </si>
  <si>
    <t>Instructional content for this group of programs is defined in codes 55.1401 - 55.1499.</t>
  </si>
  <si>
    <t>Instructional content is defined in code 55.9999.</t>
  </si>
  <si>
    <t>HEALTH PROFESSIONS RESIDENCY/FELLOWSHIP PROGRAMS.</t>
  </si>
  <si>
    <t>Programs that prepare dentists (DDS, DMD), nurse practitioners, pharmacists (PharmD), physician assistants, and veterinarians (DVM) for certification as practitioners of recognized specialties in their respective professions. These programs are approved and accredited by designated professional associations. Residency or fellowship programs that also result in the completion of an academic degree (e.g., MS, PhD), should be reported under the appropriate CIP code, rather than in a residency code located in Series 60. These CIP codes are not valid for IPEDS reporting.</t>
  </si>
  <si>
    <t>Dental Residency/Fellowship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</si>
  <si>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</si>
  <si>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</si>
  <si>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</si>
  <si>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</si>
  <si>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</si>
  <si>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</si>
  <si>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</si>
  <si>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</si>
  <si>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</si>
  <si>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</si>
  <si>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</si>
  <si>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</si>
  <si>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</si>
  <si>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</si>
  <si>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</si>
  <si>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</si>
  <si>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</si>
  <si>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</si>
  <si>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</si>
  <si>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Implantology Fellowship Program.</t>
  </si>
  <si>
    <t>A fellowship training program that prepares dentists in the surgical and restorative aspects of implant dentistry. This CIP code is not valid for IPEDS reporting.</t>
  </si>
  <si>
    <t>Dental Residency/Fellowship Program, Other.</t>
  </si>
  <si>
    <t>Any dental residency or fellowship specialty program not listed above. This CIP code is not valid for IPEDS reporting.</t>
  </si>
  <si>
    <t>Veterinary Residency/Fellowship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</si>
  <si>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</si>
  <si>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</si>
  <si>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</si>
  <si>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</si>
  <si>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</si>
  <si>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</si>
  <si>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</si>
  <si>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</si>
  <si>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</si>
  <si>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</si>
  <si>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</si>
  <si>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</si>
  <si>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</si>
  <si>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</si>
  <si>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</si>
  <si>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</si>
  <si>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</si>
  <si>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</si>
  <si>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</si>
  <si>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</si>
  <si>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</si>
  <si>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</si>
  <si>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</si>
  <si>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</si>
  <si>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</si>
  <si>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</si>
  <si>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</si>
  <si>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</si>
  <si>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</si>
  <si>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</si>
  <si>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</si>
  <si>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</si>
  <si>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</si>
  <si>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</si>
  <si>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</si>
  <si>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</si>
  <si>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</si>
  <si>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</si>
  <si>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</si>
  <si>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</si>
  <si>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</si>
  <si>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Residency/Fellowship Program, Other.</t>
  </si>
  <si>
    <t>Any residency or fellowship training program in veterinary medicine not listed above. This CIP code is not valid for IPEDS reporting.</t>
  </si>
  <si>
    <t>Medical Residency Programs - General Certificates.</t>
  </si>
  <si>
    <t>Deleted, Report under 61</t>
  </si>
  <si>
    <t>Aerospace Medicine Residency Program.</t>
  </si>
  <si>
    <t>Moved from 60.0401 to 61.2302</t>
  </si>
  <si>
    <t>Allergy and Immunology Residency Program.</t>
  </si>
  <si>
    <t>Moved from 60.0402 to 61.0301</t>
  </si>
  <si>
    <t>Anesthesiology Residency Program.</t>
  </si>
  <si>
    <t>Moved from 60.0403 to 61.0401</t>
  </si>
  <si>
    <t>Child Neurology Residency Program.</t>
  </si>
  <si>
    <t>Moved from 60.0404 to 61.1102</t>
  </si>
  <si>
    <t>Clinical Biochemical Genetics Residency Program.</t>
  </si>
  <si>
    <t>Moved from 60.0405 to 61.0901</t>
  </si>
  <si>
    <t>Clinical Cytogenetics Residency Program.</t>
  </si>
  <si>
    <t>Deleted, Report under 61.0903</t>
  </si>
  <si>
    <t>Clinical Genetics Residency Program.</t>
  </si>
  <si>
    <t>Moved from 60.0407 to 61.0902</t>
  </si>
  <si>
    <t>Clinical Molecular Genetics Residency Program.</t>
  </si>
  <si>
    <t>Colon and Rectal Surgery Residency Program.</t>
  </si>
  <si>
    <t>Moved from 60.0409 to 61.2702</t>
  </si>
  <si>
    <t>Dermatology Residency Program.</t>
  </si>
  <si>
    <t>Moved from 60.0410 to 61.0501</t>
  </si>
  <si>
    <t>Diagnostic Radiology Residency Program.</t>
  </si>
  <si>
    <t>Moved from 60.0411 to 61.2601</t>
  </si>
  <si>
    <t>Emergency Medicine Residency Program.</t>
  </si>
  <si>
    <t>Moved from 60.0412 to 61.0601</t>
  </si>
  <si>
    <t>Family Medicine Residency Program.</t>
  </si>
  <si>
    <t>Moved from 60.0413 to 61.0701</t>
  </si>
  <si>
    <t>General Surgery Residency Program.</t>
  </si>
  <si>
    <t>Moved from 60.0414 to 61.2701</t>
  </si>
  <si>
    <t>Internal Medicine Residency Program.</t>
  </si>
  <si>
    <t>Moved from 60.0415 to 61.0801</t>
  </si>
  <si>
    <t>Neurological Surgery Residency Program.</t>
  </si>
  <si>
    <t>Moved from 60.0416 to 61.1001</t>
  </si>
  <si>
    <t>Neurology Residency Program.</t>
  </si>
  <si>
    <t>Moved from 60.0417 to 61.1101</t>
  </si>
  <si>
    <t>Nuclear Medicine Residency Program.</t>
  </si>
  <si>
    <t>Moved from 60.0418 to 61.1201</t>
  </si>
  <si>
    <t>Obstetrics and Gynecology Residency Program.</t>
  </si>
  <si>
    <t>Moved from 60.0419 to 61.1301</t>
  </si>
  <si>
    <t>Occupational Medicine Residency Program.</t>
  </si>
  <si>
    <t>Moved from 60.0420 to 61.2303</t>
  </si>
  <si>
    <t>Ophthalmology Residency Program.</t>
  </si>
  <si>
    <t>Moved from 60.0421 to 61.1401</t>
  </si>
  <si>
    <t>Orthopedic Surgery Residency Program.</t>
  </si>
  <si>
    <t>Moved from 60.0422 to 61.1501</t>
  </si>
  <si>
    <t>Otolaryngology Residency Program.</t>
  </si>
  <si>
    <t>Moved from 60.0423 to 61.1701</t>
  </si>
  <si>
    <t>Pathology Residency Program.</t>
  </si>
  <si>
    <t>Moved from 60.0424 to 61.1801</t>
  </si>
  <si>
    <t>Pediatrics Residency Program.</t>
  </si>
  <si>
    <t>Moved from 60.0425 to 61.1901</t>
  </si>
  <si>
    <t>Physical Medicine and Rehabilitation Residency Program.</t>
  </si>
  <si>
    <t>Moved from 60.0426 to 61.2001</t>
  </si>
  <si>
    <t>Plastic Surgery Residency Program.</t>
  </si>
  <si>
    <t>Moved from 60.0427 to 61.2101</t>
  </si>
  <si>
    <t>Psychiatry Residency Program.</t>
  </si>
  <si>
    <t>Moved from 60.0428 to 61.2401</t>
  </si>
  <si>
    <t>Public Health and General Preventive Medicine Residency Program.</t>
  </si>
  <si>
    <t>Moved from 60.0429 to 61.2301</t>
  </si>
  <si>
    <t>Radiation Oncology Residency Program.</t>
  </si>
  <si>
    <t>Moved from 60.0430 to 61.2501</t>
  </si>
  <si>
    <t>Radiologic Physics Residency Program.</t>
  </si>
  <si>
    <t>Moved from 60.0431 to 61.2610</t>
  </si>
  <si>
    <t>Thoracic Surgery Residency Program.</t>
  </si>
  <si>
    <t>Moved from 60.0432 to 61.2707</t>
  </si>
  <si>
    <t>Urology Residency Program.</t>
  </si>
  <si>
    <t>Moved from 60.0433 to 61.2801</t>
  </si>
  <si>
    <t>Vascular Surgery Residency Program.</t>
  </si>
  <si>
    <t>Moved from 60.0434 to 61.2708</t>
  </si>
  <si>
    <t>Medical Residency Programs - General Certificates, Other.</t>
  </si>
  <si>
    <t>Medical Residency Programs - Subspecialty Certificates.</t>
  </si>
  <si>
    <t>Addiction Psychiatry Residency Program.</t>
  </si>
  <si>
    <t>Moved from 60.0501 to 61.2402</t>
  </si>
  <si>
    <t>Adolescent Medicine Residency Program.</t>
  </si>
  <si>
    <t>Moved from 60.0502 to 61.1902</t>
  </si>
  <si>
    <t>Blood Banking/Transfusion Medicine Residency Program.</t>
  </si>
  <si>
    <t>Moved from 60.0503 to 61.1804</t>
  </si>
  <si>
    <t>Cardiovascular Disease Residency Program.</t>
  </si>
  <si>
    <t>Moved from 60.0504 to 61.0804</t>
  </si>
  <si>
    <t>Chemical Pathology Residency Program.</t>
  </si>
  <si>
    <t>Moved from 60.0505 to 61.1805</t>
  </si>
  <si>
    <t>Child Abuse Pediatrics Residency Program.</t>
  </si>
  <si>
    <t>Moved from 60.0506 to 61.1903</t>
  </si>
  <si>
    <t>Child and Adolescent Psychiatry Residency Program.</t>
  </si>
  <si>
    <t>Moved from 60.0507 to 61.2403</t>
  </si>
  <si>
    <t>Clinical Cardiac Electrophysiology Residency Program.</t>
  </si>
  <si>
    <t>Moved from 60.0508 to 61.0805</t>
  </si>
  <si>
    <t>Clinical Neurophysiology Residency Program.</t>
  </si>
  <si>
    <t>Moved from 60.0509 to 61.1103</t>
  </si>
  <si>
    <t>Congenital Cardiac Surgery Residency Program.</t>
  </si>
  <si>
    <t>Moved from 60.0510 to 61.2704</t>
  </si>
  <si>
    <t>Critical Care Medicine Residency Program.</t>
  </si>
  <si>
    <t>Moved from 60.0511 to 61.0202</t>
  </si>
  <si>
    <t>Cytopathology Residency Program.</t>
  </si>
  <si>
    <t>Moved from 60.0512 to 61.1806</t>
  </si>
  <si>
    <t>Dermatopathology Residency Program.</t>
  </si>
  <si>
    <t>Moved from 60.0513 to 61.0502</t>
  </si>
  <si>
    <t>Developmental-Behavioral Pediatrics Residency Program.</t>
  </si>
  <si>
    <t>Moved from 60.0514 to 61.1904</t>
  </si>
  <si>
    <t>Diagnostic Radiologic Physics Residency Program.</t>
  </si>
  <si>
    <t>Moved from 60.0515 to 61.2604</t>
  </si>
  <si>
    <t>Endocrinology, Diabetes and Metabolism Residency Program.</t>
  </si>
  <si>
    <t>Moved from 60.0516 to 61.0806</t>
  </si>
  <si>
    <t>Forensic Pathology Residency Program.</t>
  </si>
  <si>
    <t>Moved from 60.0517 to 61.1807</t>
  </si>
  <si>
    <t>Forensic Psychiatry Residency Program.</t>
  </si>
  <si>
    <t>Moved from 60.0518 to 61.2405</t>
  </si>
  <si>
    <t>Gastroenterology Residency Program.</t>
  </si>
  <si>
    <t>Moved from 60.0519 to 61.0807</t>
  </si>
  <si>
    <t>Geriatric Medicine Residency Program.</t>
  </si>
  <si>
    <t>Moved from 60.0520 to 61.0203</t>
  </si>
  <si>
    <t>Geriatric Psychiatry Residency Program.</t>
  </si>
  <si>
    <t>Moved from 60.0521 to 61.2406</t>
  </si>
  <si>
    <t>Gynecologic Oncology Residency Program.</t>
  </si>
  <si>
    <t>Moved from 60.0522 to 61.1302</t>
  </si>
  <si>
    <t>Hematological Pathology Residency Program.</t>
  </si>
  <si>
    <t>Moved from 60.0523 to 61.1808</t>
  </si>
  <si>
    <t>Hematology Residency Program.</t>
  </si>
  <si>
    <t>Moved from 60.0524 to 61.0808</t>
  </si>
  <si>
    <t>Hospice and Palliative Medicine Residency Program.</t>
  </si>
  <si>
    <t>Moved from 60.0525 to 61.0205</t>
  </si>
  <si>
    <t>Immunopathology Residency Program.</t>
  </si>
  <si>
    <t>Moved from 60.0526 to 61.1809</t>
  </si>
  <si>
    <t>Infectious Disease Residency Program.</t>
  </si>
  <si>
    <t>Moved from 60.0527 to 61.0810</t>
  </si>
  <si>
    <t>Interventional Cardiology Residency Program.</t>
  </si>
  <si>
    <t>Moved from 60.0528 to 61.0811</t>
  </si>
  <si>
    <t>Laboratory Medicine Residency Program.</t>
  </si>
  <si>
    <t>Moved from 60.0529 to 61.1810</t>
  </si>
  <si>
    <t>Maternal and Fetal Medicine Residency Program.</t>
  </si>
  <si>
    <t>Moved from 60.0530 to 61.1303</t>
  </si>
  <si>
    <t>Medical Biochemical Genetics Residency Program.</t>
  </si>
  <si>
    <t>Moved from 60.0531 to 61.0904</t>
  </si>
  <si>
    <t>Medical Microbiology Residency Program.</t>
  </si>
  <si>
    <t>Moved from 60.0532 to 61.1811</t>
  </si>
  <si>
    <t>Medical Nuclear Physics Residency Program.</t>
  </si>
  <si>
    <t>Moved from 60.0533 to 61.2605</t>
  </si>
  <si>
    <t>Medical Oncology Residency Program.</t>
  </si>
  <si>
    <t>Moved from 60.0534 to 61.0813</t>
  </si>
  <si>
    <t>Medical Toxicology Residency Program.</t>
  </si>
  <si>
    <t>Moved from 60.0535 to 61.0208</t>
  </si>
  <si>
    <t>Molecular Genetic Pathology Residency Program.</t>
  </si>
  <si>
    <t>Moved from 60.0536 to 61.1812</t>
  </si>
  <si>
    <t>Musculoskeletal Oncology Residency Program.</t>
  </si>
  <si>
    <t>Moved from 60.0537 to 61.1502</t>
  </si>
  <si>
    <t>Neonatal-Perinatal Medicine Residency Program.</t>
  </si>
  <si>
    <t>Moved from 60.0538 to 61.1905</t>
  </si>
  <si>
    <t>Nephrology Residency Program.</t>
  </si>
  <si>
    <t>Moved from 60.0539 to 61.0812</t>
  </si>
  <si>
    <t>Neurodevelopmental Disabilities Residency Program.</t>
  </si>
  <si>
    <t>Moved from 60.0540 to 61.1106</t>
  </si>
  <si>
    <t>Neuromuscular Medicine Residency Program.</t>
  </si>
  <si>
    <t>Moved from 60.0541 to 61.0209</t>
  </si>
  <si>
    <t>Neuropathology Residency Program.</t>
  </si>
  <si>
    <t>Moved from 60.0542 to 61.1813</t>
  </si>
  <si>
    <t>Neuroradiology Residency Program.</t>
  </si>
  <si>
    <t>Moved from 60.0543 to 61.2607</t>
  </si>
  <si>
    <t>Neurotology Residency Program.</t>
  </si>
  <si>
    <t>Moved from 60.0544 to 61.1702</t>
  </si>
  <si>
    <t>Nuclear Radiology Residency Program.</t>
  </si>
  <si>
    <t>Moved from 60.0545 to 61.2608</t>
  </si>
  <si>
    <t>Orthopedic Sports Medicine Residency Program.</t>
  </si>
  <si>
    <t>Moved from 60.0546 to 61.1503</t>
  </si>
  <si>
    <t>Orthopedic Surgery of the Spine Residency Program.</t>
  </si>
  <si>
    <t>Moved from 60.0547 to 61.1504</t>
  </si>
  <si>
    <t>Pain Medicine Residency Program.</t>
  </si>
  <si>
    <t>Moved from 60.0548 to 61.0210</t>
  </si>
  <si>
    <t>Pediatric Cardiology Residency Program.</t>
  </si>
  <si>
    <t>Moved from 60.0549 to 61.1906</t>
  </si>
  <si>
    <t>Pediatric Critical Care Medicine Residency Program.</t>
  </si>
  <si>
    <t>Moved from 60.0550 to 61.1907</t>
  </si>
  <si>
    <t>Pediatric Dermatology Residency Program.</t>
  </si>
  <si>
    <t>Moved from 60.0551 to 61.0503</t>
  </si>
  <si>
    <t>Pediatric Emergency Medicine Residency Program.</t>
  </si>
  <si>
    <t>Moved from 60.0552 to 61.1908</t>
  </si>
  <si>
    <t>Pediatric Endocrinology Residency Program.</t>
  </si>
  <si>
    <t>Moved from 60.0553 to 61.1909</t>
  </si>
  <si>
    <t>Pediatric Gastroenterology Residency Program.</t>
  </si>
  <si>
    <t>Moved from 60.0554 to 61.1910</t>
  </si>
  <si>
    <t>Pediatric Hematology-Oncology Residency Program.</t>
  </si>
  <si>
    <t>Moved from 60.0555 to 61.1911</t>
  </si>
  <si>
    <t>Pediatric Infectious Diseases Residency Program.</t>
  </si>
  <si>
    <t>Moved from 60.0556 to 61.1912</t>
  </si>
  <si>
    <t>Pediatric Nephrology Residency Program.</t>
  </si>
  <si>
    <t>Moved from 60.0557 to 61.1913</t>
  </si>
  <si>
    <t>Pediatric Orthopedics Residency Program.</t>
  </si>
  <si>
    <t>Moved from 60.0558 to 61.1505</t>
  </si>
  <si>
    <t>Pediatric Otolaryngology Residency Program.</t>
  </si>
  <si>
    <t>Moved from 60.0559 to 61.1703</t>
  </si>
  <si>
    <t>Pediatric Pathology Residency Program.</t>
  </si>
  <si>
    <t>Moved from 60.0560 to 61.1814</t>
  </si>
  <si>
    <t>Pediatric Pulmonology Residency Program.</t>
  </si>
  <si>
    <t>Moved from 60.0561 to 61.1914</t>
  </si>
  <si>
    <t>Pediatric Radiology Residency Program.</t>
  </si>
  <si>
    <t>Moved from 60.0562 to 61.2609</t>
  </si>
  <si>
    <t>Pediatric Rehabilitation Medicine Residency Program.</t>
  </si>
  <si>
    <t>Moved from 60.0563 to 61.2003</t>
  </si>
  <si>
    <t>Pediatric Rheumatology Residency Program.</t>
  </si>
  <si>
    <t>Moved from 60.0564 to 61.1915</t>
  </si>
  <si>
    <t>Pediatric Surgery Residency Program.</t>
  </si>
  <si>
    <t>Moved from 60.0565 to 61.2705</t>
  </si>
  <si>
    <t>Pediatric Transplant Hepatology Residency Program.</t>
  </si>
  <si>
    <t>Moved from 60.0566 to 61.1917</t>
  </si>
  <si>
    <t>Pediatric Urology Residency Program.</t>
  </si>
  <si>
    <t>Moved from 60.0567 to 61.2802</t>
  </si>
  <si>
    <t>Physical Medicine and Rehabilitation/Psychiatry Residency Program.</t>
  </si>
  <si>
    <t>Deleted, Report under 61.0199</t>
  </si>
  <si>
    <t>Plastic Surgery Within the Head and Neck Residency Program.</t>
  </si>
  <si>
    <t>Moved from 60.0569 to 61.2103</t>
  </si>
  <si>
    <t>Psychosomatic Medicine Residency Program.</t>
  </si>
  <si>
    <t>Moved from 60.0570 to 61.2404</t>
  </si>
  <si>
    <t>Pulmonary Disease Residency Program.</t>
  </si>
  <si>
    <t>Moved from 60.0571 to 61.0814</t>
  </si>
  <si>
    <t>Radioisotopic Pathology Residency Program.</t>
  </si>
  <si>
    <t>Moved from 60.0572 to 61.1815</t>
  </si>
  <si>
    <t>Reproductive Endocrinology/Infertility Residency Program.</t>
  </si>
  <si>
    <t>Moved from 60.0573 to 61.1304</t>
  </si>
  <si>
    <t>Rheumatology Residency Program.</t>
  </si>
  <si>
    <t>Moved from 60.0574 to 61.0816</t>
  </si>
  <si>
    <t>Sleep Medicine Residency Program.</t>
  </si>
  <si>
    <t>Moved from 60.0575 to 61.0212</t>
  </si>
  <si>
    <t>Spinal Cord Injury Medicine Residency Program.</t>
  </si>
  <si>
    <t>Moved from 60.0576 to 61.2002</t>
  </si>
  <si>
    <t>Sports Medicine Residency Program.</t>
  </si>
  <si>
    <t>Moved from 60.0577 to 61.0213</t>
  </si>
  <si>
    <t>Surgery of the Hand Residency Program.</t>
  </si>
  <si>
    <t>Moved from 60.0578 to 61.0214</t>
  </si>
  <si>
    <t>Surgical Critical Care Residency Program.</t>
  </si>
  <si>
    <t>Moved from 60.0579 to 61.2706</t>
  </si>
  <si>
    <t>Therapeutic Radiologic Physics Residency Program.</t>
  </si>
  <si>
    <t>Moved from 60.0580 to 61.2611</t>
  </si>
  <si>
    <t>Transplant Hepatology Residency Program.</t>
  </si>
  <si>
    <t>Moved from 60.0581 to 61.0818</t>
  </si>
  <si>
    <t>Undersea and Hyperbaric Medicine Residency Program.</t>
  </si>
  <si>
    <t>Moved from 60.0582 to 61.0216</t>
  </si>
  <si>
    <t>Vascular and Interventional Radiology Residency Program.</t>
  </si>
  <si>
    <t>Moved from 60.0583 to 61.2612</t>
  </si>
  <si>
    <t>Vascular Neurology Residency Program.</t>
  </si>
  <si>
    <t>Moved from 60.0584 to 61.1107</t>
  </si>
  <si>
    <t>Medical Residency Programs - Subspecialty Certificates, Other.</t>
  </si>
  <si>
    <t>Podiatric Medicine Residency Programs.</t>
  </si>
  <si>
    <t>Moved from 60.06 to 61.22</t>
  </si>
  <si>
    <t>Podiatric Medicine and Surgery - 24 Residency Program.</t>
  </si>
  <si>
    <t>Deleted, Report under 61.2201</t>
  </si>
  <si>
    <t>Podiatric Medicine and Surgery - 36 Residency Program.</t>
  </si>
  <si>
    <t>Nurse Practitioner Residency/Fellowship Programs.</t>
  </si>
  <si>
    <t>Instructional content for this group of programs is defined in codes 60.0701 - 60.0799. These CIP codes are not valid for IPEDS reporting.</t>
  </si>
  <si>
    <t>Nurse Practitioner Residency/Fellowship Program, General.</t>
  </si>
  <si>
    <t>A residency or fellowship program for licensed nurse practitioners that provides advanced didactic and clinical training in nursing. This CIP Code is not valid for IPEDS reporting.</t>
  </si>
  <si>
    <t>Combined Nurse Practitioner Residency/Fellowship Program.</t>
  </si>
  <si>
    <t>A residency or fellowship program for licensed nurse practitioners that provides advanced didactic and clinical training in two or more nursing specialties. This CIP Code is not valid for IPEDS reporting.</t>
  </si>
  <si>
    <t>Acute Care Nurse Practitioner Residency/Fellowship Program.</t>
  </si>
  <si>
    <t>A residency or fellowship program for licensed nurse practitioners that provides advanced didactic and clinical training in acute care medicine. This CIP Code is not valid for IPEDS reporting.</t>
  </si>
  <si>
    <t>Adult/Gerontology Acute Care Nurse Practitioner Residency/Fellowship Program.</t>
  </si>
  <si>
    <t>A residency or fellowship program for licensed nurse practitioners that provides advanced didactic and clinical training in adult/gerontology acute care medicine. This CIP Code is not valid for IPEDS reporting.</t>
  </si>
  <si>
    <t>Adult/Gerontology Critical Care Nurse Practitioner Residency/Fellowship Program.</t>
  </si>
  <si>
    <t>A residency or fellowship program for licensed nurse practitioners that provides advanced didactic and clinical training in adult/gerontology critical care medicine. This CIP Code is not valid for IPEDS reporting.</t>
  </si>
  <si>
    <t>Cardiology/Cardiovascular Nurse Practitioner Residency/Fellowship Program.</t>
  </si>
  <si>
    <t>A residency or fellowship program for licensed nurse practitioners that provides advanced didactic and clinical training in cardiology and cardiovascular medicine. This CIP Code is not valid for IPEDS reporting.</t>
  </si>
  <si>
    <t>Clinical Informatics Nurse Practitioner Residency/Fellowship Program.</t>
  </si>
  <si>
    <t>A residency or fellowship program for licensed nurse practitioners that provides advanced didactic and clinical training in clinical informatics. This CIP Code is not valid for IPEDS reporting.</t>
  </si>
  <si>
    <t>Dermatology Nurse Practitioner Residency/Fellowship Program.</t>
  </si>
  <si>
    <t>A residency or fellowship program for licensed nurse practitioners that provides advanced didactic and clinical training in dermatology. This CIP Code is not valid for IPEDS reporting.</t>
  </si>
  <si>
    <t>Developmental and Behavioral Pediatrics Nurse Practitioner Residency/Fellowship Program.</t>
  </si>
  <si>
    <t>A residency or fellowship program for licensed nurse practitioners that provides advanced didactic and clinical training in developmental and behavioral pediatrics. This CIP Code is not valid for IPEDS reporting.</t>
  </si>
  <si>
    <t>Diabetes Nurse Practitioner Residency/Fellowship Program.</t>
  </si>
  <si>
    <t>A residency or fellowship program for licensed nurse practitioners that provides advanced didactic and clinical training in diabetology and metabolic disorders. This CIP Code is not valid for IPEDS reporting.</t>
  </si>
  <si>
    <t>Emergency Medicine Nurse Practitioner Residency/Fellowship Program.</t>
  </si>
  <si>
    <t>A residency or fellowship program for licensed nurse practitioners that provides advanced didactic and clinical training in emergency medicine. This CIP Code is not valid for IPEDS reporting.</t>
  </si>
  <si>
    <t>Endocrinology Nurse Practitioner Residency/Fellowship Program.</t>
  </si>
  <si>
    <t>A residency or fellowship program for licensed nurse practitioners that provides advanced didactic and clinical training in endocrinology. This CIP Code is not valid for IPEDS reporting.</t>
  </si>
  <si>
    <t>Family Medicine Nurse Practitioner Residency/Fellowship Program.</t>
  </si>
  <si>
    <t>A residency or fellowship program for licensed nurse practitioners that provides advanced didactic and clinical training in family medicine. This CIP Code is not valid for IPEDS reporting.</t>
  </si>
  <si>
    <t>Gastroenterology and Hepatology Nurse Practitioner Residency/Fellowship Program.</t>
  </si>
  <si>
    <t>A residency or fellowship program for licensed nurse practitioners that provides advanced didactic and clinical training in gastroenterology and hepatology. This CIP Code is not valid for IPEDS reporting.</t>
  </si>
  <si>
    <t>Gastroenterology Nurse Practitioner Residency/Fellowship Program.</t>
  </si>
  <si>
    <t>A residency or fellowship program for licensed nurse practitioners that provides advanced didactic and clinical training in gastroenterology. This CIP Code is not valid for IPEDS reporting.</t>
  </si>
  <si>
    <t>Genetics Nurse Practitioner Residency/Fellowship Program.</t>
  </si>
  <si>
    <t>A residency or fellowship program for licensed nurse practitioners that provides advanced didactic and clinical training in genetic counseling and disorders. This CIP Code is not valid for IPEDS reporting.</t>
  </si>
  <si>
    <t>Gerontology Nurse Practitioner Residency/Fellowship Program.</t>
  </si>
  <si>
    <t>A residency or fellowship program for licensed nurse practitioners that provides advanced didactic and clinical training in gerontology. This CIP Code is not valid for IPEDS reporting.</t>
  </si>
  <si>
    <t>Global Health Nurse Practitioner Residency/Fellowship Program.</t>
  </si>
  <si>
    <t>A residency or fellowship program for licensed nurse practitioners that provides advanced didactic and clinical training in global health. This CIP Code is not valid for IPEDS reporting.</t>
  </si>
  <si>
    <t>Hematology-Oncology Nurse Practitioner Residency/Fellowship Program.</t>
  </si>
  <si>
    <t>A residency or fellowship program for licensed nurse practitioners that provides advanced didactic and clinical training in hematology and oncology. This CIP Code is not valid for IPEDS reporting.</t>
  </si>
  <si>
    <t>Hepatology Nurse Practitioner Residency/Fellowship Program.</t>
  </si>
  <si>
    <t>A residency or fellowship program for licensed nurse practitioners that provides advanced didactic and clinical training in hepatology. This CIP Code is not valid for IPEDS reporting.</t>
  </si>
  <si>
    <t>Home-Based Primary Care Nurse Practitioner Residency/Fellowship Program.</t>
  </si>
  <si>
    <t>A residency or fellowship program for licensed nurse practitioners that provides advanced didactic and clinical training in home-based primary care. This CIP Code is not valid for IPEDS reporting.</t>
  </si>
  <si>
    <t>Hospice and Palliative Medicine Nurse Practitioner Residency/Fellowship Program.</t>
  </si>
  <si>
    <t>A residency or fellowship program for licensed nurse practitioners that provides advanced didactic and clinical training in hospice and palliative medicine. This CIP Code is not valid for IPEDS reporting.</t>
  </si>
  <si>
    <t>Hospital Medicine Nurse Practitioner Residency/Fellowship Program.</t>
  </si>
  <si>
    <t>A residency or fellowship program for licensed nurse practitioners that provides advanced didactic and clinical training in hospital medicine. This CIP Code is not valid for IPEDS reporting.</t>
  </si>
  <si>
    <t>Infectious Diseases Nurse Practitioner Residency/Fellowship Program.</t>
  </si>
  <si>
    <t>A residency or fellowship program for licensed nurse practitioners that provides advanced didactic and clinical training in infectious diseases. This CIP Code is not valid for IPEDS reporting.</t>
  </si>
  <si>
    <t>Neonatal Nurse Practitioner Residency/Fellowship Program.</t>
  </si>
  <si>
    <t>A residency or fellowship program for licensed nurse practitioners that provides advanced didactic and clinical training in neonatology. This CIP Code is not valid for IPEDS reporting.</t>
  </si>
  <si>
    <t>Nephrology Nurse Practitioner Residency/Fellowship Program.</t>
  </si>
  <si>
    <t>A residency or fellowship program for licensed nurse practitioners that provides advanced didactic and clinical training in nephrology. This CIP Code is not valid for IPEDS reporting.</t>
  </si>
  <si>
    <t>Neurology Nurse Practitioner Residency/Fellowship Program.</t>
  </si>
  <si>
    <t>A residency or fellowship program for licensed nurse practitioners that provides advanced didactic and clinical training in neurology. This CIP Code is not valid for IPEDS reporting.</t>
  </si>
  <si>
    <t>Neuroscience Nurse Practitioner Residency/Fellowship Program.</t>
  </si>
  <si>
    <t>A residency or fellowship program for licensed nurse practitioners that provides advanced didactic and clinical training in neuroscience. This CIP Code is not valid for IPEDS reporting.</t>
  </si>
  <si>
    <t>Obstetrics and Gynecology Nurse Practitioner Residency/Fellowship Program.</t>
  </si>
  <si>
    <t>A residency or fellowship program for licensed nurse practitioners that provides advanced didactic and clinical training in obstetrics and gynecology. This CIP Code is not valid for IPEDS reporting.</t>
  </si>
  <si>
    <t>Occupational Health Nurse Practitioner Residency/Fellowship Program.</t>
  </si>
  <si>
    <t>A residency or fellowship program for licensed nurse practitioners that provides advanced didactic and clinical training in occupational health. This CIP Code is not valid for IPEDS reporting.</t>
  </si>
  <si>
    <t>Orthopedic Nurse Practitioner Residency/Fellowship Program.</t>
  </si>
  <si>
    <t>A residency or fellowship program for licensed nurse practitioners that provides advanced didactic and clinical training in orthopedics. This CIP Code is not valid for IPEDS reporting.</t>
  </si>
  <si>
    <t>Orthopedic Surgery Nurse Practitioner Residency/Fellowship Program.</t>
  </si>
  <si>
    <t>A residency or fellowship program for licensed nurse practitioners that provides advanced didactic and clinical training in orthopedic surgery. This CIP Code is not valid for IPEDS reporting.</t>
  </si>
  <si>
    <t>Pain Management Nurse Practitioner Residency/Fellowship Program.</t>
  </si>
  <si>
    <t>A residency or fellowship program for licensed nurse practitioners that provides advanced didactic and clinical training in pain management. This CIP Code is not valid for IPEDS reporting.</t>
  </si>
  <si>
    <t>Palliative Care Nurse Practitioner Residency/Fellowship Program.</t>
  </si>
  <si>
    <t>A residency or fellowship program for licensed nurse practitioners that provides advanced didactic and clinical training in palliative care. This CIP Code is not valid for IPEDS reporting.</t>
  </si>
  <si>
    <t>Pediatric Hematology-Oncology Nurse Practitioner Residency/Fellowship Program.</t>
  </si>
  <si>
    <t>A residency or fellowship program for licensed nurse practitioners that provides advanced didactic and clinical training in pediatric hematology and oncology. This CIP Code is not valid for IPEDS reporting.</t>
  </si>
  <si>
    <t>Pediatric Nurse Practitioner Residency/Fellowship Program.</t>
  </si>
  <si>
    <t>A residency or fellowship program for licensed nurse practitioners that provides advanced didactic and clinical training in pediatrics. This CIP Code is not valid for IPEDS reporting.</t>
  </si>
  <si>
    <t>Pediatric Rehabilitation Nurse Practitioner Residency/Fellowship Program.</t>
  </si>
  <si>
    <t>A residency or fellowship program for licensed nurse practitioners that provides advanced didactic and clinical training in pediatric rehabilitation. This CIP Code is not valid for IPEDS reporting.</t>
  </si>
  <si>
    <t>Psychiatric/Mental Health Nurse Practitioner Residency/Fellowship Program.</t>
  </si>
  <si>
    <t>A residency or fellowship program for licensed nurse practitioners that provides advanced didactic and clinical training in psychiatric and mental health. This CIP Code is not valid for IPEDS reporting.</t>
  </si>
  <si>
    <t>Public/Community Health Nurse Practitioner Residency/Fellowship Program.</t>
  </si>
  <si>
    <t>A residency or fellowship program for licensed nurse practitioners that provides advanced didactic and clinical training in public or community health. This CIP Code is not valid for IPEDS reporting.</t>
  </si>
  <si>
    <t>Pulmonary Nurse Practitioner Residency/Fellowship Program.</t>
  </si>
  <si>
    <t>A residency or fellowship program for licensed nurse practitioners that provides advanced didactic and clinical training in pulmonology. This CIP Code is not valid for IPEDS reporting.</t>
  </si>
  <si>
    <t>Rheumatology Nurse Practitioner Residency/Fellowship Program.</t>
  </si>
  <si>
    <t>A residency or fellowship program for licensed nurse practitioners that provides advanced didactic and clinical training in rheumatology. This CIP Code is not valid for IPEDS reporting.</t>
  </si>
  <si>
    <t>Rural Health Nurse Practitioner Residency/Fellowship Program.</t>
  </si>
  <si>
    <t>A residency or fellowship program for licensed nurse practitioners that provides advanced didactic and clinical training in rural health. This CIP Code is not valid for IPEDS reporting.</t>
  </si>
  <si>
    <t>Sleep Medicine Nurse Practitioner Residency/Fellowship Program.</t>
  </si>
  <si>
    <t>A residency or fellowship program for licensed nurse practitioners that provides advanced didactic and clinical training in sleep medicine. This CIP Code is not valid for IPEDS reporting.</t>
  </si>
  <si>
    <t>Surgical and Critical Care Nurse Practitioner Residency/Fellowship Program.</t>
  </si>
  <si>
    <t>A residency or fellowship program for licensed nurse practitioners that provides advanced didactic and clinical training in surgical and critical care medicine. This CIP Code is not valid for IPEDS reporting.</t>
  </si>
  <si>
    <t>Surgical Wound and Reconstruction Nurse Practitioner Residency/Fellowship Program.</t>
  </si>
  <si>
    <t>A residency or fellowship program for licensed nurse practitioners that provides advanced didactic and clinical training in surgical wound care and reconstruction. This CIP Code is not valid for IPEDS reporting.</t>
  </si>
  <si>
    <t>Transplantation Nurse Practitioner Residency/Fellowship Program.</t>
  </si>
  <si>
    <t>A residency or fellowship program for licensed nurse practitioners that provides advanced didactic and clinical training in transplantology. This CIP Code is not valid for IPEDS reporting.</t>
  </si>
  <si>
    <t>Trauma and Critical Care Nurse Practitioner Residency/Fellowship Program.</t>
  </si>
  <si>
    <t>A residency or fellowship program for licensed nurse practitioners that provides advanced didactic and clinical training in trauma and critical care medicine. This CIP Code is not valid for IPEDS reporting.</t>
  </si>
  <si>
    <t>Urgent Care Nurse Practitioner Residency/Fellowship Program.</t>
  </si>
  <si>
    <t>A residency or fellowship program for licensed nurse practitioners that provides advanced didactic and clinical training in urgent care medicine. This CIP Code is not valid for IPEDS reporting.</t>
  </si>
  <si>
    <t>Urology Nurse Practitioner Residency/Fellowship Program.</t>
  </si>
  <si>
    <t>A residency or fellowship program for licensed nurse practitioners that provides advanced didactic and clinical training in urology. This CIP Code is not valid for IPEDS reporting.</t>
  </si>
  <si>
    <t>Women's Health Nurse Practitioner Residency/Fellowship Program.</t>
  </si>
  <si>
    <t>A residency or fellowship program for licensed nurse practitioners that provides advanced didactic and clinical training in women's health. This CIP Code is not valid for IPEDS reporting.</t>
  </si>
  <si>
    <t>Wound Care Nurse Practitioner Residency/Fellowship Program.</t>
  </si>
  <si>
    <t>A residency or fellowship program for licensed nurse practitioners that provides advanced didactic and clinical training in wound care. This CIP Code is not valid for IPEDS reporting.</t>
  </si>
  <si>
    <t>Nurse Practitioner Residency/Fellowship Program, Other.</t>
  </si>
  <si>
    <t>Any residency or fellowship program for nurse practitioners not listed above. This CIP code is not valid for IPEDS reporting.</t>
  </si>
  <si>
    <t>Pharmacy Residency/Fellowship Programs.</t>
  </si>
  <si>
    <t>Instructional content for this group of programs is defined in codes 60.0801 - 60.0899. These CIP codes are not valid for IPEDS reporting.</t>
  </si>
  <si>
    <t>Pharmacy Residency/Fellowship Program, General.</t>
  </si>
  <si>
    <t>A residency or fellowship program for licensed pharmacists that provides advanced training in pharmacy. This CIP Code is not valid for IPEDS reporting.</t>
  </si>
  <si>
    <t>Combined Pharmacy Residency/Fellowship Program.</t>
  </si>
  <si>
    <t>A residency or fellowship program for licensed pharmacists that provides advanced training in two or more pharmacy specialties. This CIP Code is not valid for IPEDS reporting.</t>
  </si>
  <si>
    <t>Ambulatory Care Pharmacy Residency/Fellowship Program.</t>
  </si>
  <si>
    <t>A residency or fellowship program for licensed pharmacists that provides advanced training in ambulatory care pharmacy. This CIP Code is not valid for IPEDS reporting.</t>
  </si>
  <si>
    <t>Cardiology Pharmacy Residency/Fellowship Program.</t>
  </si>
  <si>
    <t>A residency or fellowship program for licensed pharmacists that provides advanced training in cardiology pharmacy. This CIP Code is not valid for IPEDS reporting.</t>
  </si>
  <si>
    <t>Clinical Pharmacogenomics Pharmacy Residency/Fellowship Program.</t>
  </si>
  <si>
    <t>A residency or fellowship program for licensed pharmacists that provides advanced training in clinical pharmacogenomics. This CIP Code is not valid for IPEDS reporting.</t>
  </si>
  <si>
    <t>Community/Community-Based Pharmacy Residency/Fellowship Program.</t>
  </si>
  <si>
    <t>A residency or fellowship program for licensed pharmacists that provides advanced training in community or community-based pharmacy. This CIP Code is not valid for IPEDS reporting.</t>
  </si>
  <si>
    <t>Corporate Pharmacy Leadership Residency/Fellowship Program.</t>
  </si>
  <si>
    <t>A residency or fellowship program for licensed pharmacists that provides advanced training in corporate pharmacy leadership. This CIP Code is not valid for IPEDS reporting.</t>
  </si>
  <si>
    <t>Critical Care Pharmacy Residency/Fellowship Program.</t>
  </si>
  <si>
    <t>A residency or fellowship program for licensed pharmacists that provides advanced training in critical care pharmacy. This CIP Code is not valid for IPEDS reporting.</t>
  </si>
  <si>
    <t>Drug Information Pharmacy Residency/Fellowship Program</t>
  </si>
  <si>
    <t>A residency or fellowship program for licensed pharmacists that provides advanced training in drug information. This CIP Code is not valid for IPEDS reporting.</t>
  </si>
  <si>
    <t>Emergency Medicine Pharmacy Residency/Fellowship Program.</t>
  </si>
  <si>
    <t>A residency or fellowship program for licensed pharmacists that provides advanced training in emergency medicine pharmacy. This CIP Code is not valid for IPEDS reporting.</t>
  </si>
  <si>
    <t>Family Medicine Pharmacy Residency/Fellowship Program.</t>
  </si>
  <si>
    <t>A residency or fellowship program for licensed pharmacists that provides advanced training in family medicine pharmacy. This CIP Code is not valid for IPEDS reporting.</t>
  </si>
  <si>
    <t>Geriatric Pharmacy Residency/Fellowship Program.</t>
  </si>
  <si>
    <t>A residency or fellowship program for licensed pharmacists that provides advanced training in geriatric pharmacy. This CIP Code is not valid for IPEDS reporting.</t>
  </si>
  <si>
    <t>Health System Medication Management Pharmacy Residency/Fellowship Program.</t>
  </si>
  <si>
    <t>A residency or fellowship program for licensed pharmacists that provides advanced training in health system medication management. This CIP Code is not valid for IPEDS reporting.</t>
  </si>
  <si>
    <t>Health System Pharmacy Administration and Leadership Residency/Fellowship Program.</t>
  </si>
  <si>
    <t>A residency or fellowship program for licensed pharmacists that provides advanced training in health system pharmacy administration and leadership. This CIP Code is not valid for IPEDS reporting.</t>
  </si>
  <si>
    <t>Infectious Diseases Pharmacy Residency/Fellowship Program.</t>
  </si>
  <si>
    <t>A residency or fellowship program for licensed pharmacists that provides advanced training in infectious diseases pharmacy. This CIP Code is not valid for IPEDS reporting.</t>
  </si>
  <si>
    <t>Internal Medicine Pharmacy Residency/Fellowship Program.</t>
  </si>
  <si>
    <t>A residency or fellowship program for licensed pharmacists that provides advanced training in internal medicine pharmacy. This CIP Code is not valid for IPEDS reporting.</t>
  </si>
  <si>
    <t>Investigational Drugs and Research Pharmacy Residency/Fellowship Program.</t>
  </si>
  <si>
    <t>A residency or fellowship program for licensed pharmacists that provides advanced training in investigational drugs and research. This CIP Code is not valid for IPEDS reporting.</t>
  </si>
  <si>
    <t>Managed Care Pharmacy Residency/Fellowship Program.</t>
  </si>
  <si>
    <t>A residency or fellowship program for licensed pharmacists that provides advanced training in managed care pharmacy. This CIP Code is not valid for IPEDS reporting.</t>
  </si>
  <si>
    <t>Medication Systems and Operations Pharmacy Residency/Fellowship Program.</t>
  </si>
  <si>
    <t>A residency or fellowship program for licensed pharmacists that provides advanced training in medication systems and operations. This CIP Code is not valid for IPEDS reporting.</t>
  </si>
  <si>
    <t>Medication-Use Safety Pharmacy Residency/Fellowship Program.</t>
  </si>
  <si>
    <t>A residency or fellowship program for licensed pharmacists that provides advanced training in medication-use safety. This CIP Code is not valid for IPEDS reporting.</t>
  </si>
  <si>
    <t>Neonatal Pharmacy Residency/Fellowship Program.</t>
  </si>
  <si>
    <t>A residency or fellowship program for licensed pharmacists that provides advanced training in neonatal pharmacy. This CIP Code is not valid for IPEDS reporting.</t>
  </si>
  <si>
    <t>Nephrology Pharmacy Residency/Fellowship Program.</t>
  </si>
  <si>
    <t>A residency or fellowship program for licensed pharmacists that provides advanced training in nephrology pharmacy. This CIP Code is not valid for IPEDS reporting.</t>
  </si>
  <si>
    <t>Neurology Pharmacy Residency/Fellowship Program.</t>
  </si>
  <si>
    <t>A residency or fellowship program for licensed pharmacists that provides advanced training in neurology pharmacy. This CIP Code is not valid for IPEDS reporting.</t>
  </si>
  <si>
    <t>Nuclear Pharmacy Residency/Fellowship Program.</t>
  </si>
  <si>
    <t>A residency or fellowship program for licensed pharmacists that provides advanced training in nuclear pharmacy. This CIP Code is not valid for IPEDS reporting.</t>
  </si>
  <si>
    <t>Nutrition Support Pharmacy Residency/Fellowship Program.</t>
  </si>
  <si>
    <t>A residency or fellowship program for licensed pharmacists that provides advanced training in nutrition support. This CIP Code is not valid for IPEDS reporting.</t>
  </si>
  <si>
    <t>Oncology Pharmacy Residency/Fellowship Program.</t>
  </si>
  <si>
    <t>A residency or fellowship program for licensed pharmacists that provides advanced training in oncology pharmacy. This CIP Code is not valid for IPEDS reporting.</t>
  </si>
  <si>
    <t>Palliative Care/Pain Management Pharmacy Residency/Fellowship Program.</t>
  </si>
  <si>
    <t>A residency or fellowship program for licensed pharmacists that provides advanced training in palliative care and pain management. This CIP Code is not valid for IPEDS reporting.</t>
  </si>
  <si>
    <t>Pediatric Pharmacy Residency/Fellowship Program.</t>
  </si>
  <si>
    <t>A residency or fellowship program for licensed pharmacists that provides advanced training in pediatric pharmacy. This CIP Code is not valid for IPEDS reporting.</t>
  </si>
  <si>
    <t>Pharmacotherapy Pharmacy Residency/Fellowship Program.</t>
  </si>
  <si>
    <t>A residency or fellowship program for licensed pharmacists that provides advanced training in pharmacotherapy. This CIP Code is not valid for IPEDS reporting.</t>
  </si>
  <si>
    <t>Pharmacy Informatics Pharmacy Residency/Fellowship Program.</t>
  </si>
  <si>
    <t>A residency or fellowship program for licensed pharmacists that provides advanced training in pharmacy informatics. This CIP Code is not valid for IPEDS reporting.</t>
  </si>
  <si>
    <t>Psychiatric Pharmacy Residency/Fellowship Program.</t>
  </si>
  <si>
    <t>A residency or fellowship program for licensed pharmacists that provides advanced training in psychiatric pharmacy. This CIP Code is not valid for IPEDS reporting.</t>
  </si>
  <si>
    <t>Transplantation Pharmacy Residency/Fellowship Program.</t>
  </si>
  <si>
    <t>A residency or fellowship program for licensed pharmacists that provides advanced training in transplantation pharmacy. This CIP Code is not valid for IPEDS reporting.</t>
  </si>
  <si>
    <t>Pharmacy Residency Programs, Other.</t>
  </si>
  <si>
    <t>Any residency or fellowship program in pharmacy not listed above. This CIP code is not valid for IPEDS reporting.</t>
  </si>
  <si>
    <t>Physician Assistant Residency/Fellowship Programs.</t>
  </si>
  <si>
    <t>Instructional content for this group of programs is defined in codes 60.0901 - 60.0999. These CIP codes are not valid for IPEDS reporting.</t>
  </si>
  <si>
    <t>Physician Assistant Residency/Fellowship Program, General.</t>
  </si>
  <si>
    <t>A residency or fellowship program for licensed physician assistants that provides advanced training in medicine. This CIP Code is not valid for IPEDS reporting.</t>
  </si>
  <si>
    <t>Combined Physician Assistant Residency/Fellowship Program.</t>
  </si>
  <si>
    <t>A residency or fellowship program for licensed physician assistants that provides advanced training in two or more medical or surgical specialties. This CIP Code is not valid for IPEDS reporting.</t>
  </si>
  <si>
    <t>Acute Care Medicine Physician Assistant Residency/Fellowship Program.</t>
  </si>
  <si>
    <t>A residency or fellowship program for licensed physician assistants that provides advanced training in acute care medicine. This CIP Code is not valid for IPEDS reporting.</t>
  </si>
  <si>
    <t>Acute Care Surgery Physician Assistant Residency/Fellowship Program.</t>
  </si>
  <si>
    <t>A residency or fellowship program for licensed physician assistants that provides advanced training in acute care surgery. This CIP Code is not valid for IPEDS reporting.</t>
  </si>
  <si>
    <t>Cardiology Physician Assistant Residency/Fellowship Program.</t>
  </si>
  <si>
    <t>A residency or fellowship program for licensed physician assistants that provides advanced training in cardiology. This CIP Code is not valid for IPEDS reporting.</t>
  </si>
  <si>
    <t>Cardiothoracic Surgery Physician Assistant Residency/Fellowship Program.</t>
  </si>
  <si>
    <t>A residency or fellowship program for licensed physician assistants that provides advanced training in cardiothoracic surgery. This CIP Code is not valid for IPEDS reporting.</t>
  </si>
  <si>
    <t>Critical Care Physician Assistant Residency/Fellowship Program.</t>
  </si>
  <si>
    <t>A residency or fellowship program for licensed physician assistants that provides advanced training in critical care medicine. This CIP Code is not valid for IPEDS reporting.</t>
  </si>
  <si>
    <t>Critical Care and Trauma Surgery Physician Assistant Residency/Fellowship Program.</t>
  </si>
  <si>
    <t>A residency or fellowship program for licensed physician assistants that provides advanced training in critical care and trauma surgery. This CIP Code is not valid for IPEDS reporting.</t>
  </si>
  <si>
    <t>Emergency Medicine Physician Assistant Residency/Fellowship Program.</t>
  </si>
  <si>
    <t>A residency or fellowship program for licensed physician assistants that provides advanced training in emergency medicine. This CIP Code is not valid for IPEDS reporting.</t>
  </si>
  <si>
    <t>ENT Surgery Physician Assistant Residency/Fellowship Program.</t>
  </si>
  <si>
    <t>A residency or fellowship program for licensed physician assistants that provides advanced training in ENT (ears, nose, and throat) surgery. This CIP Code is not valid for IPEDS reporting.</t>
  </si>
  <si>
    <t>Family Medicine Physician Assistant Residency/Fellowship Program.</t>
  </si>
  <si>
    <t>A residency or fellowship program for licensed physician assistants that provides advanced training in family medicine. This CIP Code is not valid for IPEDS reporting.</t>
  </si>
  <si>
    <t>Geriatrics Physician Assistant Residency/Fellowship Program.</t>
  </si>
  <si>
    <t>A residency or fellowship program for licensed physician assistants that provides advanced training in geriatrics. This CIP Code is not valid for IPEDS reporting.</t>
  </si>
  <si>
    <t>Hematology-Oncology Physician Assistant Residency/Fellowship Program.</t>
  </si>
  <si>
    <t>A residency or fellowship program for licensed physician assistants that provides advanced training in hematology and oncology. This CIP Code is not valid for IPEDS reporting.</t>
  </si>
  <si>
    <t>Hepatobiliary Surgery Physician Assistant Residency/Fellowship Program.</t>
  </si>
  <si>
    <t>A residency or fellowship program for licensed physician assistants that provides advanced training in hepatobiliary surgery. This CIP Code is not valid for IPEDS reporting.</t>
  </si>
  <si>
    <t>Hospitalist Physician Assistant Residency/Fellowship Program.</t>
  </si>
  <si>
    <t>A residency or fellowship program for licensed physician assistants that provides advanced training in hospital medicine. This CIP Code is not valid for IPEDS reporting.</t>
  </si>
  <si>
    <t>Neurosurgery Physician Assistant Residency/Fellowship Program.</t>
  </si>
  <si>
    <t>A residency or fellowship program for licensed physician assistants that provides advanced training in neurosurgery. This CIP Code is not valid for IPEDS reporting.</t>
  </si>
  <si>
    <t>Orthopedic Surgery Physician Assistant Residency/Fellowship Program.</t>
  </si>
  <si>
    <t>A residency or fellowship program for licensed physician assistants that provides advanced training in orthopedic surgery. This CIP Code is not valid for IPEDS reporting.</t>
  </si>
  <si>
    <t>Pediatric Surgery Physician Assistant Residency/Fellowship Program.</t>
  </si>
  <si>
    <t>A residency or fellowship program for licensed physician assistants that provides advanced training in pediatric surgery. This CIP Code is not valid for IPEDS reporting.</t>
  </si>
  <si>
    <t>Transplant Surgery Physician Assistant Residency/Fellowship Program.</t>
  </si>
  <si>
    <t>A residency or fellowship program for licensed physician assistants that provides advanced training in transplant surgery. This CIP Code is not valid for IPEDS reporting.</t>
  </si>
  <si>
    <t>Urology Physician Assistant Residency/Fellowship Program.</t>
  </si>
  <si>
    <t>A residency or fellowship program for licensed physician assistants that provides advanced training in urology. This CIP Code is not valid for IPEDS reporting.</t>
  </si>
  <si>
    <t>Physician Assistant Residency/Fellowship Program, Other.</t>
  </si>
  <si>
    <t>Any residency or fellowship program for physician assistants not listed above. This CIP code is not valid for IPEDS reporting.</t>
  </si>
  <si>
    <t>Health Professions Residency/Fellowship Programs, Other.</t>
  </si>
  <si>
    <t>Instructional content is defined in code 60.9999. These CIP codes are not valid for IPEDS reporting.</t>
  </si>
  <si>
    <t>Any health professions residency or fellowship program not listed above. This CIP code is not valid for IPEDS reporting.</t>
  </si>
  <si>
    <t>MEDICAL RESIDENCY/FELLOWSHIP PROGRAMS.</t>
  </si>
  <si>
    <t>Programs that prepare allopathic physicians (MD), osteopathic physicians (DO), and podiatrists (DPM) for certification as practitioners of recognized medical specialties. These programs are approved and accredited by the Accreditation Council for Graduate Medical Education (ACGME) or the Council on Podiatric Medical Education (CPME) and require from one to seven years to complete, depending on the program. Residency programs that also result in the completion of an academic degree (e.g., MS, PhD), should be reported under one of the clinical sciences codes located in Series 26, 51.05, or 51.14, rather than in a residency code located in Series 61. These CIP Codes are not valid for IPEDS reporting.</t>
  </si>
  <si>
    <t>Combined Medical Residency/Fellowship Programs.</t>
  </si>
  <si>
    <t>Instructional content for this group of programs is defined in codes 61.0101 - 61.0199.</t>
  </si>
  <si>
    <t>Combined Medical Residency/Fellowship Program, General.</t>
  </si>
  <si>
    <t>A combined educational program in two or more closely related medical specialty or subspecialty programs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</si>
  <si>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Diagnostic Radiology/Nuclear Medicine Combined Specialty Program.</t>
  </si>
  <si>
    <t>A combined educational program in diagnostic radiology and nuclear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</si>
  <si>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Emergency Medicine/Anesthesiology Combined Specialty Program.</t>
  </si>
  <si>
    <t>A combined educational program in emergency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</si>
  <si>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Medicine/Emergency Medicine Combined Specialty Program.</t>
  </si>
  <si>
    <t>A combined educational program in family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</si>
  <si>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Medicine/Osteopathic Neuromusculoskeletal Medicine Combined Specialty Program.</t>
  </si>
  <si>
    <t>A combined educational program in family medicine and osteopathic neuromusculoskeletal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</si>
  <si>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Medicine/Preventive Medicine Combined Specialty Program.</t>
  </si>
  <si>
    <t>A combined educational program in family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</si>
  <si>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Medicine/Psychiatry Combined Specialty Program.</t>
  </si>
  <si>
    <t>A combined educational program in family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</si>
  <si>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Medicine/Anesthesiology Combined Specialty Program.</t>
  </si>
  <si>
    <t>A combined educational program in internal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</si>
  <si>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Medicine/Dermatology Combined Specialty Program.</t>
  </si>
  <si>
    <t>A combined educational program in internal medicine and dermatology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</si>
  <si>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 Combined Specialty Program.</t>
  </si>
  <si>
    <t>A combined educational program in internal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</si>
  <si>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Medicine/Critical Care Medicine Combined Specialty Program.</t>
  </si>
  <si>
    <t>A combined educational program in internal medicine, emergency medicine, and critical care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</si>
  <si>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Medicine/Family Medicine Combined Specialty Program.</t>
  </si>
  <si>
    <t>A combined educational program in internal medicine and family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</si>
  <si>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Medicine/Medical Genetics and Genomics Combined Specialty Program.</t>
  </si>
  <si>
    <t>A combined educational program in internal medicine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</si>
  <si>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Medicine/Neurology Combined Specialty Program.</t>
  </si>
  <si>
    <t>A combined educational program in internal medicine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</si>
  <si>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Medicine/Pediatrics Combined Specialty Program.</t>
  </si>
  <si>
    <t>A combined educational program in internal medicine and pediatrics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</si>
  <si>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Medicine/Preventive Medicine Combined Specialty Program.</t>
  </si>
  <si>
    <t>A combined educational program in internal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</si>
  <si>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Medicine/Psychiatry Combined Specialty Program.</t>
  </si>
  <si>
    <t>A combined educational program in internal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</si>
  <si>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Medical Genetics and Genomics/Maternal-Fetal Medicine Combined Specialty Program.</t>
  </si>
  <si>
    <t>A combined educational program in medical genetics and genomics and maternal-fetal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</si>
  <si>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Pediatrics/Anesthesiology Combined Specialty Program.</t>
  </si>
  <si>
    <t>A combined educational program in pediatrics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</si>
  <si>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Pediatrics/Emergency Medicine Combined Specialty Program.</t>
  </si>
  <si>
    <t>A combined educational program in pediatrics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</si>
  <si>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Pediatrics/Medical Genetics and Genomics Combined Specialty Program.</t>
  </si>
  <si>
    <t>A combined educational program in pediatrics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</si>
  <si>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Pediatrics/Physical Medicine &amp; Rehabilitation Combined Specialty Program.</t>
  </si>
  <si>
    <t>A combined educational program in pediatrics and physical medicine and rehabilitation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</si>
  <si>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Pediatrics/Psychology/Child-Adolescent Psychology Combined Specialty Program.</t>
  </si>
  <si>
    <t>A combined educational program in pediatrics, psychology, and child-adolescent psychology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</si>
  <si>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Psychiatry/Neurology Combined Specialty Program.</t>
  </si>
  <si>
    <t>A combined educational program in psychiatry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</si>
  <si>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Reproductive Endocrinology and Infertility/Medical Genetics and Genomics Combined Specialty Program.</t>
  </si>
  <si>
    <t>A combined educational program in reproductive endocrinology and infertility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</si>
  <si>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Combined Medical Residency/Fellowship Programs, Other.</t>
  </si>
  <si>
    <t>Any combined medical residency or fellowship program not listed above.</t>
  </si>
  <si>
    <t>Multiple-Pathway Medical Fellowship Programs.</t>
  </si>
  <si>
    <t>Instructional content for this group of programs is defined in codes 61.0202 - 61.0299.</t>
  </si>
  <si>
    <t>Critical Care Medicine Fellowship Program.</t>
  </si>
  <si>
    <t>A fellowship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residency program in anesthesiology, internal medicine, or obstetrics and gynecology. Note: critical care anesthesiology is no longer a medical subspecialty, but anesthesiologists may complete a subspecialty in critical care medicine. This CIP code is not valid for IPEDS reporting.</t>
  </si>
  <si>
    <t>Geriatric Medicine Fellowship Program.</t>
  </si>
  <si>
    <t>A fellowship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residency program in family medicine or internal medicine. This CIP code is not valid for IPEDS reporting.</t>
  </si>
  <si>
    <t>Health Policy Fellowship Program.</t>
  </si>
  <si>
    <t>A fellowship training program that prepares physicians to effect change within the health care system and advocate for the practice of medicine to ultimately shape the future health care landscape on both local and national levels. Requires prior completion of an accredited medical residency program. This CIP code is not valid for IPEDS reporting.</t>
  </si>
  <si>
    <t>Hospice and Palliative Medicine Fellowship Program.</t>
  </si>
  <si>
    <t>A fellowship training program that prepares physicians to prevent and relieve the suffering experienced by patients with life-limiting illnesses and to maximize the quality of life while addressing the physical, psychological, social, and spiritual needs of both patient and family throughout the course of the disease, including through the dying process and subsequent family grieving. Requires prior completion of a residency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</si>
  <si>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Integrative Medicine Fellowship Program.</t>
  </si>
  <si>
    <t>A fellowship training program that prepares physicians to practice medicine in a way that reaffirms the importance of the relationship between practitioner and patient; focuses on the whole person; is informed by evidence; and makes use of all appropriate therapeutic approaches, healthcare professionals, and disciplines to achieve optimal health and healing. Requires prior completion of an accredited medical residency program. This CIP code is not valid for IPEDS reporting.</t>
  </si>
  <si>
    <t>Medical Education Fellowship Program.</t>
  </si>
  <si>
    <t>A fellowship training program that prepares physicians to teach deliver, design, and evaluate courses and curricula for medical students, residents, and faculty. Requires prior completion of an accredited medical residency program. This CIP code is not valid for IPEDS reporting.</t>
  </si>
  <si>
    <t>Medical Toxicology Fellowship Program.</t>
  </si>
  <si>
    <t>A fellowship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residency program in emergency medicine, pediatrics, or preventive medicine. This CIP code is not valid for IPEDS reporting.</t>
  </si>
  <si>
    <t>Neuromuscular Medicine Fellowship Program.</t>
  </si>
  <si>
    <t>A fellowship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residency program in neurology, child neurology, or physical medicine and rehabilitation. This CIP code is not valid for IPEDS reporting.</t>
  </si>
  <si>
    <t>Pain Medicine Fellowship Program.</t>
  </si>
  <si>
    <t>A fellowship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residency program in anesthesiology, neurology, child neurology, physical medicine and rehabilitation, or psychiatry. This CIP code is not valid for IPEDS reporting.</t>
  </si>
  <si>
    <t>Simulation Fellowship Program.</t>
  </si>
  <si>
    <t>A fellowship training program that prepares physicians to develop, implement, manage, and assess healthcare simulation-based activities and programs. Requires prior completion of an accredited medical residency program. This CIP code is not valid for IPEDS reporting.</t>
  </si>
  <si>
    <t>Sleep Medicine Fellowship Program.</t>
  </si>
  <si>
    <t>A fellowship training program that prepares physicians in the diagnosis and management of clinical conditions that occur during sleep, that disturb sleep, or that are affected by disturbances in the wake-sleep cycle; in the analysis and interpretation of comprehensive polysomnography; and in the management of a sleep laboratory. Requires prior completion of a residency program in family medicine, internal medicine, neurology, child neurology, otolaryngology, pediatrics, or psychiatry. This CIP code is not valid for IPEDS reporting.</t>
  </si>
  <si>
    <t>Sports Medicine Fellowship Program.</t>
  </si>
  <si>
    <t>A fellowship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residency program in emergency medicine, family medicine, internal medicine, orthopedic surgery, pediatrics, or physical medicine and rehabilitation. This CIP code is not valid for IPEDS reporting.</t>
  </si>
  <si>
    <t>Surgery of the Hand Fellowship Program.</t>
  </si>
  <si>
    <t>A fellowship training program that prepares physicians in the investigation, preservation, and restoration by medical, surgical or physical methods of all structures of the upper extremity which directly affect the form and function of the limb, wrist, and hand. Requires prior completion of a residency program in orthopedic surgery, plastic surgery, or general surgery. This CIP code is not valid for IPEDS reporting.</t>
  </si>
  <si>
    <t>Telemedicine Fellowship Program.</t>
  </si>
  <si>
    <t>A fellowship training program that prepares physicians to bring together technology and clinical medicine to enhance the overall delivery of medical care. Requires prior completion of an accredited medical residency program. This CIP code is not valid for IPEDS reporting.</t>
  </si>
  <si>
    <t>Undersea and Hyperbaric Medicine Fellowship Program.</t>
  </si>
  <si>
    <t>A fellowship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residency program in emergency medicine or preventive medicine. This CIP code is not valid for IPEDS reporting.</t>
  </si>
  <si>
    <t>Wilderness Medicine Fellowship Program.</t>
  </si>
  <si>
    <t>A fellowship training program that prepares physicians to practice medicine with limited resources in austere environments or to provide healthcare anywhere in which environmental conditions have physiologic insult to a patient. Requires prior completion of a medical residency program. This CIP code is not valid for IPEDS reporting.</t>
  </si>
  <si>
    <t>Women's Health Fellowship Program.</t>
  </si>
  <si>
    <t>A fellowship training program that prepares physicians to provide high-quality and culturally competent reproductive and gynecologic care to women, and to understand the interactions of biological, societal, behavioral, political, and environmental issues on the overall health of women. Requires prior completion of a residency program in emergency medicine, internal medicine, obstetrics-gynecology, or psychiatry. This CIP code is not valid for IPEDS reporting.</t>
  </si>
  <si>
    <t>Multiple-Pathway Medical Fellowship Programs, Other.</t>
  </si>
  <si>
    <t>Any multiple-pathway medical fellowship program not listed above.</t>
  </si>
  <si>
    <t>Allergy and Immunology Residency/Fellowship Programs.</t>
  </si>
  <si>
    <t>Instructional content for this group of programs is defined in codes 61.0301 - 61.0399.</t>
  </si>
  <si>
    <t>Allergy and Immunology Fellowship Program.</t>
  </si>
  <si>
    <t>A fellowship training program that prepares physicians in the delivery of skilled medical care to patients suffering from allergic, asthmatic, and immunologic diseases. Requires completion of a prior residency program in internal medicine or pediatrics. This CIP code is not valid for IPEDS reporting.</t>
  </si>
  <si>
    <t>Allergy and Immunology Residency/Fellowship Programs, Other.</t>
  </si>
  <si>
    <t>Any residency or fellowship in allergy or immunology not listed above.</t>
  </si>
  <si>
    <t>Anesthesiology Residency/Fellowship Programs.</t>
  </si>
  <si>
    <t>Instructional content for this group of programs is defined in codes 61.0401 - 61.0499.</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</si>
  <si>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</si>
  <si>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Anesthesiology Residency/Fellowship Programs, Other.</t>
  </si>
  <si>
    <t>Any residency or fellowship program in anesthesiology not listed above.</t>
  </si>
  <si>
    <t>Dermatology Residency/Fellowship Programs.</t>
  </si>
  <si>
    <t>Instructional content for this group of programs is defined in codes 61.0501 - 61.0599.</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</si>
  <si>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</si>
  <si>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Dermatopathology Fellowship Program.</t>
  </si>
  <si>
    <t>A fellowship training program that prepares physicians in the clinical and microscopic diagnosis and analysis of skin diseases and disorders.  Includes instruction in laboratory administration and the supervision and training of support personnel.  Requires prior completion of a residency program in dermatology. This CIP code is not valid for IPEDS reporting.</t>
  </si>
  <si>
    <t>Pediatric Dermatology Fellowship Program.</t>
  </si>
  <si>
    <t>A fellowship training program that prepares physicians in the treatment of specific skin disease categories, with emphasis on those diseases which predominate in infants, children, and adolescents. Requires prior completion of a residency program in dermatology. This CIP code is not valid for IPEDS reporting.</t>
  </si>
  <si>
    <t>Dermatology Residency/Fellowship Programs, Other.</t>
  </si>
  <si>
    <t>Any residency or fellowship program in dermatology not listed above.</t>
  </si>
  <si>
    <t>Emergency Medicine Residency/Fellowship Programs.</t>
  </si>
  <si>
    <t>Instructional content for this group of programs is defined in codes 61.0601 - 61.0699.</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</si>
  <si>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</si>
  <si>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Disaster Medicine Fellowship Program.</t>
  </si>
  <si>
    <t>A fellowship training program that prepares physicians to provide care for the victims of natural and man-made disasters with specific consideration given to timeliness and availability of resources. Includes instruction in emergency medicine and its associated acute care specialties, public health, emergency management, humanitarian services, and prehospital emergency medical services (EMS). Requires prior completion of a residency program in emergency medicine. This CIP code is not valid for IPEDS reporting.</t>
  </si>
  <si>
    <t>Emergency Medical Services Fellowship Program.</t>
  </si>
  <si>
    <t>A fellowship training program that prepares physicians in the leadership and medical oversight of pre- and out-of-hospital emergency care systems with advanced competencies in Emergency Medical System (EMS) system design, administration, and clinical care. Includes instruction in clinical aspects of EMS, medical oversight of EMS, mass casualty management,  disaster planning and operations, wilderness EMS systems, and quality management and research. Requires prior completion of a residency program in emergency medicine. This CIP code is not valid for IPEDS reporting.</t>
  </si>
  <si>
    <t>Emergency Medicine Residency/Fellowship Programs, Other.</t>
  </si>
  <si>
    <t>Any residency or fellowship program in emergency medicine not listed above.</t>
  </si>
  <si>
    <t>Family Medicine Residency/Fellowship Programs.</t>
  </si>
  <si>
    <t>Instructional content for this group of programs is defined in codes 61.0701 - 61.0799.</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</si>
  <si>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</si>
  <si>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Family Medicine Residency/Fellowship Programs, Other.</t>
  </si>
  <si>
    <t>Any residency or fellowship program in family medicine not listed above.</t>
  </si>
  <si>
    <t>Internal Medicine Residency/Fellowship Programs.</t>
  </si>
  <si>
    <t>Instructional content for this group of programs is defined in codes 61.0801 - 61.0899.</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</si>
  <si>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</si>
  <si>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Cardiovascular Disease Fellowship Program.</t>
  </si>
  <si>
    <t>A fellowship training program that prepares physicians to specialize in diseases of the heart and blood vessels and to manage complex cardiac conditions such as heart attacks and life-threatening, abnormal heartbeat rhythms. Requires prior completion of a residency program in internal medicine. This CIP code is not valid for IPEDS reporting.</t>
  </si>
  <si>
    <t>Clinical Cardiac Electrophysiology Fellowship Program.</t>
  </si>
  <si>
    <t>A fellowship training program, within the subspecialty of cardiovascular disease, which prepares physicians in intricate technical procedures to evaluate heart rhythms and determine appropriate treatment. Requires prior completion of a residency program in internal medicine. This CIP code is not valid for IPEDS reporting.</t>
  </si>
  <si>
    <t>Endocrinology, Diabetes, and Metabolism Fellowship Program.</t>
  </si>
  <si>
    <t>A fellowship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residency program in internal medicine. This CIP code is not valid for IPEDS reporting.</t>
  </si>
  <si>
    <t>Gastroenterology Fellowship Program.</t>
  </si>
  <si>
    <t>A fellowship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residency program in internal medicine. This CIP code is not valid for IPEDS reporting.</t>
  </si>
  <si>
    <t>Hematology Fellowship Program.</t>
  </si>
  <si>
    <t>A fellowship training program that prepares physicians in the mechanisms and therapy of diseases of the blood, bone marrow, spleen, and lymph, including patient management, diagnostic tests, biopsies, and other procedures. Requires prior completion of a residency program in internal medicine or pathology. This CIP code is not valid for IPEDS reporting.</t>
  </si>
  <si>
    <t>Hematology-Oncology Fellowship Program.</t>
  </si>
  <si>
    <t>A fellowship training program that prepares physicians in the diagnosis and treatment of cancer, benign and malignant tumors, and diseases of the blood, bone marrow, spleen, and lymph. Requires prior completion of a residency program in internal medicine. This CIP code is not valid for IPEDS reporting.</t>
  </si>
  <si>
    <t>Infectious Disease Fellowship Program.</t>
  </si>
  <si>
    <t>A fellowship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residency program in internal medicine. This CIP code is not valid for IPEDS reporting.</t>
  </si>
  <si>
    <t>Interventional Cardiology Fellowship Program.</t>
  </si>
  <si>
    <t>A fellowship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residency program in internal medicine. This CIP code is not valid for IPEDS reporting.</t>
  </si>
  <si>
    <t>Nephrology Fellowship Program.</t>
  </si>
  <si>
    <t>A fellowship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residency program in internal medicine. This CIP code is not valid for IPEDS reporting.</t>
  </si>
  <si>
    <t>Medical Oncology Fellowship Program.</t>
  </si>
  <si>
    <t>A fellowship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residency program in internal medicine. This CIP code is not valid for IPEDS reporting.</t>
  </si>
  <si>
    <t>Pulmonary Disease Fellowship Program.</t>
  </si>
  <si>
    <t>A fellowship training program that prepares physicians in pulmonary physiology and the treatment of lung diseases, pulmonary malignancies, related vascular diseases, respiratory disorders, diagnostic and therapeutic procedures, and pulmonary pathology. Requires prior completion of a residency program in internal medicine. This CIP code is not valid for IPEDS reporting.</t>
  </si>
  <si>
    <t>Rheumatology Fellowship Program.</t>
  </si>
  <si>
    <t>A fellowship training program that prepares physicians in the diagnosis and treatment of patients with acute and chronic rheumatic diseases, diffuse connective tissue diseases, systemic and metabolic diseases and infections and complications following surgery. Requires prior completion of a residency program in internal medicine. This CIP code is not valid for IPEDS reporting.</t>
  </si>
  <si>
    <t>Transplant Hepatology Fellowship Program.</t>
  </si>
  <si>
    <t>A fellowship training program that prepares physicians with special knowledge and the skill required of a gastroenterologist to care for patients prior to and following hepatic transplantation that spans all phases of liver transplantation. Requires prior completion of a residency program in internal medicine. This CIP code is not valid for IPEDS reporting.</t>
  </si>
  <si>
    <t>Internal Medicine Residency/Fellowship Programs, Other.</t>
  </si>
  <si>
    <t>Any residency or fellowship program in internal medicine not listed above.</t>
  </si>
  <si>
    <t>Medical Genetics and Genomics Residency/Fellowship Programs.</t>
  </si>
  <si>
    <t>Instructional content for this group of programs is defined in codes 61.0901 - 61.0999.</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</si>
  <si>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three general certificates in the area of medical genetics. This CIP code is not valid for IPEDS reporting.</t>
  </si>
  <si>
    <t>Clinical Genetics and Genomics Residency Program.</t>
  </si>
  <si>
    <t>A residency training program that prepares physicians to provide comprehensive diagnostic, management, and counseling services for individuals and families at risk for clinical disorders with a genetic basis. One of three general certificates in the area of medical genetics. This CIP code is not valid for IPEDS reporting.</t>
  </si>
  <si>
    <t>Laboratory Genetics and Genomics Residency Program.</t>
  </si>
  <si>
    <t>A residency training program that prepares physicians to direct and interpret both clinical cytogenetic and molecular genetic analyses relevant to the diagnosis and management of human genetic diseases. One of three general certificates in the area of medical genetics. This CIP code is not valid for IPEDS reporting.</t>
  </si>
  <si>
    <t>A residency training program that prepares physicians in the diagnosis and medical management of individuals with inborn errors of metabolism, including the provision of direct care and consultative care for individuals of all ages. Requires prior completion of a residency program in medical genetics. This CIP code is not valid for IPEDS reporting.</t>
  </si>
  <si>
    <t>Medical Genetics and Genomics Residency/Fellowship Programs, Other.</t>
  </si>
  <si>
    <t>Any residency or fellowship program in medical genetics and genomics not listed above.</t>
  </si>
  <si>
    <t>Neurological Surgery Residency/Fellowship Programs.</t>
  </si>
  <si>
    <t>Instructional content for this group of programs is defined in codes 61.1001 - 61.1099.</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</si>
  <si>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</si>
  <si>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Neurological Surgery Residency/Fellowship Programs, Other.</t>
  </si>
  <si>
    <t>Any residency or fellowship program in neurological surgery not listed above.</t>
  </si>
  <si>
    <t>Neurology Residency/Fellowship Programs.</t>
  </si>
  <si>
    <t>Instructional content for this group of programs is defined in codes 61.1101 - 61.1199.</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</si>
  <si>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</si>
  <si>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</si>
  <si>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Clinical Neurophysiology Fellowship Program.</t>
  </si>
  <si>
    <t>A fellowship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residency program in neurology, child neurology, or psychiatry. This CIP code is not valid for IPEDS reporting.</t>
  </si>
  <si>
    <t>Epilepsy Fellowship Program.</t>
  </si>
  <si>
    <t>A fellowship training program that prepares physicians in the diagnosis and treatment of patients with epileptic seizures or with symptoms and signs whose differential diagnosis includes epileptic seizures. Requires prior completion of a residency program in neurology. This CIP code is not valid for IPEDS reporting.</t>
  </si>
  <si>
    <t>Headache Medicine Fellowship Program.</t>
  </si>
  <si>
    <t>A fellowship training program that prepares physicians in the diagnosis, treatment, and research of headache and related disorders. Requires prior completion of a residency program in neurology. This CIP code is not valid for IPEDS reporting.</t>
  </si>
  <si>
    <t>Neurodevelopmental Disabilities Fellowship Program.</t>
  </si>
  <si>
    <t>A fellowship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residency program in neurology, child neurology, or pediatrics. This CIP code is not valid for IPEDS reporting.</t>
  </si>
  <si>
    <t>Vascular Neurology Fellowship Program.</t>
  </si>
  <si>
    <t>A fellowship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residency program in neurology or child neurology. This CIP code is not valid for IPEDS reporting.</t>
  </si>
  <si>
    <t>Neurology Residency/Fellowship Programs, Other.</t>
  </si>
  <si>
    <t>Any residency or fellowship program in neurology not listed above.</t>
  </si>
  <si>
    <t>Nuclear Medicine Residency/Fellowship Programs.</t>
  </si>
  <si>
    <t>Instructional content for this group of programs is defined in codes 61.1201 - 61.1299.</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</si>
  <si>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</si>
  <si>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Nuclear Medicine Residency/Fellowship Programs, Other.</t>
  </si>
  <si>
    <t>Any residency or fellowship program in nuclear medicine not listed above.</t>
  </si>
  <si>
    <t>Obstetrics and Gynecology Residency/Fellowship Programs.</t>
  </si>
  <si>
    <t>Instructional content for this group of programs is defined in codes 61.1301 - 61.1399.</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</si>
  <si>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</si>
  <si>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Gynecologic Oncology Fellowship Program.</t>
  </si>
  <si>
    <t>A fellowship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residency program in obstetrics and gynecology. This CIP code is not valid for IPEDS reporting.</t>
  </si>
  <si>
    <t>Maternal and Fetal Medicine Fellowship Program.</t>
  </si>
  <si>
    <t>A fellowship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residency program in obstetrics and gynecology. This CIP code is not valid for IPEDS reporting.</t>
  </si>
  <si>
    <t>Reproductive Endocrinology/Infertility Fellowship Program.</t>
  </si>
  <si>
    <t>A fellowship training program that prepares physicians to manage complex problems relating to reproductive endocrinology and infertility. Requires prior completion of a residency program in obstetrics and gynecology. This CIP code is not valid for IPEDS reporting.</t>
  </si>
  <si>
    <t>Obstetrics and Gynecology Residency/Fellowship Programs, Other.</t>
  </si>
  <si>
    <t>Any residency or fellowship program in obstetrics and gynecology not listed above.</t>
  </si>
  <si>
    <t>Ophthalmology Residency/Fellowship Programs.</t>
  </si>
  <si>
    <t>Instructional content for this group of programs is defined in codes 61.1401 - 61.1499.</t>
  </si>
  <si>
    <t>A residency training program that prepares physicians in the diagnosis, prevention treatment of ophthalmic diseases and disorders, and ocular pathology procedures.  Includes instruction in eye surgery. This CIP code is not valid for IPEDS reporting.</t>
  </si>
  <si>
    <t>Ophthalmology Residency/Fellowship Programs, Other.</t>
  </si>
  <si>
    <t>Any residency or fellowship program in ophthalmology not listed above.</t>
  </si>
  <si>
    <t>Orthopedic Surgery Residency/Fellowship Programs.</t>
  </si>
  <si>
    <t>Instructional content for this group of programs is defined in codes 61.1501 - 61.1599.</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</si>
  <si>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</si>
  <si>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Musculoskeletal Oncology Fellowship Program.</t>
  </si>
  <si>
    <t>A fellowship training program that prepares physicians in the diagnosis and treatment of musculoskeletal neoplasm, and the application of cancer therapy regimes. This CIP code is not valid for IPEDS reporting.</t>
  </si>
  <si>
    <t>Orthopedic Sports Medicine Fellowship Program.</t>
  </si>
  <si>
    <t>A fellowship training program that prepares physicians to prevent and manage athletic injuries and to provide appropriate care for all structures of the musculoskeletal system directly affected by participation in sporting activity. Requires prior completion of a residency program in orthopedic surgery. This CIP code is not valid for IPEDS reporting.</t>
  </si>
  <si>
    <t>Orthopedic Surgery of the Spine Fellowship Program.</t>
  </si>
  <si>
    <t>A fellowship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</si>
  <si>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Pediatric Orthopedics Fellowship Program.</t>
  </si>
  <si>
    <t>A fellowship training program that prepares physicians in the diagnosis, surgical and non-surgical treatment, and management of musculoskeletal diseases, abnormalities and trauma in infants, children, and adolescents.  Requires prior completion of a residency program in orthopedic surgery. This CIP code is not valid for IPEDS reporting.</t>
  </si>
  <si>
    <t>Orthopedic Surgery Residency/Fellowship Programs, Other.</t>
  </si>
  <si>
    <t>Any residency or fellowship program in orthopedic surgery not listed above.</t>
  </si>
  <si>
    <t>Osteopathic Medicine Residency/Fellowship Programs.</t>
  </si>
  <si>
    <t>Instructional content for this group of programs is defined in codes 61.1601 - 61.1699.</t>
  </si>
  <si>
    <t>Osteopathic Neuromusculoskeletal Medicine Residency Program.</t>
  </si>
  <si>
    <t>A residency training program that prepares osteopathic (DO) physicians to perform osteopathic neuromusculoskeletal diagnosis and perform Osteopathic Manipulative Treatment (OMT). This CIP code is not valid for IPEDS reporting.</t>
  </si>
  <si>
    <t>Osteopathic Medicine Residency/Fellowship Programs, Other.</t>
  </si>
  <si>
    <t>Any residency or fellowship program in osteopathic medicine not listed above.</t>
  </si>
  <si>
    <t>Otolaryngology Residency/Fellowship Programs.</t>
  </si>
  <si>
    <t>Instructional content for this group of programs is defined in codes 61.1701 - 61.1799.</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</si>
  <si>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</si>
  <si>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Neurotology Fellowship Program.</t>
  </si>
  <si>
    <t>A fellowship training program that prepares physicians to treat diseases of the ear and temporal bone, including disorders of hearing and balance. Requires prior completion of a residency program in otolaryngology. This CIP code is not valid for IPEDS reporting.</t>
  </si>
  <si>
    <t>Pediatric Otolaryngology Fellowship Program.</t>
  </si>
  <si>
    <t>A fellowship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residency program in otolaryngology. This CIP code is not valid for IPEDS reporting.</t>
  </si>
  <si>
    <t>Otolaryngology Residency/Fellowship Programs, Other.</t>
  </si>
  <si>
    <t>Any residency or fellowship program in otolaryngology not listed above.</t>
  </si>
  <si>
    <t>Pathology Residency/Fellowship Programs.</t>
  </si>
  <si>
    <t>Instructional content for this group of programs is defined in codes 61.1801 - 61.1899.</t>
  </si>
  <si>
    <t>Combined Anatomic and Clinical 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</si>
  <si>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</si>
  <si>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Anatomic Pathology Residency Program.</t>
  </si>
  <si>
    <t>A residency training program that prepares physicians in the diagnosis of disease and anatomic abnormalities. Includes instruction in autopsy pathology, cytology, diagnostic surgical pathology, forensic medicine, laboratory management, and quality control. This CIP code is not valid for IPEDS reporting.</t>
  </si>
  <si>
    <t>Clinical Pathology Residency Program.</t>
  </si>
  <si>
    <t>A residency training program that prepares physicians in the clinical laboratory analysis and diagnosis of disease. Includes instruction in performing clinical chemistry, cytogenetics, immunology, laboratory management, microbiology, molecular biology, quality control, serology, toxicology, and virology. This CIP code is not valid for IPEDS reporting.</t>
  </si>
  <si>
    <t>Blood Banking/Transfusion Medicine Fellowship Program.</t>
  </si>
  <si>
    <t>A fellowship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residency program in pathology. This CIP code is not valid for IPEDS reporting.</t>
  </si>
  <si>
    <t>Chemical Pathology Fellowship Program.</t>
  </si>
  <si>
    <t>A fellowship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residency program in medical pathology. This CIP code is not valid for IPEDS reporting.</t>
  </si>
  <si>
    <t>Cytopathology Fellowship Program.</t>
  </si>
  <si>
    <t>A fellowship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residency program in pathology. This CIP code is not valid for IPEDS reporting.</t>
  </si>
  <si>
    <t>Forensic Pathology Fellowship Program.</t>
  </si>
  <si>
    <t>A fellowship training program that prepares physicians in the performance of medical autopsies, the analysis of human remains and crime scenes, and the legal follow-up and responsibilities of public pathologists.  Requires prior completion of a residency program in pathology. This CIP code is not valid for IPEDS reporting.</t>
  </si>
  <si>
    <t>Hematological Pathology Fellowship Program.</t>
  </si>
  <si>
    <t>A fellowship training program that prepares physicians in the laboratory and analytical procedures for studying all facets of hematologic and coagulation disorders.  Includes instruction in the management of hematology laboratories. Requires prior completion of a residency program in pathology. This CIP code is not valid for IPEDS reporting.</t>
  </si>
  <si>
    <t>Immunopathology Fellowship Program.</t>
  </si>
  <si>
    <t>A fellowship training program that prepares physicians in the diagnosis, treatment and laboratory management of immunologic diseases. Includes instruction in diagnostic surgical pathology, management of organ transplantation and immunotherapy.  Requires prior completion of a residency program in pathology. This CIP code is not valid for IPEDS reporting.</t>
  </si>
  <si>
    <t>Laboratory Medicine Fellowship Program.</t>
  </si>
  <si>
    <t>A fellowship training program that prepares physicians in the principles and practices of applied medical research and related techniques, equipment, data systems, and research design. Includes instruction in the management of medical laboratories in research and healthcare facilities. This CIP code is not valid for IPEDS reporting.</t>
  </si>
  <si>
    <t>Medical Microbiology Fellowship Program.</t>
  </si>
  <si>
    <t>A fellowship training program that prepares physicians in the isolation and identification of microbial agents that cause infectious disease, including viruses, bacteria, fungi, and parasites. Requires prior completion of a residency program in pathology. This CIP code is not valid for IPEDS reporting.</t>
  </si>
  <si>
    <t>Molecular Genetic Pathology Fellowship Program.</t>
  </si>
  <si>
    <t>A fellowship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residency program in medical genetics or pathology. This CIP code is not valid for IPEDS reporting.</t>
  </si>
  <si>
    <t>Neuropathology Fellowship Program.</t>
  </si>
  <si>
    <t>A fellowship training program that prepares physicians in the laboratory analysis of nerve tissues and the clinical diagnosis of neurological and neuromuscular diseases.  Includes instruction in nerve biopsies and necropsies.  Requires prior completion of a residency program in pathology. This CIP code is not valid for IPEDS reporting.</t>
  </si>
  <si>
    <t>Pediatric Pathology Fellowship Program.</t>
  </si>
  <si>
    <t>A fellowship training program that prepares physicians in the laboratory diagnosis of diseases that occur during fetal growth, infancy, and child development, based on knowledge of general pathology, normal growth and development, and pediatric medicine. Requires prior completion of a residency program in pathology. This CIP code is not valid for IPEDS reporting.</t>
  </si>
  <si>
    <t>Radioisotopic Pathology Fellowship Program.</t>
  </si>
  <si>
    <t>A fellowship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Requires prior completion of a residency program in pathology. This CIP code is not valid for IPEDS reporting.</t>
  </si>
  <si>
    <t>Pathology Residency/Fellowship Programs, Other.</t>
  </si>
  <si>
    <t>Any residency or fellowship program in pathology not listed above.</t>
  </si>
  <si>
    <t>Pediatrics Residency/Fellowship Programs.</t>
  </si>
  <si>
    <t>Instructional content for this group of programs is defined in codes 61.1901 - 61.1999.</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</si>
  <si>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</si>
  <si>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Adolescent Medicine Fellowship Program.</t>
  </si>
  <si>
    <t>A fellowship training program that prepares physicians in the unique physical, psychological, and social characteristics of adolescents and their healthcare problems and needs. Requires prior completion of a residency program in family medicine, internal medicine, or pediatrics. This CIP code is not valid for IPEDS reporting.</t>
  </si>
  <si>
    <t>Child Abuse Pediatrics Fellowship Program.</t>
  </si>
  <si>
    <t>A fellowship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residency program in pediatrics. This CIP code is not valid for IPEDS reporting.</t>
  </si>
  <si>
    <t>Developmental-Behavioral Pediatrics Fellowship Program.</t>
  </si>
  <si>
    <t>A fellowship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residency program in pediatrics. This CIP code is not valid for IPEDS reporting.</t>
  </si>
  <si>
    <t>Neonatal-Perinatal Medicine Fellowship Program.</t>
  </si>
  <si>
    <t>A fellowship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residency program in pediatrics. This CIP code is not valid for IPEDS reporting.</t>
  </si>
  <si>
    <t>Pediatric Cardiology Fellowship Program.</t>
  </si>
  <si>
    <t>A fellowship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residency program in pediatrics. This CIP code is not valid for IPEDS reporting.</t>
  </si>
  <si>
    <t>Pediatric Critical Care Medicine Fellowship Program.</t>
  </si>
  <si>
    <t>A fellowship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residency program in pediatrics. This CIP code is not valid for IPEDS reporting.</t>
  </si>
  <si>
    <t>Pediatric Emergency Medicine Fellowship Program.</t>
  </si>
  <si>
    <t>A fellowship training program that prepares physicians to manage emergencies in infants and children. Requires prior completion of a residency program in emergency medicine or pediatrics. This CIP code is not valid for IPEDS reporting.</t>
  </si>
  <si>
    <t>Pediatric Endocrinology Fellowship Program.</t>
  </si>
  <si>
    <t>A fellowship training program that prepares physicians in the diagnosis and management of endocrine diseases and the regulation of hormone balance in childhood and adolescence.  Requires prior completion of a residency program in pediatrics. This CIP code is not valid for IPEDS reporting.</t>
  </si>
  <si>
    <t>Pediatric Gastroenterology Fellowship Program.</t>
  </si>
  <si>
    <t>A fellowship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residency program in pediatrics. This CIP code is not valid for IPEDS reporting.</t>
  </si>
  <si>
    <t>Pediatric Hematology-Oncology Fellowship Program.</t>
  </si>
  <si>
    <t>A fellowship training program that prepares physicians in the diagnosis and management of hematologic disorders and malignant diseases, including blood and bone marrow function, in infancy, childhood, and adolescence. Requires prior completion of a residency program in pediatrics. This CIP code is not valid for IPEDS reporting.</t>
  </si>
  <si>
    <t>Pediatric Infectious Diseases Fellowship Program.</t>
  </si>
  <si>
    <t>A fellowship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residency program in pediatrics. This CIP code is not valid for IPEDS reporting.</t>
  </si>
  <si>
    <t>Pediatric Nephrology Fellowship Program.</t>
  </si>
  <si>
    <t>A fellowship training program that prepares physicians in the diagnosis and management of infants, children, and adolescents with renal and genito-urinary problems, hypertension and disorders of body fluid physiology.  Requires prior completion of a residency program in pediatrics. This CIP code is not valid for IPEDS reporting.</t>
  </si>
  <si>
    <t>Pediatric Pulmonology Fellowship Program.</t>
  </si>
  <si>
    <t>A fellowship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residency program in pediatrics. This CIP code is not valid for IPEDS reporting.</t>
  </si>
  <si>
    <t>Pediatric Rheumatology Fellowship Program.</t>
  </si>
  <si>
    <t>A fellowship training program that prepares physicians to diagnose and treat diseases of joints, muscle, bones, and tendons in children and young adults, including arthritis, back pain, muscle strains, common athletic injuries, and collagen diseases. Requires prior completion of a residency program in pediatrics. This CIP code is not valid for IPEDS reporting.</t>
  </si>
  <si>
    <t>Pediatric Transplant Hepatology Fellowship Program.</t>
  </si>
  <si>
    <t>A fellowship training program that prepares physicians with special knowledge, skill, and expertise required of pediatric gastroenterologists to care for children and young adults prior to and following hepatic transplantation. Requires prior completion of a residency program in pediatrics. This CIP code is not valid for IPEDS reporting.</t>
  </si>
  <si>
    <t>Pediatrics Residency/Fellowship Programs, Other.</t>
  </si>
  <si>
    <t>Any residency or fellowship program in pediatrics not listed above.</t>
  </si>
  <si>
    <t>Physical Medicine and Rehabilitation Residency/Fellowship Programs.</t>
  </si>
  <si>
    <t>Instructional content for this group of programs is defined in codes 61.2001 - 61.2099.</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</si>
  <si>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</si>
  <si>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Spinal Cord Injury Medicine Fellowship Program.</t>
  </si>
  <si>
    <t>A fellowship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residency program in physical medicine and rehabilitation. This CIP code is not valid for IPEDS reporting.</t>
  </si>
  <si>
    <t>Pediatric Rehabilitation Medicine Fellowship Program.</t>
  </si>
  <si>
    <t>A fellowship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residency program in physical medicine and rehabilitation. This CIP code is not valid for IPEDS reporting.</t>
  </si>
  <si>
    <t>Physical Medicine and Rehabilitation Residency/Fellowship Programs, Other.</t>
  </si>
  <si>
    <t>Any residency or fellowship program in physical medicine and rehabilitation not listed above.</t>
  </si>
  <si>
    <t>Plastic Surgery Residency/Fellowship Programs.</t>
  </si>
  <si>
    <t>Instructional content for this group of programs is defined in codes 61.2101 - 61.2199.</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</si>
  <si>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</si>
  <si>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Integrated 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</si>
  <si>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Does NOT require prior completion of a program in general surgery. This CIP code is not valid for IPEDS reporting.</t>
  </si>
  <si>
    <t>Plastic Surgery Within the Head and Neck Fellowship Program.</t>
  </si>
  <si>
    <t>A fellowship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residency program in otolaryngology or plastic surgery. This CIP code is not valid for IPEDS reporting.</t>
  </si>
  <si>
    <t>Plastic Surgery Residency/Fellowship Programs, Other.</t>
  </si>
  <si>
    <t>Any residency or fellowship program in plastic surgery not listed above.</t>
  </si>
  <si>
    <t>Podiatric Medicine Residency/Fellowship Programs.</t>
  </si>
  <si>
    <t>Instructional content for this group of programs is defined in codes 61.2201 - 61.2299.</t>
  </si>
  <si>
    <t>Podiatric Medicine and Surgery Residency Program.</t>
  </si>
  <si>
    <t>A residency training program that prepares podiatrists for primary practice in podiatric healthcare and foot surgery.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</si>
  <si>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Residency/Fellowship Programs, Other.</t>
  </si>
  <si>
    <t>Any residency or fellowship program in podiatric medicine not listed above.</t>
  </si>
  <si>
    <t>Preventive Medicine Residency/Fellowship Programs.</t>
  </si>
  <si>
    <t>Instructional content for this group of programs is defined in codes 61.2301 - 61.2399.</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</si>
  <si>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</si>
  <si>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</si>
  <si>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</si>
  <si>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Preventive Medicine Residency/Fellowship Programs, Other.</t>
  </si>
  <si>
    <t>Any residency or fellowship program in preventive medicine not listed above.</t>
  </si>
  <si>
    <t>Psychiatry Residency/Fellowship Programs.</t>
  </si>
  <si>
    <t>Instructional content for this group of programs is defined in codes 61.2401 - 61.2499.</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</si>
  <si>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</si>
  <si>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Addiction Psychiatry Fellowship Program.</t>
  </si>
  <si>
    <t>A fellowship training program that prepares physicians in the evaluation and treatment of individuals with alcohol, drug, or other substance-related disorders, and of individuals with the dual diagnosis of substance-related and other psychiatric disorders. Requires prior completion of a residency program in psychiatry. This CIP code is not valid for IPEDS reporting.</t>
  </si>
  <si>
    <t>Child and Adolescent Psychiatry Fellowship Program.</t>
  </si>
  <si>
    <t>A fellowship training program that prepares physicians in the diagnosis and treatment of developmental, behavioral, emotional, and mental disorders of childhood and adolescence. Requires prior completion of a residency program in psychiatry. This CIP code is not valid for IPEDS reporting.</t>
  </si>
  <si>
    <t>Consultation-Liaison Psychiatry Fellowship Program.</t>
  </si>
  <si>
    <t>A fellowship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residency program in psychiatry. This CIP code is not valid for IPEDS reporting.</t>
  </si>
  <si>
    <t>Forensic Psychiatry Fellowship Program.</t>
  </si>
  <si>
    <t>A fellowship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residency program in psychiatry. This CIP code is not valid for IPEDS reporting.</t>
  </si>
  <si>
    <t>Geriatric Psychiatry Fellowship Program.</t>
  </si>
  <si>
    <t>A fellowship training program that prepares physicians in the prevention, evaluation, diagnosis, and treatment of mental and emotional disorders in the elderly, and to improve the psychiatric care of the elderly both in health and in disease. Requires prior completion of a residency program in psychiatry. This CIP code is not valid for IPEDS reporting.</t>
  </si>
  <si>
    <t>Psychiatry Residency/Fellowship Programs, Other.</t>
  </si>
  <si>
    <t>Any residency or fellowship program in psychiatry not listed above.</t>
  </si>
  <si>
    <t>Radiation Oncology Residency/Fellowship Programs.</t>
  </si>
  <si>
    <t>Instructional content for this group of programs is defined in codes 61.2501 - 61.2599.</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</si>
  <si>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</si>
  <si>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Radiation Oncology Residency/Fellowship Programs, Other.</t>
  </si>
  <si>
    <t>Any residency or fellowship program in radiation oncology not listed above.</t>
  </si>
  <si>
    <t>Radiology Residency/Fellowship Programs.</t>
  </si>
  <si>
    <t>Instructional content for this group of programs is defined in codes 61.2601 - 61.2699.</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</si>
  <si>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</si>
  <si>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Integrated Interventional Radiology Residency Program.</t>
  </si>
  <si>
    <t>A fellowship training program that prepares physicians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Does NOT require prior completion of a residency program in diagnostic radiology. This CIP code is not valid for IPEDS reporting.</t>
  </si>
  <si>
    <t>Abdominal Radiology Fellowship Program.</t>
  </si>
  <si>
    <t>A fellowship training program that prepares diagnostic radiologists in the diagnosis and treatment of disorders of the abdomen and pelvis in adults and children. Requires prior completion of a residency program in diagnostic or interventional radiology. This CIP code is not valid for IPEDS reporting.</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</si>
  <si>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</si>
  <si>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</si>
  <si>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Musculoskeletal Radiology Fellowship Program.</t>
  </si>
  <si>
    <t>A fellowship training program that prepares diagnostic radiologists in the diagnosis and treatment of disorders or injuries of the joints, bones, muscles, and spine in adults and children. Requires prior completion of a residency program in diagnostic or interventional radiology. This CIP code is not valid for IPEDS reporting.</t>
  </si>
  <si>
    <t>Neuroradiology Fellowship Program.</t>
  </si>
  <si>
    <t>A fellowship training program that prepares diagnostic radiologists in the diagnosis and treatment of disorders of the brain, spine, spinal cord, peripheral nerves, and head and neck in adults and children. Requires prior completion of a residency program in diagnostic radiology. This CIP code is not valid for IPEDS reporting.</t>
  </si>
  <si>
    <t>Nuclear Radiology Fellowship Program.</t>
  </si>
  <si>
    <t>A fellowship training program that prepares physicians in the imaging by external detection of radionuclides and/or biodistribution by external detection of radionuclides for diagnosis of disease.  Requires prior partial completion of a residency program in diagnostic radiology. This CIP code is not valid for IPEDS reporting.</t>
  </si>
  <si>
    <t>Pediatric Radiology Fellowship Program.</t>
  </si>
  <si>
    <t>A fellowship training program that prepares physicians in all forms of diagnostic imaging as it pertains to the diagnosis and treatment of diseases in the newborn, infant, child, and adolescent. Requires prior completion of a residency program in diagnostic radiology. This CIP code is not valid for IPEDS reporting.</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</si>
  <si>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</si>
  <si>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</si>
  <si>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Vascular and Interventional Radiology Fellowship Program.</t>
  </si>
  <si>
    <t>A fellowship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residency program in diagnostic radiology. This CIP code is not valid for IPEDS reporting.</t>
  </si>
  <si>
    <t>Radiology Residency/Fellowship Programs, Other.</t>
  </si>
  <si>
    <t>Any medical residency or fellowship in radiology not listed above.</t>
  </si>
  <si>
    <t>Surgery Residency/Fellowship Programs.</t>
  </si>
  <si>
    <t>Instructional content for this group of programs is defined in codes 61.2701 - 61.2799.</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</si>
  <si>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</si>
  <si>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A residency training program that prepares physicians in the surgical care of patients with anorectal and colonic diseases.  Also includes instruction in diagnostic and therapeutic colonoscopy.  Requires prior or concurrent completion of a residency program in general surgery. This CIP code is not valid for IPEDS reporting.</t>
  </si>
  <si>
    <t>Complex General Surgical Oncology Fellowship Program.</t>
  </si>
  <si>
    <t>A fellowship training program that prepares surgeons in the management of patients with difficult, rare or complex cancer presentations, including clinical evaluation, surgical management, and adjuvant therapy. Requires prior completion of a residency program in general surgery. This CIP code is not valid for IPEDS reporting.</t>
  </si>
  <si>
    <t>Congenital Cardiac Surgery Fellowship Program.</t>
  </si>
  <si>
    <t>A fellowship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residency or fellowship program in thoracic surgery. This CIP code is not valid for IPEDS reporting.</t>
  </si>
  <si>
    <t>Pediatric Surgery Fellowship Program.</t>
  </si>
  <si>
    <t>A fellowship training program that prepares physicians in the diagnosis, evaluation and surgical treatment of diseases, disorders, and trauma in infants and children.  Requires prior completion of a residency program in general surgery. This CIP code is not valid for IPEDS reporting.</t>
  </si>
  <si>
    <t>Surgical Critical Care Fellowship Program.</t>
  </si>
  <si>
    <t>A fellowship training program that prepares surgeons in the diagnosis, treatment, and support of critically ill and injured patients, particularly trauma victims and patients with multiple organ dysfunction. Requires prior completion of a residency program in general surgery. This CIP code is not valid for IPEDS reporting.</t>
  </si>
  <si>
    <t>Thoracic Surgery Fellowship Program.</t>
  </si>
  <si>
    <t>A fellowship training program that prepares physicians in the evaluation and surgical treatment of pulmonary, esophageal, mediastinal, chest wall, diaphragmatic and cardiovascular disorders.  Includes instruction in bronchoscopy and esophagoscopy. Requires prior or concurrent completion of a residency program in general surgery. This CIP code is not valid for IPEDS reporting.</t>
  </si>
  <si>
    <t>Vascular Surgery Fellowship Program.</t>
  </si>
  <si>
    <t>A fellowship training program that prepares physicians in the surgical treatment of diseases and disorders of the arterial, venous and lymphatic circulatory systems and of the heart and thoracic aorta. Requires prior or concurrent completion of a residency program in general surgery. This CIP code is not valid for IPEDS reporting.</t>
  </si>
  <si>
    <t>Surgery Residency/Fellowship Programs, Other.</t>
  </si>
  <si>
    <t>Any residency or fellowship program in surgery not listed above.</t>
  </si>
  <si>
    <t>Urology Residency/Fellowship Programs.</t>
  </si>
  <si>
    <t>Instructional content for this group of programs is defined in codes 61.2801 - 61.2899. These CIP codes are not valid for IPEDS reporting.</t>
  </si>
  <si>
    <t>A residency training program that prepares physicians to manage congenital and acquired conditions of the genitourinary system, the adrenal gland, and other contiguous structures throughout the lifespan and which may be benign or malignant. This specialist is skilled in medical and open surgical therapy of these conditions, as well as endoscopic, percutaneous, and other minimally invasive methods. This CIP code is not valid for IPEDS reporting.</t>
  </si>
  <si>
    <t>Pediatric Urology Fellowship Program.</t>
  </si>
  <si>
    <t>A fellowship training program that prepares individuals in the study, prevention, and management of congenital, childhood-acquired, and overlapping adolescent anomalies of the genitourinary tract, including problems, diseases, tumors, and traumas. Requires prior completion of a residency program in urology. This CIP code is not valid for IPEDS reporting.</t>
  </si>
  <si>
    <t>Urology Residency/Fellowship Programs, Other.</t>
  </si>
  <si>
    <t>Any residency or fellowship program in urology not listed above.</t>
  </si>
  <si>
    <t>Medical Residency/Fellowship Programs, Other.</t>
  </si>
  <si>
    <t>Instructional content is defined in code 61.9999.</t>
  </si>
  <si>
    <t>Any medical residency or fellowship program not listed above. This CIP code is not valid for IPEDS reporting.</t>
  </si>
  <si>
    <t>Agency</t>
  </si>
  <si>
    <t>Assignment Titles</t>
  </si>
  <si>
    <t>2019-2020</t>
  </si>
  <si>
    <t>SDE</t>
  </si>
  <si>
    <t>00005</t>
  </si>
  <si>
    <r>
      <t xml:space="preserve">Elementary - Miscellaneous/Exploratory (K-8) </t>
    </r>
    <r>
      <rPr>
        <sz val="10"/>
        <color rgb="FFFF0000"/>
        <rFont val="MS Reference Sans Serif"/>
        <family val="2"/>
      </rPr>
      <t>(Restricted)</t>
    </r>
  </si>
  <si>
    <t>Elementary - Elective/Exploratory (K-8)</t>
  </si>
  <si>
    <t>00018</t>
  </si>
  <si>
    <t>Literacy (K-12)</t>
  </si>
  <si>
    <t>00027</t>
  </si>
  <si>
    <t>American Indian Language (K-12)</t>
  </si>
  <si>
    <t>00029</t>
  </si>
  <si>
    <t>World Language (K-12)</t>
  </si>
  <si>
    <t>00031</t>
  </si>
  <si>
    <t>Music (K-12)</t>
  </si>
  <si>
    <t>00035</t>
  </si>
  <si>
    <t>Visual Arts (K-12)</t>
  </si>
  <si>
    <t>00051</t>
  </si>
  <si>
    <t>Physical Education (K-12)</t>
  </si>
  <si>
    <t>00052</t>
  </si>
  <si>
    <t>Health Education (K-12)</t>
  </si>
  <si>
    <t>00070</t>
  </si>
  <si>
    <r>
      <t xml:space="preserve">Supplemental Instruction - Elementary (K-8) </t>
    </r>
    <r>
      <rPr>
        <sz val="10"/>
        <color rgb="FFFF0000"/>
        <rFont val="MS Reference Sans Serif"/>
        <family val="2"/>
      </rPr>
      <t>(Restricted)</t>
    </r>
  </si>
  <si>
    <t>Supplemental Instruction - Elementary (K-8) (Restricted)</t>
  </si>
  <si>
    <t>00080</t>
  </si>
  <si>
    <t>Special Education (K-8)</t>
  </si>
  <si>
    <t>00082</t>
  </si>
  <si>
    <t>Special Education (4-6)</t>
  </si>
  <si>
    <t>00083</t>
  </si>
  <si>
    <t>Early Childhood - Special Education (Pre-K)</t>
  </si>
  <si>
    <t>00084</t>
  </si>
  <si>
    <t>Early Childhood - Special Education (K-3)</t>
  </si>
  <si>
    <t>00150</t>
  </si>
  <si>
    <r>
      <t>Juvenile Detention Instruction (K-8)</t>
    </r>
    <r>
      <rPr>
        <sz val="10"/>
        <color indexed="8"/>
        <rFont val="MS Reference Sans Serif"/>
        <family val="2"/>
      </rPr>
      <t xml:space="preserve"> </t>
    </r>
    <r>
      <rPr>
        <sz val="10"/>
        <color indexed="10"/>
        <rFont val="MS Reference Sans Serif"/>
        <family val="2"/>
      </rPr>
      <t>(Restricted)</t>
    </r>
  </si>
  <si>
    <t>Juvenile Detention Instruction (K-8) (RESTRICTED)</t>
  </si>
  <si>
    <t>01001</t>
  </si>
  <si>
    <t xml:space="preserve">English/Language Arts I (9th grade content level) </t>
  </si>
  <si>
    <t xml:space="preserve">English/Language Arts I (9th grade content) </t>
  </si>
  <si>
    <t>01002</t>
  </si>
  <si>
    <t xml:space="preserve">English/Language Arts II (10th grade content level) </t>
  </si>
  <si>
    <t xml:space="preserve">English/Language Arts II (10th grade content) </t>
  </si>
  <si>
    <t>01003</t>
  </si>
  <si>
    <t>English/Language Arts III (11th grade content level)</t>
  </si>
  <si>
    <t>English/Language Arts III (11th grade content)</t>
  </si>
  <si>
    <t>01004</t>
  </si>
  <si>
    <t>English/Language Arts IV (12th grade content level)</t>
  </si>
  <si>
    <t>English/Language Arts IV (12th grade content)</t>
  </si>
  <si>
    <t>01005</t>
  </si>
  <si>
    <t>AP English Language and Composition</t>
  </si>
  <si>
    <t>01006</t>
  </si>
  <si>
    <t>AP English Literature and Composition</t>
  </si>
  <si>
    <t>01007</t>
  </si>
  <si>
    <t>IB Language A: Literature—English</t>
  </si>
  <si>
    <t>01008</t>
  </si>
  <si>
    <t>English as a Second Language (K-12)</t>
  </si>
  <si>
    <t>01009</t>
  </si>
  <si>
    <t>English as a Second Language - Support (K-12)</t>
  </si>
  <si>
    <t>01019</t>
  </si>
  <si>
    <t>Bilingual Education (K-12)</t>
  </si>
  <si>
    <t>01020</t>
  </si>
  <si>
    <t>Bilingual Education - Support (K-12)</t>
  </si>
  <si>
    <t>01053</t>
  </si>
  <si>
    <t>Literature (5-12)</t>
  </si>
  <si>
    <t>01103</t>
  </si>
  <si>
    <t>Composition/Writing (5-12)</t>
  </si>
  <si>
    <t>01151</t>
  </si>
  <si>
    <t>Public Speaking/Speech/Communications (5-12)</t>
  </si>
  <si>
    <t>01153</t>
  </si>
  <si>
    <t>Debate (5-12)</t>
  </si>
  <si>
    <t>02002</t>
  </si>
  <si>
    <t>General Mathematics (5-8 Content)</t>
  </si>
  <si>
    <t>02052</t>
  </si>
  <si>
    <t>Algebra I</t>
  </si>
  <si>
    <t>02056</t>
  </si>
  <si>
    <t xml:space="preserve">Algebra II </t>
  </si>
  <si>
    <t>02062</t>
  </si>
  <si>
    <t>Integrated Mathematics I</t>
  </si>
  <si>
    <t>02063</t>
  </si>
  <si>
    <t>Integrated Mathematics II</t>
  </si>
  <si>
    <t>02064</t>
  </si>
  <si>
    <t>Integrated Mathematics III</t>
  </si>
  <si>
    <t>02072</t>
  </si>
  <si>
    <t xml:space="preserve">Geometry </t>
  </si>
  <si>
    <t>02102</t>
  </si>
  <si>
    <t xml:space="preserve">Discrete Mathematics </t>
  </si>
  <si>
    <t>02103</t>
  </si>
  <si>
    <t xml:space="preserve">Trigonometry </t>
  </si>
  <si>
    <t>02110</t>
  </si>
  <si>
    <t xml:space="preserve">Pre-Calculus </t>
  </si>
  <si>
    <t>02121</t>
  </si>
  <si>
    <t xml:space="preserve">Calculus </t>
  </si>
  <si>
    <t>02124</t>
  </si>
  <si>
    <t xml:space="preserve">AP Calculus AB </t>
  </si>
  <si>
    <t>02125</t>
  </si>
  <si>
    <t xml:space="preserve">AP Calculus BC </t>
  </si>
  <si>
    <t>02131</t>
  </si>
  <si>
    <t xml:space="preserve">IB Mathematical Studies </t>
  </si>
  <si>
    <t>02132</t>
  </si>
  <si>
    <t xml:space="preserve">IB Mathematics </t>
  </si>
  <si>
    <t>02134</t>
  </si>
  <si>
    <t xml:space="preserve">IB Further Mathematics—HL </t>
  </si>
  <si>
    <t>02151</t>
  </si>
  <si>
    <t>Applied Mathematics (5-12)</t>
  </si>
  <si>
    <t>02201</t>
  </si>
  <si>
    <t xml:space="preserve">Probability and Statistics </t>
  </si>
  <si>
    <t>02203</t>
  </si>
  <si>
    <t xml:space="preserve">AP Statistics </t>
  </si>
  <si>
    <t>02204</t>
  </si>
  <si>
    <t>AP/Dual Credit Computer Science - Mathematics (11-12 grade content)</t>
  </si>
  <si>
    <t>02205</t>
  </si>
  <si>
    <t>AP/Dual Credit Engineering - Mathematics (11-12 grade content)</t>
  </si>
  <si>
    <t>03002</t>
  </si>
  <si>
    <t>Geology (5-12)</t>
  </si>
  <si>
    <t>03008</t>
  </si>
  <si>
    <t>Earth and Space Science (5-12)</t>
  </si>
  <si>
    <t>03051</t>
  </si>
  <si>
    <t>Biology (5-12)</t>
  </si>
  <si>
    <t>03056</t>
  </si>
  <si>
    <t xml:space="preserve">AP Biology </t>
  </si>
  <si>
    <t>03057</t>
  </si>
  <si>
    <t xml:space="preserve">IB Biology </t>
  </si>
  <si>
    <t>03101</t>
  </si>
  <si>
    <t>Chemistry (5-12)</t>
  </si>
  <si>
    <t>03106</t>
  </si>
  <si>
    <t xml:space="preserve">AP Chemistry </t>
  </si>
  <si>
    <t>03107</t>
  </si>
  <si>
    <t xml:space="preserve">IB Chemistry </t>
  </si>
  <si>
    <t>03151</t>
  </si>
  <si>
    <t>Physics (5-12)</t>
  </si>
  <si>
    <t>03157</t>
  </si>
  <si>
    <t xml:space="preserve">IB Physics </t>
  </si>
  <si>
    <t>03159</t>
  </si>
  <si>
    <t>Physical Science (5-12)</t>
  </si>
  <si>
    <t>03165</t>
  </si>
  <si>
    <t>AP Physics 1</t>
  </si>
  <si>
    <t>03166</t>
  </si>
  <si>
    <t>AP Physics 2</t>
  </si>
  <si>
    <t>03206</t>
  </si>
  <si>
    <t xml:space="preserve">IB Design Technology </t>
  </si>
  <si>
    <t>03207</t>
  </si>
  <si>
    <t xml:space="preserve">AP Environmental Science </t>
  </si>
  <si>
    <t>03208</t>
  </si>
  <si>
    <t>AP/Dual Credit Computer Science – Science (11th-12th grade content)</t>
  </si>
  <si>
    <t>03209</t>
  </si>
  <si>
    <t>AP/Dual Credit Engineering – Science (11th-12th grade content)</t>
  </si>
  <si>
    <t>04001</t>
  </si>
  <si>
    <t>Geography (5-12)</t>
  </si>
  <si>
    <t>04003</t>
  </si>
  <si>
    <t xml:space="preserve">IB Geography </t>
  </si>
  <si>
    <t>04004</t>
  </si>
  <si>
    <t xml:space="preserve">AP Human Geography </t>
  </si>
  <si>
    <t>04051</t>
  </si>
  <si>
    <t>World History (5-12)</t>
  </si>
  <si>
    <t>04054</t>
  </si>
  <si>
    <t xml:space="preserve">IB History </t>
  </si>
  <si>
    <t>04057</t>
  </si>
  <si>
    <t xml:space="preserve">AP World History </t>
  </si>
  <si>
    <t>04101</t>
  </si>
  <si>
    <t>U.S. History (5-12)</t>
  </si>
  <si>
    <t>04104</t>
  </si>
  <si>
    <t xml:space="preserve">AP U.S. History </t>
  </si>
  <si>
    <t>04151</t>
  </si>
  <si>
    <t>American Government/Political Science (5-12)</t>
  </si>
  <si>
    <t>04157</t>
  </si>
  <si>
    <t xml:space="preserve">AP U.S. Government and Politics </t>
  </si>
  <si>
    <t>04159</t>
  </si>
  <si>
    <t xml:space="preserve">AP Government </t>
  </si>
  <si>
    <t>04201</t>
  </si>
  <si>
    <t>Economics (5-12)</t>
  </si>
  <si>
    <t>04203</t>
  </si>
  <si>
    <t xml:space="preserve">AP Microeconomics </t>
  </si>
  <si>
    <t>04204</t>
  </si>
  <si>
    <t xml:space="preserve">AP Macroeconomics </t>
  </si>
  <si>
    <t>04205</t>
  </si>
  <si>
    <t xml:space="preserve">AP Economics </t>
  </si>
  <si>
    <t>04206</t>
  </si>
  <si>
    <t xml:space="preserve">IB Economics </t>
  </si>
  <si>
    <t>04251</t>
  </si>
  <si>
    <t>Anthropology (5-12)</t>
  </si>
  <si>
    <t>04253</t>
  </si>
  <si>
    <t xml:space="preserve">IB Social and Cultural Anthropology </t>
  </si>
  <si>
    <t>04254</t>
  </si>
  <si>
    <t>Psychology (5-12)</t>
  </si>
  <si>
    <t>04256</t>
  </si>
  <si>
    <t xml:space="preserve">AP Psychology </t>
  </si>
  <si>
    <t>04257</t>
  </si>
  <si>
    <t xml:space="preserve">IB Psychology </t>
  </si>
  <si>
    <t>04258</t>
  </si>
  <si>
    <t>Sociology (5-12)</t>
  </si>
  <si>
    <t>04302</t>
  </si>
  <si>
    <t>Interdisciplinary Humanities (5-12)</t>
  </si>
  <si>
    <t>05052</t>
  </si>
  <si>
    <t>Theater Arts (5-12)</t>
  </si>
  <si>
    <t>05114</t>
  </si>
  <si>
    <t xml:space="preserve">AP Music Theory </t>
  </si>
  <si>
    <t>05115</t>
  </si>
  <si>
    <t xml:space="preserve">IB Music </t>
  </si>
  <si>
    <t>05149</t>
  </si>
  <si>
    <t>Music (5-12)</t>
  </si>
  <si>
    <t>05153</t>
  </si>
  <si>
    <t>AP Art History</t>
  </si>
  <si>
    <t>05173</t>
  </si>
  <si>
    <t>IB Visual Arts</t>
  </si>
  <si>
    <t>05199</t>
  </si>
  <si>
    <t>Visual Arts (5-12)</t>
  </si>
  <si>
    <t>08001</t>
  </si>
  <si>
    <t>Physical Education (5-12)</t>
  </si>
  <si>
    <t>08051</t>
  </si>
  <si>
    <t>Health Education (5-12)</t>
  </si>
  <si>
    <t>09002</t>
  </si>
  <si>
    <t>Military Jr. ROTC</t>
  </si>
  <si>
    <t>10001</t>
  </si>
  <si>
    <t>Introduction to Computer Technology (5-12)</t>
  </si>
  <si>
    <t>10049</t>
  </si>
  <si>
    <t>Computer Information Technology (5-12)</t>
  </si>
  <si>
    <t>10157</t>
  </si>
  <si>
    <t xml:space="preserve">AP Computer Science A </t>
  </si>
  <si>
    <t>11101</t>
  </si>
  <si>
    <t>Journalism (5-12)</t>
  </si>
  <si>
    <t>11103</t>
  </si>
  <si>
    <t>Broadcasting Technology (5-12)</t>
  </si>
  <si>
    <t>12005</t>
  </si>
  <si>
    <t>Keyboarding (K-12)</t>
  </si>
  <si>
    <t>20005</t>
  </si>
  <si>
    <r>
      <t xml:space="preserve">Secondary - Miscellaneous/Exploratory (5-12 </t>
    </r>
    <r>
      <rPr>
        <sz val="10"/>
        <color rgb="FFFF0000"/>
        <rFont val="MS Reference Sans Serif"/>
        <family val="2"/>
      </rPr>
      <t>(Restricted)</t>
    </r>
  </si>
  <si>
    <t>Secondary - Elective/Exploratory (5-12)</t>
  </si>
  <si>
    <t>21005</t>
  </si>
  <si>
    <t>Engineering (5-12)</t>
  </si>
  <si>
    <t>22001</t>
  </si>
  <si>
    <t>National Standardized Test Preparation</t>
  </si>
  <si>
    <t>22002</t>
  </si>
  <si>
    <t xml:space="preserve">Idaho State Test Preparation </t>
  </si>
  <si>
    <t>22051</t>
  </si>
  <si>
    <t>Office/Library/Classroom Aide</t>
  </si>
  <si>
    <t>22150</t>
  </si>
  <si>
    <r>
      <t xml:space="preserve">Juvenile Detention Instruction </t>
    </r>
    <r>
      <rPr>
        <sz val="10"/>
        <color indexed="10"/>
        <rFont val="MS Reference Sans Serif"/>
        <family val="2"/>
      </rPr>
      <t>(Restricted)</t>
    </r>
  </si>
  <si>
    <t>Juvenile Detention Instruction (RESTRICTED)</t>
  </si>
  <si>
    <t>23001</t>
  </si>
  <si>
    <t>Pre-kindergarten - Title I-A (Pre-school Only)</t>
  </si>
  <si>
    <t>23002</t>
  </si>
  <si>
    <r>
      <t xml:space="preserve">Pre-kindergarten - Title I-C </t>
    </r>
    <r>
      <rPr>
        <sz val="10"/>
        <color rgb="FFFF0000"/>
        <rFont val="MS Reference Sans Serif"/>
        <family val="2"/>
      </rPr>
      <t>(Migrant Only)</t>
    </r>
  </si>
  <si>
    <t>Pre-kindergarten - Migrant Only</t>
  </si>
  <si>
    <t>23003</t>
  </si>
  <si>
    <t>23004</t>
  </si>
  <si>
    <t>23005</t>
  </si>
  <si>
    <t>23006</t>
  </si>
  <si>
    <t>23007</t>
  </si>
  <si>
    <t>23008</t>
  </si>
  <si>
    <t>23009</t>
  </si>
  <si>
    <t>24052</t>
  </si>
  <si>
    <t>Spanish (K-12)</t>
  </si>
  <si>
    <t>24053</t>
  </si>
  <si>
    <t>Spanish (5-12)</t>
  </si>
  <si>
    <t>24062</t>
  </si>
  <si>
    <t>IB Language A: Literature—Spanish</t>
  </si>
  <si>
    <t>24063</t>
  </si>
  <si>
    <t xml:space="preserve">IB Language B—Spanish </t>
  </si>
  <si>
    <t>24064</t>
  </si>
  <si>
    <t xml:space="preserve">AP Spanish Language and Culture </t>
  </si>
  <si>
    <t>24102</t>
  </si>
  <si>
    <t>French (K-12)</t>
  </si>
  <si>
    <t>24103</t>
  </si>
  <si>
    <t>French (5-12)</t>
  </si>
  <si>
    <t>24112</t>
  </si>
  <si>
    <t>IB Language A: Literature—French</t>
  </si>
  <si>
    <t>24113</t>
  </si>
  <si>
    <t xml:space="preserve">IB Language B—French </t>
  </si>
  <si>
    <t>24114</t>
  </si>
  <si>
    <t>AP French Language and Culture</t>
  </si>
  <si>
    <t>24252</t>
  </si>
  <si>
    <t>German (K-12)</t>
  </si>
  <si>
    <t>24253</t>
  </si>
  <si>
    <t>German (5-12)</t>
  </si>
  <si>
    <t>24264</t>
  </si>
  <si>
    <t xml:space="preserve">AP German Language and Culture </t>
  </si>
  <si>
    <t>24342</t>
  </si>
  <si>
    <t>Latin (K-12)</t>
  </si>
  <si>
    <t>24343</t>
  </si>
  <si>
    <t>Latin (5-12)</t>
  </si>
  <si>
    <t>24852</t>
  </si>
  <si>
    <t>American Sign Language (K-12)</t>
  </si>
  <si>
    <t>24853</t>
  </si>
  <si>
    <t>American Sign Language (5-12)</t>
  </si>
  <si>
    <t>24989</t>
  </si>
  <si>
    <t>World Language (5-12)</t>
  </si>
  <si>
    <t>31000</t>
  </si>
  <si>
    <t>College and Career Ready Advisor</t>
  </si>
  <si>
    <t>31049</t>
  </si>
  <si>
    <t>Athletic Facilitator</t>
  </si>
  <si>
    <t>31300</t>
  </si>
  <si>
    <t>Coordinator</t>
  </si>
  <si>
    <t>31430</t>
  </si>
  <si>
    <t>Technology Assistance Specialist</t>
  </si>
  <si>
    <t>31460</t>
  </si>
  <si>
    <t>Mentor Specialist</t>
  </si>
  <si>
    <t>31540</t>
  </si>
  <si>
    <t>Gifted/Talented Specialist</t>
  </si>
  <si>
    <t>31610</t>
  </si>
  <si>
    <t>Teacher Leader – Special Education</t>
  </si>
  <si>
    <t>31611</t>
  </si>
  <si>
    <t>Teacher Leader - Mathematics</t>
  </si>
  <si>
    <t>31612</t>
  </si>
  <si>
    <t>Teacher Leader - Instructional Specialist</t>
  </si>
  <si>
    <t>31613</t>
  </si>
  <si>
    <t>Teacher Leader - Literacy</t>
  </si>
  <si>
    <t>31990</t>
  </si>
  <si>
    <r>
      <t>Homeless Liaison/Prevention Specialist</t>
    </r>
    <r>
      <rPr>
        <b/>
        <sz val="10"/>
        <rFont val="MS Reference Sans Serif"/>
        <family val="2"/>
      </rPr>
      <t xml:space="preserve"> </t>
    </r>
    <r>
      <rPr>
        <sz val="10"/>
        <color rgb="FFFF0000"/>
        <rFont val="MS Reference Sans Serif"/>
        <family val="2"/>
      </rPr>
      <t>(Restricted)</t>
    </r>
  </si>
  <si>
    <r>
      <t>Homeless Liaison/Prevention Specialist</t>
    </r>
    <r>
      <rPr>
        <b/>
        <sz val="10"/>
        <color theme="0" tint="-0.249977111117893"/>
        <rFont val="MS Reference Sans Serif"/>
        <family val="2"/>
      </rPr>
      <t xml:space="preserve"> </t>
    </r>
    <r>
      <rPr>
        <sz val="10"/>
        <color theme="0" tint="-0.249977111117893"/>
        <rFont val="MS Reference Sans Serif"/>
        <family val="2"/>
      </rPr>
      <t>(RESTRICTED)</t>
    </r>
  </si>
  <si>
    <t>32010</t>
  </si>
  <si>
    <t>Audiologist</t>
  </si>
  <si>
    <t>32050</t>
  </si>
  <si>
    <t>Speech/Language Pathologist</t>
  </si>
  <si>
    <t>32070</t>
  </si>
  <si>
    <t>32080</t>
  </si>
  <si>
    <t>School Psychologist</t>
  </si>
  <si>
    <t>32090</t>
  </si>
  <si>
    <t>School Social Worker</t>
  </si>
  <si>
    <t>32110</t>
  </si>
  <si>
    <t>32111</t>
  </si>
  <si>
    <r>
      <t xml:space="preserve">School Counselor - Basic </t>
    </r>
    <r>
      <rPr>
        <sz val="10"/>
        <color rgb="FFFF0000"/>
        <rFont val="MS Reference Sans Serif"/>
        <family val="2"/>
      </rPr>
      <t>(Restricted)</t>
    </r>
  </si>
  <si>
    <t>School Counselor - Basic (Restricted)</t>
  </si>
  <si>
    <t>32120</t>
  </si>
  <si>
    <t>Occupational Therapist</t>
  </si>
  <si>
    <t>32130</t>
  </si>
  <si>
    <t>Physical Therapist</t>
  </si>
  <si>
    <t>32150</t>
  </si>
  <si>
    <r>
      <t>Community Resource Worker</t>
    </r>
    <r>
      <rPr>
        <b/>
        <sz val="10"/>
        <color indexed="8"/>
        <rFont val="MS Reference Sans Serif"/>
        <family val="2"/>
      </rPr>
      <t xml:space="preserve"> </t>
    </r>
    <r>
      <rPr>
        <sz val="10"/>
        <color rgb="FFFF0000"/>
        <rFont val="MS Reference Sans Serif"/>
        <family val="2"/>
      </rPr>
      <t>(Restricted)</t>
    </r>
  </si>
  <si>
    <r>
      <t>Community Resource Worker</t>
    </r>
    <r>
      <rPr>
        <b/>
        <sz val="10"/>
        <color theme="0" tint="-0.249977111117893"/>
        <rFont val="MS Reference Sans Serif"/>
        <family val="2"/>
      </rPr>
      <t xml:space="preserve"> </t>
    </r>
    <r>
      <rPr>
        <sz val="10"/>
        <color theme="0" tint="-0.249977111117893"/>
        <rFont val="MS Reference Sans Serif"/>
        <family val="2"/>
      </rPr>
      <t>(Restricted)</t>
    </r>
  </si>
  <si>
    <t>33001</t>
  </si>
  <si>
    <t>Teacher Librarian (K-12)</t>
  </si>
  <si>
    <t>41010</t>
  </si>
  <si>
    <t>41020</t>
  </si>
  <si>
    <t>Assistant Superintendent</t>
  </si>
  <si>
    <t>41050</t>
  </si>
  <si>
    <t>Charter Administrator</t>
  </si>
  <si>
    <t>42100</t>
  </si>
  <si>
    <t>42110</t>
  </si>
  <si>
    <t>42300</t>
  </si>
  <si>
    <r>
      <t>Head Teacher -</t>
    </r>
    <r>
      <rPr>
        <sz val="10"/>
        <color indexed="8"/>
        <rFont val="MS Reference Sans Serif"/>
        <family val="2"/>
      </rPr>
      <t xml:space="preserve"> </t>
    </r>
    <r>
      <rPr>
        <sz val="10"/>
        <color rgb="FFFF0000"/>
        <rFont val="MS Reference Sans Serif"/>
        <family val="2"/>
      </rPr>
      <t>(Restricted - Elementary ONLY)</t>
    </r>
  </si>
  <si>
    <t>Head Teacher - (Restricted - Elementary ONLY)</t>
  </si>
  <si>
    <t>43040</t>
  </si>
  <si>
    <t>Special Education Director</t>
  </si>
  <si>
    <t>46020</t>
  </si>
  <si>
    <r>
      <t>Administrator - Other</t>
    </r>
    <r>
      <rPr>
        <b/>
        <sz val="10"/>
        <color indexed="10"/>
        <rFont val="MS Reference Sans Serif"/>
        <family val="2"/>
      </rPr>
      <t xml:space="preserve"> </t>
    </r>
    <r>
      <rPr>
        <sz val="10"/>
        <color rgb="FFFF0000"/>
        <rFont val="MS Reference Sans Serif"/>
        <family val="2"/>
      </rPr>
      <t>(Restricted)</t>
    </r>
  </si>
  <si>
    <r>
      <t>Administrator - Other</t>
    </r>
    <r>
      <rPr>
        <b/>
        <sz val="10"/>
        <color theme="0" tint="-0.249977111117893"/>
        <rFont val="MS Reference Sans Serif"/>
        <family val="2"/>
      </rPr>
      <t xml:space="preserve"> </t>
    </r>
    <r>
      <rPr>
        <sz val="10"/>
        <color theme="0" tint="-0.249977111117893"/>
        <rFont val="MS Reference Sans Serif"/>
        <family val="2"/>
      </rPr>
      <t>(Restricted)</t>
    </r>
  </si>
  <si>
    <t>51001</t>
  </si>
  <si>
    <t>General English/Language Arts (5-8 Content)</t>
  </si>
  <si>
    <t>53000</t>
  </si>
  <si>
    <t xml:space="preserve">General Science (5-8 content) </t>
  </si>
  <si>
    <t>54305</t>
  </si>
  <si>
    <t>General Social Studies (5-8 content)</t>
  </si>
  <si>
    <t>73006</t>
  </si>
  <si>
    <t>Special Education -Support (5-12)</t>
  </si>
  <si>
    <t>73007</t>
  </si>
  <si>
    <t>Special Education - Content Teacher/Self-Contained (5-12)</t>
  </si>
  <si>
    <t>73008</t>
  </si>
  <si>
    <t>Visual Impaired Instruction – Special Education (Pre-K-12)</t>
  </si>
  <si>
    <t>Visual Impaired Instruction – Special Education (K-12)</t>
  </si>
  <si>
    <t>73009</t>
  </si>
  <si>
    <t>Deaf/Hard of Hearing – Special Education (Pre-K-12)</t>
  </si>
  <si>
    <t>Deaf/Hard of Hearing – Special Education (K-12)</t>
  </si>
  <si>
    <t>86000</t>
  </si>
  <si>
    <t>Early graduation after 1st semester of Sr. Year</t>
  </si>
  <si>
    <t>97101</t>
  </si>
  <si>
    <t xml:space="preserve">Business Manager/District Clerk </t>
  </si>
  <si>
    <t>97105</t>
  </si>
  <si>
    <t xml:space="preserve">Clerk – Board Of Trustees  </t>
  </si>
  <si>
    <t>97110</t>
  </si>
  <si>
    <t>Office Support Personnel – District</t>
  </si>
  <si>
    <t>97112</t>
  </si>
  <si>
    <t>Purchasing/Warehouse Personnel</t>
  </si>
  <si>
    <t>97115</t>
  </si>
  <si>
    <t>Office Support Personnel – Building</t>
  </si>
  <si>
    <t>97125</t>
  </si>
  <si>
    <t>Human Resources</t>
  </si>
  <si>
    <t>97130</t>
  </si>
  <si>
    <t>Public Information</t>
  </si>
  <si>
    <t>97201</t>
  </si>
  <si>
    <t>Custodian Supervisor</t>
  </si>
  <si>
    <t>97205</t>
  </si>
  <si>
    <t xml:space="preserve">Custodial Personnel </t>
  </si>
  <si>
    <t>97301</t>
  </si>
  <si>
    <t xml:space="preserve">Child Nutrition – Supervisor   </t>
  </si>
  <si>
    <t>97305</t>
  </si>
  <si>
    <t>Child Nutrition – Manager</t>
  </si>
  <si>
    <t>97310</t>
  </si>
  <si>
    <t xml:space="preserve">Child Nutrition – Food Preparation and Service </t>
  </si>
  <si>
    <t>97315</t>
  </si>
  <si>
    <t xml:space="preserve">Child Nutrition – Other   </t>
  </si>
  <si>
    <t>97401</t>
  </si>
  <si>
    <t>Building/Grounds Maintenance Supervisor</t>
  </si>
  <si>
    <t>97405</t>
  </si>
  <si>
    <t xml:space="preserve">Building/Grounds Maintenance Personnel </t>
  </si>
  <si>
    <t>97500</t>
  </si>
  <si>
    <t xml:space="preserve">Classroom Assistant </t>
  </si>
  <si>
    <t>97501</t>
  </si>
  <si>
    <t>Paraprofessional – General Education</t>
  </si>
  <si>
    <t>97502</t>
  </si>
  <si>
    <t>Paraprofessional – Special Education</t>
  </si>
  <si>
    <t>97503</t>
  </si>
  <si>
    <t>Paraprofessional – PK Special Education</t>
  </si>
  <si>
    <t>97504</t>
  </si>
  <si>
    <t>Paraprofessional – PK General Education</t>
  </si>
  <si>
    <t>97506</t>
  </si>
  <si>
    <t>Paraprofessional – Title I</t>
  </si>
  <si>
    <t>97507</t>
  </si>
  <si>
    <t>Paraprofessional – ESL/LEP</t>
  </si>
  <si>
    <t>97508</t>
  </si>
  <si>
    <t>Paraprofessional – Technology</t>
  </si>
  <si>
    <t>97509</t>
  </si>
  <si>
    <t xml:space="preserve">Paraprofessional – Migrant </t>
  </si>
  <si>
    <t>97520</t>
  </si>
  <si>
    <t>Related Services Assistant – Special Education</t>
  </si>
  <si>
    <t>97521</t>
  </si>
  <si>
    <t>Interpreter – Hearing Impaired</t>
  </si>
  <si>
    <t>97522</t>
  </si>
  <si>
    <t>Personal Care Assistant</t>
  </si>
  <si>
    <t>97530</t>
  </si>
  <si>
    <t>Library Assistant</t>
  </si>
  <si>
    <t>97601</t>
  </si>
  <si>
    <t xml:space="preserve">Pupil Transportation Supervisor </t>
  </si>
  <si>
    <t>97602</t>
  </si>
  <si>
    <t>Pupil Transportation Dispatcher/Secretary</t>
  </si>
  <si>
    <t>97603</t>
  </si>
  <si>
    <t>Pupil Transportation – School Bus Mechanic</t>
  </si>
  <si>
    <t>97604</t>
  </si>
  <si>
    <t xml:space="preserve">Pupil Transportation – School Bus Assistant </t>
  </si>
  <si>
    <t>97605</t>
  </si>
  <si>
    <t xml:space="preserve">Pupil Transportation – School Bus Drivers </t>
  </si>
  <si>
    <t>97606</t>
  </si>
  <si>
    <t>Pupil Transportation – School Bus Monitors</t>
  </si>
  <si>
    <t>97607</t>
  </si>
  <si>
    <t>Pupil Transportation – School Bus Driver Trainer</t>
  </si>
  <si>
    <t>97701</t>
  </si>
  <si>
    <t>Safe Environment – Security Personnel</t>
  </si>
  <si>
    <t>97702</t>
  </si>
  <si>
    <t>Safe Environment – Crossing Guard Personnel</t>
  </si>
  <si>
    <t>97703</t>
  </si>
  <si>
    <t xml:space="preserve">Safe Environment – Playground/Noon Duty/Hall Personnel </t>
  </si>
  <si>
    <t>97704</t>
  </si>
  <si>
    <t>Safe Environment – Before/After School Programs Personnel</t>
  </si>
  <si>
    <t>97705</t>
  </si>
  <si>
    <t>Safe Environment – Community Education</t>
  </si>
  <si>
    <t>97706</t>
  </si>
  <si>
    <t>Safe Environment – Attendance Officers</t>
  </si>
  <si>
    <t>97710</t>
  </si>
  <si>
    <t xml:space="preserve">Athletic/Physical Education/Coaching Assistant </t>
  </si>
  <si>
    <t>97711</t>
  </si>
  <si>
    <t>Health Care Assistant</t>
  </si>
  <si>
    <t>97712</t>
  </si>
  <si>
    <t>97713</t>
  </si>
  <si>
    <t>97714</t>
  </si>
  <si>
    <t>Community Resource Worker</t>
  </si>
  <si>
    <t>97715</t>
  </si>
  <si>
    <r>
      <t xml:space="preserve">Special Project Personnel </t>
    </r>
    <r>
      <rPr>
        <sz val="10"/>
        <color rgb="FFFF0000"/>
        <rFont val="MS Reference Sans Serif"/>
        <family val="2"/>
      </rPr>
      <t>(Restricted)</t>
    </r>
  </si>
  <si>
    <t>Special Project Personnel (RESTRICTED)</t>
  </si>
  <si>
    <t>97716</t>
  </si>
  <si>
    <t>Grant Writer – Special Project Personnel</t>
  </si>
  <si>
    <t>97724</t>
  </si>
  <si>
    <t>Drivers’ Education</t>
  </si>
  <si>
    <t>97725</t>
  </si>
  <si>
    <r>
      <t xml:space="preserve">Other Non-Certified, Specify </t>
    </r>
    <r>
      <rPr>
        <sz val="10"/>
        <color rgb="FFFF0000"/>
        <rFont val="MS Reference Sans Serif"/>
        <family val="2"/>
      </rPr>
      <t>(Restricted)</t>
    </r>
  </si>
  <si>
    <t>Other Non-Certified, Specify (RESTRICTED)</t>
  </si>
  <si>
    <t>97727</t>
  </si>
  <si>
    <t xml:space="preserve">IT (Technology)/Data Analysis Services </t>
  </si>
  <si>
    <t>97730</t>
  </si>
  <si>
    <t>Computer Technology Technician</t>
  </si>
  <si>
    <t>97735</t>
  </si>
  <si>
    <t>97740</t>
  </si>
  <si>
    <t>Migrant Family Liaison</t>
  </si>
  <si>
    <t>97745</t>
  </si>
  <si>
    <t>Migrant Graduation Specialist</t>
  </si>
  <si>
    <t>100010</t>
  </si>
  <si>
    <t>Computer Technology I</t>
  </si>
  <si>
    <t>100011</t>
  </si>
  <si>
    <t>Computer Technology II</t>
  </si>
  <si>
    <t>100030</t>
  </si>
  <si>
    <t xml:space="preserve">Fundamentals of Information Systems Technology </t>
  </si>
  <si>
    <t>Business Computer Applications I</t>
  </si>
  <si>
    <t>100051</t>
  </si>
  <si>
    <t>Business Computer Applications  II</t>
  </si>
  <si>
    <t>100052</t>
  </si>
  <si>
    <t>Business Computer Applications III</t>
  </si>
  <si>
    <t>100130</t>
  </si>
  <si>
    <t>PLTW Computer Science Essentials</t>
  </si>
  <si>
    <t>100140</t>
  </si>
  <si>
    <t>PLTW Computer Science A</t>
  </si>
  <si>
    <t>100150</t>
  </si>
  <si>
    <t>PLTW Computer Science Principles</t>
  </si>
  <si>
    <t>100160</t>
  </si>
  <si>
    <t>PLTW Cybersecurity</t>
  </si>
  <si>
    <t>100190</t>
  </si>
  <si>
    <t>Computer Science I</t>
  </si>
  <si>
    <t>100191</t>
  </si>
  <si>
    <t>Computer Science II</t>
  </si>
  <si>
    <t>100192</t>
  </si>
  <si>
    <t>Computer Science III</t>
  </si>
  <si>
    <t>100470</t>
  </si>
  <si>
    <t>Computer Science Advanced Studies</t>
  </si>
  <si>
    <t>100480</t>
  </si>
  <si>
    <t>Work-Based Learning - Computer Support</t>
  </si>
  <si>
    <t>100510</t>
  </si>
  <si>
    <t>Information Technology</t>
  </si>
  <si>
    <t>Introduction to Information Technology</t>
  </si>
  <si>
    <t>100520</t>
  </si>
  <si>
    <t>Computer Science-Database Design &amp; Programming</t>
  </si>
  <si>
    <t>101010</t>
  </si>
  <si>
    <t>Networking Support I</t>
  </si>
  <si>
    <t>101030</t>
  </si>
  <si>
    <t>Networking Support II</t>
  </si>
  <si>
    <t>101480</t>
  </si>
  <si>
    <t>Advanced Networking</t>
  </si>
  <si>
    <t>101481</t>
  </si>
  <si>
    <t>Work-Based Learning - Network Support</t>
  </si>
  <si>
    <t>101520</t>
  </si>
  <si>
    <t>Computer Programming &amp; Software Development I</t>
  </si>
  <si>
    <t>101521</t>
  </si>
  <si>
    <t>Computer Programming &amp; Software Development II</t>
  </si>
  <si>
    <t>101522</t>
  </si>
  <si>
    <t>Programming &amp; Software Development I</t>
  </si>
  <si>
    <t>101523</t>
  </si>
  <si>
    <t>Programming &amp; Software Development II</t>
  </si>
  <si>
    <t>101524</t>
  </si>
  <si>
    <t>Programming &amp; Software Development III</t>
  </si>
  <si>
    <t>101980</t>
  </si>
  <si>
    <t>Work-Based Learning - Programming &amp; Software Development</t>
  </si>
  <si>
    <t>102010</t>
  </si>
  <si>
    <t>Web Design I - Introduction to XHTML &amp; XML</t>
  </si>
  <si>
    <t>102011</t>
  </si>
  <si>
    <t>Web Design II - Web Site Authoring Tools</t>
  </si>
  <si>
    <t>102012</t>
  </si>
  <si>
    <t>Web Design &amp; Development I</t>
  </si>
  <si>
    <t>102013</t>
  </si>
  <si>
    <t>Web Design &amp; Development II</t>
  </si>
  <si>
    <t>102014</t>
  </si>
  <si>
    <t>Business Digital Communications</t>
  </si>
  <si>
    <t>102015</t>
  </si>
  <si>
    <t>Web Design &amp; Development III</t>
  </si>
  <si>
    <t>102030</t>
  </si>
  <si>
    <t>Introduction to Interactive Media</t>
  </si>
  <si>
    <t>102480</t>
  </si>
  <si>
    <t>Work-Based Learning - Business Digital Communications</t>
  </si>
  <si>
    <t>102481</t>
  </si>
  <si>
    <t>Work-Based Learning - Web Design &amp; Development</t>
  </si>
  <si>
    <t>102530</t>
  </si>
  <si>
    <t>Desktop Support I</t>
  </si>
  <si>
    <t>102531</t>
  </si>
  <si>
    <t>Desktop Support II</t>
  </si>
  <si>
    <t>102532</t>
  </si>
  <si>
    <t>Technology Assistant Internship</t>
  </si>
  <si>
    <t>102540</t>
  </si>
  <si>
    <t>Computer Support Essentials</t>
  </si>
  <si>
    <t>102560</t>
  </si>
  <si>
    <t>Computer Design &amp; Networking</t>
  </si>
  <si>
    <t>110010</t>
  </si>
  <si>
    <t>Communication Systems I</t>
  </si>
  <si>
    <t>110020</t>
  </si>
  <si>
    <t>Communication Systems II</t>
  </si>
  <si>
    <t>110520</t>
  </si>
  <si>
    <t>Photography Level I</t>
  </si>
  <si>
    <t>110521</t>
  </si>
  <si>
    <t>Photography Level II</t>
  </si>
  <si>
    <t>110522</t>
  </si>
  <si>
    <t>Photography Level III</t>
  </si>
  <si>
    <t>110550</t>
  </si>
  <si>
    <t>Interactive Media - Video I</t>
  </si>
  <si>
    <t>110551</t>
  </si>
  <si>
    <t>Interactive Media - Video II</t>
  </si>
  <si>
    <t>110552</t>
  </si>
  <si>
    <t>Video Editing Technology</t>
  </si>
  <si>
    <t>111010</t>
  </si>
  <si>
    <t>Journalism Level I</t>
  </si>
  <si>
    <t>111011</t>
  </si>
  <si>
    <t>Journalism Level II</t>
  </si>
  <si>
    <t>111012</t>
  </si>
  <si>
    <t>Journalism Level III</t>
  </si>
  <si>
    <t>111030</t>
  </si>
  <si>
    <t>Broadcast/Video Technologies Level I</t>
  </si>
  <si>
    <t>111031</t>
  </si>
  <si>
    <t>Broadcast/Video Technologies Level II</t>
  </si>
  <si>
    <t>111032</t>
  </si>
  <si>
    <t>Broadcast/Video Technologies Level III</t>
  </si>
  <si>
    <t>111040</t>
  </si>
  <si>
    <t>Publishing I</t>
  </si>
  <si>
    <t>111041</t>
  </si>
  <si>
    <t>Publishing II</t>
  </si>
  <si>
    <t>111480</t>
  </si>
  <si>
    <t>Work-Based Learning - Digital Media Technology - Journalism</t>
  </si>
  <si>
    <t>111530</t>
  </si>
  <si>
    <t>Interactive Media - Graphics I</t>
  </si>
  <si>
    <t>111533</t>
  </si>
  <si>
    <t>Media Technologies Fundamentals</t>
  </si>
  <si>
    <t>111534</t>
  </si>
  <si>
    <t>Interactive Media - Graphics II</t>
  </si>
  <si>
    <t>111535</t>
  </si>
  <si>
    <t>Digital Imaging Technology</t>
  </si>
  <si>
    <t>111540</t>
  </si>
  <si>
    <t>Graphic Communications Level I</t>
  </si>
  <si>
    <t>111541</t>
  </si>
  <si>
    <t>Graphic Communications Level II</t>
  </si>
  <si>
    <t>111542</t>
  </si>
  <si>
    <t>Graphic Communications Level III</t>
  </si>
  <si>
    <t>111980</t>
  </si>
  <si>
    <t>Work-Based Learning - Graphic Design</t>
  </si>
  <si>
    <t>111981</t>
  </si>
  <si>
    <t>Work-Based Learning - Digital Media Technology | Broadcasting</t>
  </si>
  <si>
    <t>111982</t>
  </si>
  <si>
    <t>Work-Based Learning - Digital Media Technology | Commercial Photography</t>
  </si>
  <si>
    <t>120010</t>
  </si>
  <si>
    <t>Business Essentials</t>
  </si>
  <si>
    <t>120021</t>
  </si>
  <si>
    <t>Office Technologies</t>
  </si>
  <si>
    <t>120030</t>
  </si>
  <si>
    <t>Business Administration</t>
  </si>
  <si>
    <t>120090</t>
  </si>
  <si>
    <t>Business Communications</t>
  </si>
  <si>
    <t>120480</t>
  </si>
  <si>
    <t>Work-Based Learning - Administrative Services</t>
  </si>
  <si>
    <t>120530</t>
  </si>
  <si>
    <t>Business Ownership/Entrepreneurship</t>
  </si>
  <si>
    <t>120540</t>
  </si>
  <si>
    <t>Business Law/Ethics Applications</t>
  </si>
  <si>
    <t>120552</t>
  </si>
  <si>
    <t>Business Management</t>
  </si>
  <si>
    <t>120560</t>
  </si>
  <si>
    <t>International Business/Marketing</t>
  </si>
  <si>
    <t>Introduction to International Business/Marketing</t>
  </si>
  <si>
    <t>120561</t>
  </si>
  <si>
    <t>Business Marketing</t>
  </si>
  <si>
    <t>120980</t>
  </si>
  <si>
    <t>Work-Based Learning - Business Management</t>
  </si>
  <si>
    <t>120990</t>
  </si>
  <si>
    <t>Leadership in Business and Marketing</t>
  </si>
  <si>
    <t>121011</t>
  </si>
  <si>
    <t>Financial Services</t>
  </si>
  <si>
    <t>Introduction to Financial Services</t>
  </si>
  <si>
    <t>121012</t>
  </si>
  <si>
    <t>Banking &amp; Finance Services</t>
  </si>
  <si>
    <t>121013</t>
  </si>
  <si>
    <t>Personal Business Finance</t>
  </si>
  <si>
    <t>121020</t>
  </si>
  <si>
    <t>Banking &amp; Credit</t>
  </si>
  <si>
    <t>121030</t>
  </si>
  <si>
    <t>Financial Planning/Financial Operations</t>
  </si>
  <si>
    <t>121040</t>
  </si>
  <si>
    <t>Accounting I</t>
  </si>
  <si>
    <t>121041</t>
  </si>
  <si>
    <t>Accounting II</t>
  </si>
  <si>
    <t>121042</t>
  </si>
  <si>
    <t>Computerized Accounting</t>
  </si>
  <si>
    <t>121050</t>
  </si>
  <si>
    <t>Economics &amp; the World of Finance</t>
  </si>
  <si>
    <t>121060</t>
  </si>
  <si>
    <t>Principles of Insurance</t>
  </si>
  <si>
    <t>121070</t>
  </si>
  <si>
    <t>Securities</t>
  </si>
  <si>
    <t>121110</t>
  </si>
  <si>
    <t>Forensic Accounting &amp; Fraud Investigation</t>
  </si>
  <si>
    <t>121480</t>
  </si>
  <si>
    <t>Work-Based Learning - Applied Accounting</t>
  </si>
  <si>
    <t>121490</t>
  </si>
  <si>
    <t>International Finance</t>
  </si>
  <si>
    <t>121491</t>
  </si>
  <si>
    <t>Principles of World Finance</t>
  </si>
  <si>
    <t>121530</t>
  </si>
  <si>
    <t>Fashion Merchandising &amp; Marketing</t>
  </si>
  <si>
    <t>121610</t>
  </si>
  <si>
    <t>Retail Merchandising</t>
  </si>
  <si>
    <t>121620</t>
  </si>
  <si>
    <t>E-Commerce</t>
  </si>
  <si>
    <t>121630</t>
  </si>
  <si>
    <t>Sports &amp; Entertainment Marketing</t>
  </si>
  <si>
    <t>121640</t>
  </si>
  <si>
    <t>Principles of Marketing</t>
  </si>
  <si>
    <t>121650</t>
  </si>
  <si>
    <t>Principles of Promotion</t>
  </si>
  <si>
    <t>121660</t>
  </si>
  <si>
    <t>Principles of Management</t>
  </si>
  <si>
    <t>121670</t>
  </si>
  <si>
    <t>Marketing Economics (Applied Economics)</t>
  </si>
  <si>
    <t>121671</t>
  </si>
  <si>
    <t>Digital Marketing</t>
  </si>
  <si>
    <t>121980</t>
  </si>
  <si>
    <t>Work-Based Learning - Marketing</t>
  </si>
  <si>
    <t>121981</t>
  </si>
  <si>
    <t>Marketing School-Based Enterprise</t>
  </si>
  <si>
    <t>129985</t>
  </si>
  <si>
    <t>Marketing Research</t>
  </si>
  <si>
    <t>129990</t>
  </si>
  <si>
    <t>HSB Leadership</t>
  </si>
  <si>
    <t>129991</t>
  </si>
  <si>
    <t>HSB Wealth Management</t>
  </si>
  <si>
    <t>129992</t>
  </si>
  <si>
    <t>HSB Principles of Business</t>
  </si>
  <si>
    <t>129993</t>
  </si>
  <si>
    <t>HSB Business Economics</t>
  </si>
  <si>
    <t>129994</t>
  </si>
  <si>
    <t>HSB Principles of Marketing</t>
  </si>
  <si>
    <t>129995</t>
  </si>
  <si>
    <t>HSB Principles of Finance</t>
  </si>
  <si>
    <t>129996</t>
  </si>
  <si>
    <t>HSB Principles of Management</t>
  </si>
  <si>
    <t>129997</t>
  </si>
  <si>
    <t>HSB Business Strategies</t>
  </si>
  <si>
    <t>129998</t>
  </si>
  <si>
    <t>Business Math</t>
  </si>
  <si>
    <t>130020</t>
  </si>
  <si>
    <t>Manufacturing Systems I</t>
  </si>
  <si>
    <t>130021</t>
  </si>
  <si>
    <t>Manufacturing Systems II</t>
  </si>
  <si>
    <t>130022</t>
  </si>
  <si>
    <t>Industrial Maintenance Mechanics Level I</t>
  </si>
  <si>
    <t>130023</t>
  </si>
  <si>
    <t>Industrial Maintenance Mechanics Level II</t>
  </si>
  <si>
    <t>130024</t>
  </si>
  <si>
    <t>Industrial Maintenance Mechanics Level III</t>
  </si>
  <si>
    <t>130025</t>
  </si>
  <si>
    <t>Automated Manufacturing Level I</t>
  </si>
  <si>
    <t>130026</t>
  </si>
  <si>
    <t>Automated Manufacturing Level II</t>
  </si>
  <si>
    <t>130027</t>
  </si>
  <si>
    <t>Automated Manufacturing Level III</t>
  </si>
  <si>
    <t>130980</t>
  </si>
  <si>
    <t>Work-Based Learning - Automated Manufacturing</t>
  </si>
  <si>
    <t>130981</t>
  </si>
  <si>
    <t>Work-Based Learning - Industrial Mechanics</t>
  </si>
  <si>
    <t>130982</t>
  </si>
  <si>
    <t>Work-Based Learning - Precision Machining</t>
  </si>
  <si>
    <t>132030</t>
  </si>
  <si>
    <t>Precision Machining Level I</t>
  </si>
  <si>
    <t>132031</t>
  </si>
  <si>
    <t>Precision Machining Level II</t>
  </si>
  <si>
    <t>132032</t>
  </si>
  <si>
    <t>Precision Machining Level III</t>
  </si>
  <si>
    <t>132070</t>
  </si>
  <si>
    <t>Welding Level I</t>
  </si>
  <si>
    <t>132071</t>
  </si>
  <si>
    <t>Welding Level II</t>
  </si>
  <si>
    <t>132072</t>
  </si>
  <si>
    <t>Welding Level III</t>
  </si>
  <si>
    <t>132480</t>
  </si>
  <si>
    <t>Work-Based Learning - Certified Welding</t>
  </si>
  <si>
    <t>140010</t>
  </si>
  <si>
    <t>Fundamentals of Health Professions</t>
  </si>
  <si>
    <t>140510</t>
  </si>
  <si>
    <t>Nursing Assistant</t>
  </si>
  <si>
    <t>140540</t>
  </si>
  <si>
    <t>Fundamentals of Dental Assisting</t>
  </si>
  <si>
    <t>Emergency Medical Technician</t>
  </si>
  <si>
    <t>Emergency Medical Technician - Basic</t>
  </si>
  <si>
    <t>140551</t>
  </si>
  <si>
    <t xml:space="preserve">Emergency Medical Responder </t>
  </si>
  <si>
    <t>140620</t>
  </si>
  <si>
    <t>Sports Medicine/Athletic Training</t>
  </si>
  <si>
    <t>140622</t>
  </si>
  <si>
    <t>Rehabilitation Services</t>
  </si>
  <si>
    <t>140980</t>
  </si>
  <si>
    <t>Work-Based Learning - Dental Assisting</t>
  </si>
  <si>
    <t>140981</t>
  </si>
  <si>
    <t>Work-Based Learning - Emergency Medical Technician</t>
  </si>
  <si>
    <t>140982</t>
  </si>
  <si>
    <t>Work-Based Learning - Nursing Assistant</t>
  </si>
  <si>
    <t>140983</t>
  </si>
  <si>
    <t>Work-Based Learning - Rehabilitation Services</t>
  </si>
  <si>
    <t>140990</t>
  </si>
  <si>
    <t>Mental Health Assistant</t>
  </si>
  <si>
    <t>141514</t>
  </si>
  <si>
    <t>Medical Assisting</t>
  </si>
  <si>
    <t>141515</t>
  </si>
  <si>
    <t>Advanced Medical Assisting</t>
  </si>
  <si>
    <t>141520</t>
  </si>
  <si>
    <t>Pharmacy Technician</t>
  </si>
  <si>
    <t>141540</t>
  </si>
  <si>
    <t>Medical Terminology</t>
  </si>
  <si>
    <t>Medical Terminology for Healthcare</t>
  </si>
  <si>
    <t>141551</t>
  </si>
  <si>
    <t>Anatomy and Physiology for Health Professions</t>
  </si>
  <si>
    <t>141980</t>
  </si>
  <si>
    <t>Work-Based Learning - Medical Assisting</t>
  </si>
  <si>
    <t>141981</t>
  </si>
  <si>
    <t>Work-Based Learning - Pharmacy Technician</t>
  </si>
  <si>
    <t>150010</t>
  </si>
  <si>
    <t>Orientation to Police, Fire, and Emergency Services</t>
  </si>
  <si>
    <t>150540</t>
  </si>
  <si>
    <t>Law Enforcement, Detention, and Corrections I</t>
  </si>
  <si>
    <t xml:space="preserve">Law Enforcement, Detention, and Corrections I </t>
  </si>
  <si>
    <t>150541</t>
  </si>
  <si>
    <t>Law Enforcement, Detention, and Corrections II</t>
  </si>
  <si>
    <t>150980</t>
  </si>
  <si>
    <t>Work-Based Learning - Law Enforcement</t>
  </si>
  <si>
    <t>151520</t>
  </si>
  <si>
    <t>Essentials of Firefighting</t>
  </si>
  <si>
    <t>151521</t>
  </si>
  <si>
    <t>Firefighting II</t>
  </si>
  <si>
    <t>Firefighting Level II</t>
  </si>
  <si>
    <t>151980</t>
  </si>
  <si>
    <t>Work-Based Learning - Firefighting</t>
  </si>
  <si>
    <t>160523</t>
  </si>
  <si>
    <t>Introduction to Culinary Arts</t>
  </si>
  <si>
    <t>160524</t>
  </si>
  <si>
    <t>Advanced Culinary Arts</t>
  </si>
  <si>
    <t>160530</t>
  </si>
  <si>
    <t>Foundational Foods</t>
  </si>
  <si>
    <t>160550</t>
  </si>
  <si>
    <t>Hospitality Management I</t>
  </si>
  <si>
    <t>160551</t>
  </si>
  <si>
    <t>Hospitality Management II</t>
  </si>
  <si>
    <t>160560</t>
  </si>
  <si>
    <t>International Cuisine</t>
  </si>
  <si>
    <t>160980</t>
  </si>
  <si>
    <t>Work-Based Learning - Hospitality Services</t>
  </si>
  <si>
    <t>160981</t>
  </si>
  <si>
    <t>Work-Based Learning - Hospitality Management</t>
  </si>
  <si>
    <t>160982</t>
  </si>
  <si>
    <t>Work-Based Learning - Culinary Arts</t>
  </si>
  <si>
    <t>161510</t>
  </si>
  <si>
    <t>Hospitality Services</t>
  </si>
  <si>
    <t>161511</t>
  </si>
  <si>
    <t>Travel &amp; Tourism</t>
  </si>
  <si>
    <t>Introduction to Travel &amp; Tourism</t>
  </si>
  <si>
    <t>161512</t>
  </si>
  <si>
    <t>Introduction to Hospitality Essentials</t>
  </si>
  <si>
    <t>161513</t>
  </si>
  <si>
    <t>Explore Hospitality &amp; Tourism</t>
  </si>
  <si>
    <t>161520</t>
  </si>
  <si>
    <t>English for Travel &amp; Tourism</t>
  </si>
  <si>
    <t>161521</t>
  </si>
  <si>
    <t>Promoting Hospitality and Tourism</t>
  </si>
  <si>
    <t>161522</t>
  </si>
  <si>
    <t>Travel &amp; Tourism II: Travel as a Business</t>
  </si>
  <si>
    <t>161530</t>
  </si>
  <si>
    <t>Geography for Travel &amp; Tourism</t>
  </si>
  <si>
    <t>161550</t>
  </si>
  <si>
    <t>Tour Idaho</t>
  </si>
  <si>
    <t>170010</t>
  </si>
  <si>
    <t>Construction Careers Exploration</t>
  </si>
  <si>
    <t>170020</t>
  </si>
  <si>
    <t>Construction Systems I</t>
  </si>
  <si>
    <t>170021</t>
  </si>
  <si>
    <t>Construction Systems II</t>
  </si>
  <si>
    <t>170030</t>
  </si>
  <si>
    <t>Residential Carpentry/Building Construction Level I</t>
  </si>
  <si>
    <t>170031</t>
  </si>
  <si>
    <t>Residential Carpentry/Building Construction Level II</t>
  </si>
  <si>
    <t>170032</t>
  </si>
  <si>
    <t>Residential Carpentry/Building Construction Level III</t>
  </si>
  <si>
    <t>170070</t>
  </si>
  <si>
    <t>Introduction to Cabinetry</t>
  </si>
  <si>
    <t>170071</t>
  </si>
  <si>
    <t>Cabinetry and Millwork Level I</t>
  </si>
  <si>
    <t>170072</t>
  </si>
  <si>
    <t>Cabinetry and Millwork Level II</t>
  </si>
  <si>
    <t>170073</t>
  </si>
  <si>
    <t>Cabinetry and Millwork Level III</t>
  </si>
  <si>
    <t>170074</t>
  </si>
  <si>
    <t xml:space="preserve">Advanced Cabinetry </t>
  </si>
  <si>
    <t>170080</t>
  </si>
  <si>
    <t>Masonry Level I</t>
  </si>
  <si>
    <t>170081</t>
  </si>
  <si>
    <t>Masonry Level II</t>
  </si>
  <si>
    <t>170082</t>
  </si>
  <si>
    <t>Masonry Level III</t>
  </si>
  <si>
    <t>170100</t>
  </si>
  <si>
    <t>Home Technology Integration Level I</t>
  </si>
  <si>
    <t>170101</t>
  </si>
  <si>
    <t>Home Technology Integration Level II</t>
  </si>
  <si>
    <t>170480</t>
  </si>
  <si>
    <t>Work-Based Learning - Construction Trades Technology</t>
  </si>
  <si>
    <t>170481</t>
  </si>
  <si>
    <t>Work-Based Learning - Cabinetmaking &amp; Bench Carpentry</t>
  </si>
  <si>
    <t>170560</t>
  </si>
  <si>
    <t>HVAC Pre-Apprenticeship Level II</t>
  </si>
  <si>
    <t>Heating, Ventilating, and Air-Conditioning (HVAC) Pre-Apprenticeship Level II</t>
  </si>
  <si>
    <t>170565</t>
  </si>
  <si>
    <t>HVAC Pre-Apprenticeship Level III</t>
  </si>
  <si>
    <t>Heating, Ventilating, and Air-Conditioning (HVAC) Pre-Apprenticeship Level III</t>
  </si>
  <si>
    <t>170580</t>
  </si>
  <si>
    <t>Plumbing Pre-Apprenticeship Level II</t>
  </si>
  <si>
    <t>170585</t>
  </si>
  <si>
    <t>Plumbing Pre-Apprenticeship Level III</t>
  </si>
  <si>
    <t>170980</t>
  </si>
  <si>
    <t>Work-Based Learning - HVAC Pre-Apprenticeship</t>
  </si>
  <si>
    <t>170981</t>
  </si>
  <si>
    <t>Work-Based Learning - Plumbing Pre-Apprenticeship</t>
  </si>
  <si>
    <t>171020</t>
  </si>
  <si>
    <t>Electrical Pre-Apprenticeship Level II</t>
  </si>
  <si>
    <t>171025</t>
  </si>
  <si>
    <t>Electrical Pre-Apprenticeship Level III</t>
  </si>
  <si>
    <t>171060</t>
  </si>
  <si>
    <t>Introduction to Electronics Technology</t>
  </si>
  <si>
    <t>171061</t>
  </si>
  <si>
    <t>Electronics Applications</t>
  </si>
  <si>
    <t>171062</t>
  </si>
  <si>
    <t>Electronics Technology Level I</t>
  </si>
  <si>
    <t>Basic Electronics Technology</t>
  </si>
  <si>
    <t>171063</t>
  </si>
  <si>
    <t>Electronics Technology Level II</t>
  </si>
  <si>
    <t>Intermediate Electronics Technology</t>
  </si>
  <si>
    <t>171064</t>
  </si>
  <si>
    <t>Electronics Technology Level III</t>
  </si>
  <si>
    <t>Advanced Electronics Technology</t>
  </si>
  <si>
    <t>171480</t>
  </si>
  <si>
    <t>Work-Based Learning - Electronics Technology</t>
  </si>
  <si>
    <t>171481</t>
  </si>
  <si>
    <t>Work-Based Learning - Electrical Pre-Apprenticeship</t>
  </si>
  <si>
    <t>180010</t>
  </si>
  <si>
    <t>Introduction to Agriculture Education</t>
  </si>
  <si>
    <t>180015</t>
  </si>
  <si>
    <t>Introduction to Natural Resources and Ecosystem Services</t>
  </si>
  <si>
    <t>180020</t>
  </si>
  <si>
    <t>Introduction to Agricultural Industry</t>
  </si>
  <si>
    <t>180040</t>
  </si>
  <si>
    <t>Agricultural Biology</t>
  </si>
  <si>
    <t>180052</t>
  </si>
  <si>
    <t>Environmental Sciences Technology Applications</t>
  </si>
  <si>
    <t>180510</t>
  </si>
  <si>
    <t>Introduction to Agricultural Plant Industry</t>
  </si>
  <si>
    <t>180511</t>
  </si>
  <si>
    <t>Science of Plant Growth &amp; Development</t>
  </si>
  <si>
    <t>180512</t>
  </si>
  <si>
    <t>Applied Crop Management</t>
  </si>
  <si>
    <t>180513</t>
  </si>
  <si>
    <t>Plant &amp; Soil Science</t>
  </si>
  <si>
    <t>Plant and Soil Science</t>
  </si>
  <si>
    <t>180514</t>
  </si>
  <si>
    <t>Standards of Agricultural Plant Science</t>
  </si>
  <si>
    <t>180515</t>
  </si>
  <si>
    <t>Horticulture Plant Science</t>
  </si>
  <si>
    <t>180520</t>
  </si>
  <si>
    <t>Landscape Design</t>
  </si>
  <si>
    <t>180521</t>
  </si>
  <si>
    <t>Floral Design and Marketing</t>
  </si>
  <si>
    <t>180522</t>
  </si>
  <si>
    <t>Advanced Floral Design &amp; Marketing</t>
  </si>
  <si>
    <t>180523</t>
  </si>
  <si>
    <t>Applied Greenhouse &amp; Nursery Management</t>
  </si>
  <si>
    <t>180524</t>
  </si>
  <si>
    <t>Standards of Agricultural Ornamental Horticulture</t>
  </si>
  <si>
    <t>180980</t>
  </si>
  <si>
    <t>Work-Based Learning - Ornamental Horticulture</t>
  </si>
  <si>
    <t>180981</t>
  </si>
  <si>
    <t>Work-Based Learning - Plant and Soil</t>
  </si>
  <si>
    <t>181010</t>
  </si>
  <si>
    <t>Introduction to Livestock Industry</t>
  </si>
  <si>
    <t>181011</t>
  </si>
  <si>
    <t>Animal Science</t>
  </si>
  <si>
    <t>181013</t>
  </si>
  <si>
    <t>Applied Livestock Management</t>
  </si>
  <si>
    <t>181017</t>
  </si>
  <si>
    <t>Science of Animal Reproduction</t>
  </si>
  <si>
    <t>181018</t>
  </si>
  <si>
    <t>Standards of Agricultural Animal Science</t>
  </si>
  <si>
    <t>181020</t>
  </si>
  <si>
    <t>Small Animal Care</t>
  </si>
  <si>
    <t>181040</t>
  </si>
  <si>
    <t>Equine Science</t>
  </si>
  <si>
    <t>181041</t>
  </si>
  <si>
    <t>Advanced Equine Science</t>
  </si>
  <si>
    <t>181050</t>
  </si>
  <si>
    <t>Veterinary Science</t>
  </si>
  <si>
    <t>181070</t>
  </si>
  <si>
    <t>Science of Animal Nutrition</t>
  </si>
  <si>
    <t>181480</t>
  </si>
  <si>
    <t>Work-Based Learning - Animal Science</t>
  </si>
  <si>
    <t>182010</t>
  </si>
  <si>
    <t>Agribusiness Management &amp; Marketing</t>
  </si>
  <si>
    <t>182011</t>
  </si>
  <si>
    <t>Agricultural Business &amp; Economics</t>
  </si>
  <si>
    <t>182012</t>
  </si>
  <si>
    <t>Agricultural Sales</t>
  </si>
  <si>
    <t>182020</t>
  </si>
  <si>
    <t>Experiential Learning and SAE Programs</t>
  </si>
  <si>
    <t>182030</t>
  </si>
  <si>
    <t xml:space="preserve">Personal Skill Development </t>
  </si>
  <si>
    <t>182031</t>
  </si>
  <si>
    <t>Advanced Leadership In Agriculture &amp; Marketing</t>
  </si>
  <si>
    <t>182032</t>
  </si>
  <si>
    <t>Principles of Agricultural Communications and Leadership</t>
  </si>
  <si>
    <t>182040</t>
  </si>
  <si>
    <t>Agricultural Economics</t>
  </si>
  <si>
    <t>182480</t>
  </si>
  <si>
    <t>Work-Based Learning - Agribusiness/Economics</t>
  </si>
  <si>
    <t>182481</t>
  </si>
  <si>
    <t>Work-Based Learning - Agriculture Communications &amp; Leadership</t>
  </si>
  <si>
    <t>183050</t>
  </si>
  <si>
    <t>Sanitation in Food Processing</t>
  </si>
  <si>
    <t>183052</t>
  </si>
  <si>
    <t>Introduction to Equipment in Food Processing</t>
  </si>
  <si>
    <t>183056</t>
  </si>
  <si>
    <t>Standards of Food Science &amp; Processing Technology</t>
  </si>
  <si>
    <t>183060</t>
  </si>
  <si>
    <t>Aquaculture Science</t>
  </si>
  <si>
    <t>183080</t>
  </si>
  <si>
    <t>Ag Biotechnology</t>
  </si>
  <si>
    <t>Agricultural Biotechnology</t>
  </si>
  <si>
    <t>183081</t>
  </si>
  <si>
    <t>Food Science</t>
  </si>
  <si>
    <t>183480</t>
  </si>
  <si>
    <t>Work-Based Learning - Food Science &amp; Processing</t>
  </si>
  <si>
    <t>184010</t>
  </si>
  <si>
    <t>Introduction to Agricultural Mechanics</t>
  </si>
  <si>
    <t>184011</t>
  </si>
  <si>
    <t>Small Gasoline Engines</t>
  </si>
  <si>
    <t>184012</t>
  </si>
  <si>
    <t>Agricultural Power Technology - Large Engines</t>
  </si>
  <si>
    <t>184013</t>
  </si>
  <si>
    <t>Agricultural Systems/Electricity &amp; Hydraulics</t>
  </si>
  <si>
    <t>184014</t>
  </si>
  <si>
    <t>Agricultural Machinery</t>
  </si>
  <si>
    <t>184015</t>
  </si>
  <si>
    <t>Agricultural Structures</t>
  </si>
  <si>
    <t>184016</t>
  </si>
  <si>
    <t>Advanced Small Gasoline Engines</t>
  </si>
  <si>
    <t>184017</t>
  </si>
  <si>
    <t>Standards of Agricultural Mechanics &amp; Power Systems</t>
  </si>
  <si>
    <t>184040</t>
  </si>
  <si>
    <t>Agricultural Welding</t>
  </si>
  <si>
    <t>184041</t>
  </si>
  <si>
    <t>Advanced Agricultural Welding</t>
  </si>
  <si>
    <t>184042</t>
  </si>
  <si>
    <t>Agricultural Power Technology</t>
  </si>
  <si>
    <t>184043</t>
  </si>
  <si>
    <t>Agricultural Fabrication</t>
  </si>
  <si>
    <t>184480</t>
  </si>
  <si>
    <t>Work-Based Learning - Agriculture Mechanics &amp; Power Systems</t>
  </si>
  <si>
    <t>184481</t>
  </si>
  <si>
    <t>Work-Based Learning - Agriculture Small Engine Repair/Power Sports</t>
  </si>
  <si>
    <t>184482</t>
  </si>
  <si>
    <t>Work-Based Learning - Agriculture Welding</t>
  </si>
  <si>
    <t>185021</t>
  </si>
  <si>
    <t>Forestry Science</t>
  </si>
  <si>
    <t>185040</t>
  </si>
  <si>
    <t>Natural Resource Science</t>
  </si>
  <si>
    <t>185041</t>
  </si>
  <si>
    <t>Environmental Science</t>
  </si>
  <si>
    <t>185050</t>
  </si>
  <si>
    <t>Introduction to Environmental Science Technology</t>
  </si>
  <si>
    <t>185051</t>
  </si>
  <si>
    <t>185052</t>
  </si>
  <si>
    <t>Advanced Environmental Science Technology Applications</t>
  </si>
  <si>
    <t>185053</t>
  </si>
  <si>
    <t>Forestry and Wildlife Management</t>
  </si>
  <si>
    <t>185054</t>
  </si>
  <si>
    <t>Fish and Wildlife Science</t>
  </si>
  <si>
    <t>185056</t>
  </si>
  <si>
    <t>Advanced Forestry Science</t>
  </si>
  <si>
    <t>185057</t>
  </si>
  <si>
    <t>Range Science</t>
  </si>
  <si>
    <t>185482</t>
  </si>
  <si>
    <t>Work-Based Learning - Ecology and Natural Resource Management</t>
  </si>
  <si>
    <t>190010</t>
  </si>
  <si>
    <t>Human Services</t>
  </si>
  <si>
    <t>190012</t>
  </si>
  <si>
    <t>Advanced Human Services</t>
  </si>
  <si>
    <t>190014</t>
  </si>
  <si>
    <t>Introduction to Family and Consumer Sciences (FCS) &amp; Human Services Careers</t>
  </si>
  <si>
    <t>191010</t>
  </si>
  <si>
    <t>Cosmetology I</t>
  </si>
  <si>
    <t>Fundamentals of Cosmetology</t>
  </si>
  <si>
    <t>191011</t>
  </si>
  <si>
    <t>Cosmetology II</t>
  </si>
  <si>
    <t>191012</t>
  </si>
  <si>
    <t>Cosmetology III</t>
  </si>
  <si>
    <t>191480</t>
  </si>
  <si>
    <t>Work-Based Learning - Cosmetology</t>
  </si>
  <si>
    <t>191510</t>
  </si>
  <si>
    <t>Education Assistant</t>
  </si>
  <si>
    <t>191511</t>
  </si>
  <si>
    <t>Advanced Education Assistant</t>
  </si>
  <si>
    <t>191530</t>
  </si>
  <si>
    <t>Early Childhood Professions</t>
  </si>
  <si>
    <t>191531</t>
  </si>
  <si>
    <t>Early Childhood Education</t>
  </si>
  <si>
    <t>191540</t>
  </si>
  <si>
    <t>Explorer Working with Young Children</t>
  </si>
  <si>
    <t>191980</t>
  </si>
  <si>
    <t>Work-Based Learning - Child Development &amp; Services</t>
  </si>
  <si>
    <t>191981</t>
  </si>
  <si>
    <t>Work-Based Learning - Education and Training</t>
  </si>
  <si>
    <t>192010</t>
  </si>
  <si>
    <t>Fashion/Design and Merchandising</t>
  </si>
  <si>
    <t>192011</t>
  </si>
  <si>
    <t>Fashion/Textiles</t>
  </si>
  <si>
    <t>192012</t>
  </si>
  <si>
    <t>Fashion Strategies</t>
  </si>
  <si>
    <t>192030</t>
  </si>
  <si>
    <t>Apparel Construction Fundamentals</t>
  </si>
  <si>
    <t>Apparel and Construction Fundamentals</t>
  </si>
  <si>
    <t>192050</t>
  </si>
  <si>
    <t>Housing, Interiors, and Furnishings</t>
  </si>
  <si>
    <t>192982</t>
  </si>
  <si>
    <t>Work-Based Learning - Apparel/Textiles</t>
  </si>
  <si>
    <t>201010</t>
  </si>
  <si>
    <t>Power, Energy, and Transportation Systems</t>
  </si>
  <si>
    <t>201011</t>
  </si>
  <si>
    <t>Power, Energy, and Transportation Systems II</t>
  </si>
  <si>
    <t>201030</t>
  </si>
  <si>
    <t>Automotive Technology Level I</t>
  </si>
  <si>
    <t>201031</t>
  </si>
  <si>
    <t>Automotive Technology Level II</t>
  </si>
  <si>
    <t>201032</t>
  </si>
  <si>
    <t>Automotive Technology Level III</t>
  </si>
  <si>
    <t>201070</t>
  </si>
  <si>
    <t>Heavy Equipment/Diesel Level I</t>
  </si>
  <si>
    <t>201071</t>
  </si>
  <si>
    <t>Heavy Equipment/Diesel Level II</t>
  </si>
  <si>
    <t>201072</t>
  </si>
  <si>
    <t>Heavy Equipment/Diesel Level III</t>
  </si>
  <si>
    <t>201101</t>
  </si>
  <si>
    <t>Small Engine Repair Level I</t>
  </si>
  <si>
    <t>201102</t>
  </si>
  <si>
    <t>Small Engine Repair Level II</t>
  </si>
  <si>
    <t>201103</t>
  </si>
  <si>
    <t>Small Engine Repair Level III</t>
  </si>
  <si>
    <t>201160</t>
  </si>
  <si>
    <t>Auto Body Collision Repair Level I</t>
  </si>
  <si>
    <t>201161</t>
  </si>
  <si>
    <t>Auto Body Collision Repair Level II</t>
  </si>
  <si>
    <t>201162</t>
  </si>
  <si>
    <t>Auto Body Collision Repair Level III</t>
  </si>
  <si>
    <t>201480</t>
  </si>
  <si>
    <t>Work-Based Learning - Small Engine Repair/Power Sports</t>
  </si>
  <si>
    <t>201481</t>
  </si>
  <si>
    <t>Work-Based Learning - Automotive Collision Repair</t>
  </si>
  <si>
    <t>201482</t>
  </si>
  <si>
    <t>Work-Based Learning - Automotive Maintenance &amp; Light Repair</t>
  </si>
  <si>
    <t>201483</t>
  </si>
  <si>
    <t>Work-Based Learning - Heavy Equipment/Diesel Technology</t>
  </si>
  <si>
    <t>210030</t>
  </si>
  <si>
    <t>Fundamentals of Engineering Technology</t>
  </si>
  <si>
    <t>210050</t>
  </si>
  <si>
    <t>Principles of Engineering</t>
  </si>
  <si>
    <t>210051</t>
  </si>
  <si>
    <t>Technological Design</t>
  </si>
  <si>
    <t>210060</t>
  </si>
  <si>
    <t>Introduction to Engineering Design</t>
  </si>
  <si>
    <t>210061</t>
  </si>
  <si>
    <t>Digital Electronics</t>
  </si>
  <si>
    <t>210062</t>
  </si>
  <si>
    <t>ITEEA Engineering Design</t>
  </si>
  <si>
    <t>210064</t>
  </si>
  <si>
    <t>Engineering Design and Development</t>
  </si>
  <si>
    <t>210090</t>
  </si>
  <si>
    <t>Robotics Engineering</t>
  </si>
  <si>
    <t>210091</t>
  </si>
  <si>
    <t>Robotics Applications</t>
  </si>
  <si>
    <t>210092</t>
  </si>
  <si>
    <t>Introduction to Robotics</t>
  </si>
  <si>
    <t>210093</t>
  </si>
  <si>
    <t>Robotics &amp; Automation</t>
  </si>
  <si>
    <t>210100</t>
  </si>
  <si>
    <t>Computer Integrated Manufacturing</t>
  </si>
  <si>
    <t>210120</t>
  </si>
  <si>
    <t>Civil Engineering &amp; Architecture</t>
  </si>
  <si>
    <t>Civil Engineering and Architecture</t>
  </si>
  <si>
    <t>210130</t>
  </si>
  <si>
    <t>Aerospace Engineering</t>
  </si>
  <si>
    <t>210140</t>
  </si>
  <si>
    <t>Biotechnical Engineering</t>
  </si>
  <si>
    <t>210480</t>
  </si>
  <si>
    <t>Work-Based Learning - Pre-Engineering Technology</t>
  </si>
  <si>
    <t>210520</t>
  </si>
  <si>
    <t>Advanced Design Applications</t>
  </si>
  <si>
    <t>211020</t>
  </si>
  <si>
    <t>Introduction to Drafting/Design Technology</t>
  </si>
  <si>
    <t>211021</t>
  </si>
  <si>
    <t>Drafting I</t>
  </si>
  <si>
    <t>211022</t>
  </si>
  <si>
    <t>Drafting II</t>
  </si>
  <si>
    <t>211023</t>
  </si>
  <si>
    <t>Drafting III</t>
  </si>
  <si>
    <t>211025</t>
  </si>
  <si>
    <t>3D Solid Modeling</t>
  </si>
  <si>
    <t>211030</t>
  </si>
  <si>
    <t>Introduction to Architectural Design</t>
  </si>
  <si>
    <t>211063</t>
  </si>
  <si>
    <t>Introduction to Mechanical Drafting/Design</t>
  </si>
  <si>
    <t>211480</t>
  </si>
  <si>
    <t>Work-Based Learning - Drafting and Design</t>
  </si>
  <si>
    <t>221010</t>
  </si>
  <si>
    <t>Leadership</t>
  </si>
  <si>
    <t>221510</t>
  </si>
  <si>
    <t>First Steps: Understanding the World of Work through Career and Technical Education (CTE)</t>
  </si>
  <si>
    <t>221520</t>
  </si>
  <si>
    <t>Strategies for Success</t>
  </si>
  <si>
    <t>221521</t>
  </si>
  <si>
    <t>Career Exploration and Employment Preparation</t>
  </si>
  <si>
    <t>221522</t>
  </si>
  <si>
    <t>Family and Consumer Sciences (FCS) Professions</t>
  </si>
  <si>
    <t>221523</t>
  </si>
  <si>
    <t>Career and Personal Development</t>
  </si>
  <si>
    <t>222080</t>
  </si>
  <si>
    <t>Family Health and Wellness</t>
  </si>
  <si>
    <t>222510</t>
  </si>
  <si>
    <t>Healthy Living, Healthy World</t>
  </si>
  <si>
    <t>222511</t>
  </si>
  <si>
    <t>Nutrition and Foods</t>
  </si>
  <si>
    <t>222512</t>
  </si>
  <si>
    <t>Food Science and Nutrition</t>
  </si>
  <si>
    <t>222513</t>
  </si>
  <si>
    <t>Teen Parenting</t>
  </si>
  <si>
    <t>222514</t>
  </si>
  <si>
    <t>Parenting and Child Development</t>
  </si>
  <si>
    <t>222515</t>
  </si>
  <si>
    <t>Teen Living</t>
  </si>
  <si>
    <t>222516</t>
  </si>
  <si>
    <t>Adult Living</t>
  </si>
  <si>
    <t>222517</t>
  </si>
  <si>
    <t>Personal and Family Finance/Economics</t>
  </si>
  <si>
    <t>Personal and Family Finance</t>
  </si>
  <si>
    <t>222518</t>
  </si>
  <si>
    <t>Advanced Nutrition and Wellness</t>
  </si>
  <si>
    <t>229980</t>
  </si>
  <si>
    <t>Work-Based Learning Experience I</t>
  </si>
  <si>
    <t>229981</t>
  </si>
  <si>
    <t>Work-Based Learning Experience II</t>
  </si>
  <si>
    <t>229982</t>
  </si>
  <si>
    <t>Work-Based Learning Experience III</t>
  </si>
  <si>
    <t>229983</t>
  </si>
  <si>
    <t>Work-Based Learning Experience IV</t>
  </si>
  <si>
    <t>229984</t>
  </si>
  <si>
    <t>Entrepreneurship Experience</t>
  </si>
  <si>
    <t>Entrepreneurship Experience - FCS</t>
  </si>
  <si>
    <t>313000</t>
  </si>
  <si>
    <t>CTE - Other District Staff</t>
  </si>
  <si>
    <t>460600</t>
  </si>
  <si>
    <t>CTE Administrator</t>
  </si>
  <si>
    <t>800010</t>
  </si>
  <si>
    <t>Grades 6-8 Agriculture, Food, &amp; Natural Resources</t>
  </si>
  <si>
    <t>Grades 6-8 - Agriculture, Foods, and Natural Resources</t>
  </si>
  <si>
    <t>800020</t>
  </si>
  <si>
    <t>Grades 6-8 Business and Marketing</t>
  </si>
  <si>
    <t>Grades 6-8 - Business &amp; Marketing</t>
  </si>
  <si>
    <t>800030</t>
  </si>
  <si>
    <t>Grades 6-8 Engineering &amp; Technology Education</t>
  </si>
  <si>
    <t>Grades 6-8 - Engineering &amp; Technology Education</t>
  </si>
  <si>
    <t>800040</t>
  </si>
  <si>
    <t>Grades 6-8 Family and Consumer Sciences &amp; Human Services</t>
  </si>
  <si>
    <t>Grades 6-8 - Family and Consumer Sciences &amp; Human Services</t>
  </si>
  <si>
    <t>800050</t>
  </si>
  <si>
    <t>Grades 6-8 Trades &amp; Industry</t>
  </si>
  <si>
    <t>Grades 6-8 - Trades and Industry</t>
  </si>
  <si>
    <t>800060</t>
  </si>
  <si>
    <t>Grades 6-8 Health Professions &amp; Public Safety</t>
  </si>
  <si>
    <t>Grades 6-8 - Health Professions &amp; Public Safety</t>
  </si>
  <si>
    <t>900001</t>
  </si>
  <si>
    <t>Advisory - CTE</t>
  </si>
  <si>
    <t>900002</t>
  </si>
  <si>
    <t>Aide - CTE Classroom</t>
  </si>
  <si>
    <t>900010</t>
  </si>
  <si>
    <t>Grades 9-12 Agriculture, Food &amp; Natural Resources</t>
  </si>
  <si>
    <t>Grades 9-12 - Agriculture, Foods, and Natural Resources</t>
  </si>
  <si>
    <t>900020</t>
  </si>
  <si>
    <t>Grades 9-12 Business and Marketing</t>
  </si>
  <si>
    <t>Grades 9-12 - Business &amp; Marketing</t>
  </si>
  <si>
    <t>900030</t>
  </si>
  <si>
    <t>Grades 9-12 Engineering &amp; Technology Education</t>
  </si>
  <si>
    <t>Grades 9-12 - Engineering &amp; Technology Education</t>
  </si>
  <si>
    <t>900040</t>
  </si>
  <si>
    <t>Grades 9-12 Family and Consumer Sciences &amp; Human Services</t>
  </si>
  <si>
    <t>Grades 9-12 - Family and Consumer Sciences &amp; Human Services</t>
  </si>
  <si>
    <t>900050</t>
  </si>
  <si>
    <t>Grades 9-12 Trades &amp; Industry</t>
  </si>
  <si>
    <t>Grades 9-12 - Trades and Industry</t>
  </si>
  <si>
    <t>900060</t>
  </si>
  <si>
    <t>Grades 9-12 Health Professions &amp; Public Safety</t>
  </si>
  <si>
    <t>Grades 9-12 - Health Professions &amp; Public Safety</t>
  </si>
  <si>
    <t>Type</t>
  </si>
  <si>
    <t>CODE</t>
  </si>
  <si>
    <t>ASSIGNMENT TITLE</t>
  </si>
  <si>
    <t>Content Grade</t>
  </si>
  <si>
    <t>isCOURSE</t>
  </si>
  <si>
    <t>isCAPSTONE</t>
  </si>
  <si>
    <t>ENDORSEMENT</t>
  </si>
  <si>
    <t>ENDORSEMENT TITLE</t>
  </si>
  <si>
    <t>ENDORSEMENT GRADE</t>
  </si>
  <si>
    <t>Instructional</t>
  </si>
  <si>
    <t>Elementary - Miscellaneous/Exploratory (K-8) (Restricted)</t>
  </si>
  <si>
    <t>K-8</t>
  </si>
  <si>
    <t>7010</t>
  </si>
  <si>
    <t>All Subjects (K-8)</t>
  </si>
  <si>
    <t>7014</t>
  </si>
  <si>
    <t>Blended Elementary Education/Elementary Special Education (4-6)</t>
  </si>
  <si>
    <t>4-6</t>
  </si>
  <si>
    <t>7083</t>
  </si>
  <si>
    <t>Blended Early Childhood/Early Childhood Special Education (Birth-Grade 3)</t>
  </si>
  <si>
    <t>PK-3</t>
  </si>
  <si>
    <t>K-12</t>
  </si>
  <si>
    <t>7139</t>
  </si>
  <si>
    <t>7770</t>
  </si>
  <si>
    <t>7710</t>
  </si>
  <si>
    <t>7711</t>
  </si>
  <si>
    <t>World Language - Spanish (K-12)</t>
  </si>
  <si>
    <t>7712</t>
  </si>
  <si>
    <t>World Language - French (K-12)</t>
  </si>
  <si>
    <t>7713</t>
  </si>
  <si>
    <t>World Language - German (K-12)</t>
  </si>
  <si>
    <t>7714</t>
  </si>
  <si>
    <t>World Language - Russian (K-12)</t>
  </si>
  <si>
    <t>7715</t>
  </si>
  <si>
    <t>World Language - Chinese (K-12)</t>
  </si>
  <si>
    <t>7750</t>
  </si>
  <si>
    <t>World Language - Latin (K-12)</t>
  </si>
  <si>
    <t>7780</t>
  </si>
  <si>
    <t>World Language - Greek (K-12)</t>
  </si>
  <si>
    <t>7782</t>
  </si>
  <si>
    <t>World Language - Arabic (K-12)</t>
  </si>
  <si>
    <t>7790</t>
  </si>
  <si>
    <t>World Language – Persian (K-12)</t>
  </si>
  <si>
    <t>7791</t>
  </si>
  <si>
    <t>World Language - Portuguese (K-12)</t>
  </si>
  <si>
    <t>7792</t>
  </si>
  <si>
    <t>World Language – Japanese (K-12)</t>
  </si>
  <si>
    <t>7793</t>
  </si>
  <si>
    <t>World Language – Italian (K-12)</t>
  </si>
  <si>
    <t>7794</t>
  </si>
  <si>
    <t>World Language – Hebrew (K-12)</t>
  </si>
  <si>
    <t>7795</t>
  </si>
  <si>
    <t>World Language – Korean (K-12)</t>
  </si>
  <si>
    <t>7797</t>
  </si>
  <si>
    <t>World Language - Slovak (K-12)</t>
  </si>
  <si>
    <t>7798</t>
  </si>
  <si>
    <t>World Language - Czech (K-12)</t>
  </si>
  <si>
    <t>7810</t>
  </si>
  <si>
    <t>7851</t>
  </si>
  <si>
    <t>7511</t>
  </si>
  <si>
    <t>Physical Education (PE) (K-12)</t>
  </si>
  <si>
    <t>7521</t>
  </si>
  <si>
    <t>Health (K-12)</t>
  </si>
  <si>
    <r>
      <t xml:space="preserve">Supplemental Instruction - Elementary (K-8) </t>
    </r>
    <r>
      <rPr>
        <sz val="10"/>
        <color rgb="FFFF0000"/>
        <rFont val="MS Reference Sans Serif"/>
        <family val="2"/>
      </rPr>
      <t>(Restricted)</t>
    </r>
    <r>
      <rPr>
        <sz val="10"/>
        <rFont val="MS Reference Sans Serif"/>
        <family val="2"/>
      </rPr>
      <t xml:space="preserve">
</t>
    </r>
    <r>
      <rPr>
        <b/>
        <sz val="10"/>
        <color theme="1"/>
        <rFont val="MS Reference Sans Serif"/>
        <family val="2"/>
      </rPr>
      <t xml:space="preserve">
</t>
    </r>
    <r>
      <rPr>
        <sz val="10"/>
        <rFont val="MS Reference Sans Serif"/>
        <family val="2"/>
      </rPr>
      <t xml:space="preserve">
</t>
    </r>
  </si>
  <si>
    <t>7028</t>
  </si>
  <si>
    <t>Gifted and Talented (K-12)</t>
  </si>
  <si>
    <t>7029</t>
  </si>
  <si>
    <t>Exceptional Child Generalist (K-12)</t>
  </si>
  <si>
    <t>7036</t>
  </si>
  <si>
    <t>Exceptional Child Generalist (K-8)</t>
  </si>
  <si>
    <t>7019</t>
  </si>
  <si>
    <t>Early Childhood Special Education (Pre-K-3)</t>
  </si>
  <si>
    <t>K-3</t>
  </si>
  <si>
    <t>7120</t>
  </si>
  <si>
    <t>English (6-12)</t>
  </si>
  <si>
    <t>6-12</t>
  </si>
  <si>
    <t>8120</t>
  </si>
  <si>
    <t>English (5-9)</t>
  </si>
  <si>
    <t>5-9</t>
  </si>
  <si>
    <t>11-12</t>
  </si>
  <si>
    <t>7038</t>
  </si>
  <si>
    <t>7126</t>
  </si>
  <si>
    <t>English as a Second Language (ESL) (K-12)</t>
  </si>
  <si>
    <t>5-12</t>
  </si>
  <si>
    <t>7134</t>
  </si>
  <si>
    <t>Journalism (6-12)</t>
  </si>
  <si>
    <t>7144</t>
  </si>
  <si>
    <t>Communication (6-12)</t>
  </si>
  <si>
    <t>8134</t>
  </si>
  <si>
    <t>Journalism (5-9)</t>
  </si>
  <si>
    <t>8144</t>
  </si>
  <si>
    <t>Communication (5-9)</t>
  </si>
  <si>
    <t>5-8</t>
  </si>
  <si>
    <t>7300</t>
  </si>
  <si>
    <t>Mathematics (6-12)</t>
  </si>
  <si>
    <t>8320</t>
  </si>
  <si>
    <t>Mathematics - Middle Level (5-9)</t>
  </si>
  <si>
    <t>7400</t>
  </si>
  <si>
    <t>Computer Science (6-12)</t>
  </si>
  <si>
    <t xml:space="preserve">AP/Dual Credit Engineering - Mathematics (11-12 grade content)
</t>
  </si>
  <si>
    <t>7990</t>
  </si>
  <si>
    <t>Engineering (6-12)</t>
  </si>
  <si>
    <t>7420</t>
  </si>
  <si>
    <t>Natural Science (6-12)</t>
  </si>
  <si>
    <t>7451</t>
  </si>
  <si>
    <t>Earth and Space Science (6-12)</t>
  </si>
  <si>
    <t>7452</t>
  </si>
  <si>
    <t>Geology (6-12)</t>
  </si>
  <si>
    <t>8420</t>
  </si>
  <si>
    <t>Natural Science (5-9)</t>
  </si>
  <si>
    <t>8451</t>
  </si>
  <si>
    <t>Earth and Space Science (5-9)</t>
  </si>
  <si>
    <t>8452</t>
  </si>
  <si>
    <t>Geology (5-9)</t>
  </si>
  <si>
    <t>8453</t>
  </si>
  <si>
    <t>Science - Middle Level (5-9)</t>
  </si>
  <si>
    <t>7421</t>
  </si>
  <si>
    <t>Biological Science (6-12)</t>
  </si>
  <si>
    <t>8421</t>
  </si>
  <si>
    <t>Biological Science (5-9)</t>
  </si>
  <si>
    <t>7430</t>
  </si>
  <si>
    <t>Physical Science (6-12)</t>
  </si>
  <si>
    <t>7440</t>
  </si>
  <si>
    <t>Chemistry (6-12)</t>
  </si>
  <si>
    <t>8430</t>
  </si>
  <si>
    <t>Physical Science (5-9)</t>
  </si>
  <si>
    <t>8440</t>
  </si>
  <si>
    <t>Chemistry (5-9)</t>
  </si>
  <si>
    <t>7450</t>
  </si>
  <si>
    <t>Physics (6-12)</t>
  </si>
  <si>
    <t>8450</t>
  </si>
  <si>
    <t>Physics (5-9)</t>
  </si>
  <si>
    <t>7200</t>
  </si>
  <si>
    <t>Social Studies (6-12)</t>
  </si>
  <si>
    <t>7226</t>
  </si>
  <si>
    <t>Geography (6-12)</t>
  </si>
  <si>
    <t>8220</t>
  </si>
  <si>
    <t>Social Studies - Middle Level (5-9)</t>
  </si>
  <si>
    <t>8226</t>
  </si>
  <si>
    <t>Geography (5-9)</t>
  </si>
  <si>
    <t>7221</t>
  </si>
  <si>
    <t>History (6-12)</t>
  </si>
  <si>
    <t>8221</t>
  </si>
  <si>
    <t>History (5-9)</t>
  </si>
  <si>
    <t>7222</t>
  </si>
  <si>
    <t>American Government/Political Science (6-12)</t>
  </si>
  <si>
    <t>8222</t>
  </si>
  <si>
    <t>American Government/Political Science (5-9)</t>
  </si>
  <si>
    <t>7228</t>
  </si>
  <si>
    <t>Economics (6-12)</t>
  </si>
  <si>
    <t>8228</t>
  </si>
  <si>
    <t>Economics (5-9)</t>
  </si>
  <si>
    <t>7236</t>
  </si>
  <si>
    <t>Sociology/Anthropology (6-12)</t>
  </si>
  <si>
    <t>8236</t>
  </si>
  <si>
    <t>Sociology/Anthropology (5-9)</t>
  </si>
  <si>
    <t>7231</t>
  </si>
  <si>
    <t>Psychology (6-12)</t>
  </si>
  <si>
    <t>8231</t>
  </si>
  <si>
    <t>Psychology (5-9)</t>
  </si>
  <si>
    <t>7229</t>
  </si>
  <si>
    <t>Sociology (6-12)</t>
  </si>
  <si>
    <t>8229</t>
  </si>
  <si>
    <t>Sociology (5-9)</t>
  </si>
  <si>
    <t>7133</t>
  </si>
  <si>
    <t>Humanities (6-12)</t>
  </si>
  <si>
    <t>7700</t>
  </si>
  <si>
    <t>World Language (6-12)</t>
  </si>
  <si>
    <t>7720</t>
  </si>
  <si>
    <t>World Language - Spanish (6-12)</t>
  </si>
  <si>
    <t>7730</t>
  </si>
  <si>
    <t>World Language - French (6-12)</t>
  </si>
  <si>
    <t>7740</t>
  </si>
  <si>
    <t>World Language - German (6-12)</t>
  </si>
  <si>
    <t>7760</t>
  </si>
  <si>
    <t>World Language - Russian (6-12)</t>
  </si>
  <si>
    <t>7779</t>
  </si>
  <si>
    <t>World Language - Greek (6-12)</t>
  </si>
  <si>
    <t>7781</t>
  </si>
  <si>
    <t>World Language - Arabic (6-12)</t>
  </si>
  <si>
    <t>7789</t>
  </si>
  <si>
    <t>World Language - Persian (6-12)</t>
  </si>
  <si>
    <t>World Language - Persian (K-12)</t>
  </si>
  <si>
    <t>World Language - Japanese (K-12)</t>
  </si>
  <si>
    <t>World Language - Italian (K-12)</t>
  </si>
  <si>
    <t>World Language - Hebrew (K-12)</t>
  </si>
  <si>
    <t>World Language - Korean (K-12)</t>
  </si>
  <si>
    <t>7796</t>
  </si>
  <si>
    <t>World Language - Chinese (6-12)</t>
  </si>
  <si>
    <t>7820</t>
  </si>
  <si>
    <t>Music (6-12)</t>
  </si>
  <si>
    <t>7852</t>
  </si>
  <si>
    <t>Visual Arts (6-12)</t>
  </si>
  <si>
    <t>7137</t>
  </si>
  <si>
    <t>Theater Arts (6-12)</t>
  </si>
  <si>
    <t>8137</t>
  </si>
  <si>
    <t>Theater Arts (5-9)</t>
  </si>
  <si>
    <t>8820</t>
  </si>
  <si>
    <t>Music (5-9)</t>
  </si>
  <si>
    <t>8852</t>
  </si>
  <si>
    <t>Visual Arts (5-9)</t>
  </si>
  <si>
    <t>7512</t>
  </si>
  <si>
    <t>Physical Education (PE) (6-12)</t>
  </si>
  <si>
    <t>8510</t>
  </si>
  <si>
    <t>Physical Education (PE) (5-9)</t>
  </si>
  <si>
    <t>7520</t>
  </si>
  <si>
    <t>Health (6-12)</t>
  </si>
  <si>
    <t>8520</t>
  </si>
  <si>
    <t>Health (5-9)</t>
  </si>
  <si>
    <t>7080</t>
  </si>
  <si>
    <t>Junior ROTC (6-12)</t>
  </si>
  <si>
    <t>Valid Idaho Standard Instructional Certificate</t>
  </si>
  <si>
    <t>8400</t>
  </si>
  <si>
    <t>Computer Science (5-9)</t>
  </si>
  <si>
    <t>8990</t>
  </si>
  <si>
    <t>Engineering (5-9)</t>
  </si>
  <si>
    <t>Valid Idaho Pupil Services Staff Certificate</t>
  </si>
  <si>
    <t>Valid Idaho Administrator Certificate</t>
  </si>
  <si>
    <r>
      <t xml:space="preserve">Pre-kindergarten - Title I-A </t>
    </r>
    <r>
      <rPr>
        <sz val="10"/>
        <color rgb="FFFF0000"/>
        <rFont val="MS Reference Sans Serif"/>
        <family val="2"/>
      </rPr>
      <t>(Pre-school Only)</t>
    </r>
  </si>
  <si>
    <t>8700</t>
  </si>
  <si>
    <t>World Language (5-9)</t>
  </si>
  <si>
    <t>8720</t>
  </si>
  <si>
    <t>World Language - Spanish (5-9)</t>
  </si>
  <si>
    <t>8830</t>
  </si>
  <si>
    <t>World Language - French (5-9)</t>
  </si>
  <si>
    <t>8740</t>
  </si>
  <si>
    <t>World Language - German (5-9)</t>
  </si>
  <si>
    <t>7030</t>
  </si>
  <si>
    <t>Deaf/Hard of Hearing (Pre-K-12)</t>
  </si>
  <si>
    <t>Pre-K-12</t>
  </si>
  <si>
    <t>7701</t>
  </si>
  <si>
    <t>World Language - American Sign Language (K-12)</t>
  </si>
  <si>
    <t>7702</t>
  </si>
  <si>
    <t>World Language – American Sign Language (6-12)</t>
  </si>
  <si>
    <t>8702</t>
  </si>
  <si>
    <t>World Language - American Sign Language (5-9)</t>
  </si>
  <si>
    <t>8760</t>
  </si>
  <si>
    <t>World Language - Russian (5-9)</t>
  </si>
  <si>
    <t>8781</t>
  </si>
  <si>
    <t>World Language - Arabic (5-9)</t>
  </si>
  <si>
    <t>8790</t>
  </si>
  <si>
    <t>World Language - Persian (5-9)</t>
  </si>
  <si>
    <t>8796</t>
  </si>
  <si>
    <t>World Language - Chinese (5-9)</t>
  </si>
  <si>
    <t>7022</t>
  </si>
  <si>
    <t>School Counselor (K-12)</t>
  </si>
  <si>
    <t>7023</t>
  </si>
  <si>
    <t>School Counselor - Basic (K-12)</t>
  </si>
  <si>
    <t>7026</t>
  </si>
  <si>
    <t xml:space="preserve">Coordinator
</t>
  </si>
  <si>
    <t>7045</t>
  </si>
  <si>
    <t>Teacher Leader - Special Education (K-12)</t>
  </si>
  <si>
    <t>7299</t>
  </si>
  <si>
    <t>Teacher Leader Mathematics (K-12)</t>
  </si>
  <si>
    <t>7297</t>
  </si>
  <si>
    <t>Teacher Leader - Instructional Specialist (K-12)</t>
  </si>
  <si>
    <t>7298</t>
  </si>
  <si>
    <t>Teacher Leader - Literacy (K-12)</t>
  </si>
  <si>
    <t>Pupil Services</t>
  </si>
  <si>
    <t>7018</t>
  </si>
  <si>
    <t>Audiology</t>
  </si>
  <si>
    <t>7025</t>
  </si>
  <si>
    <t>Speech-Language Pathologist</t>
  </si>
  <si>
    <t>7027</t>
  </si>
  <si>
    <t>7024</t>
  </si>
  <si>
    <t>7000</t>
  </si>
  <si>
    <t>7001</t>
  </si>
  <si>
    <t>7020</t>
  </si>
  <si>
    <t>Administrative</t>
  </si>
  <si>
    <t>7050</t>
  </si>
  <si>
    <t>Superintendent (Pre-K-12)</t>
  </si>
  <si>
    <t>PK-12</t>
  </si>
  <si>
    <t>7053</t>
  </si>
  <si>
    <t>School Principal (Pre-K-12)</t>
  </si>
  <si>
    <t>7054</t>
  </si>
  <si>
    <t>Charter Administrator (Pre-K-12)</t>
  </si>
  <si>
    <t>7046</t>
  </si>
  <si>
    <t>Director of Special Education (Pre-K-12)</t>
  </si>
  <si>
    <t>7037</t>
  </si>
  <si>
    <t>Exceptional Child Generalist (6-12)</t>
  </si>
  <si>
    <t xml:space="preserve">Visual Impaired Instruction – Special Education (Pre-K-12)
</t>
  </si>
  <si>
    <t>7035</t>
  </si>
  <si>
    <t>Visual Impairment (Pre-K-12)</t>
  </si>
  <si>
    <t xml:space="preserve">Deaf/Hard of Hearing – Special Education (Pre-K-12)
</t>
  </si>
  <si>
    <t>Valid Idaho Certificate</t>
  </si>
  <si>
    <t>Classified</t>
  </si>
  <si>
    <t>N/A</t>
  </si>
  <si>
    <t>Meets paraprofessional requirements</t>
  </si>
  <si>
    <t>Idaho Bureau of Occupational Therapist License</t>
  </si>
  <si>
    <t xml:space="preserve"> Physical Therapist</t>
  </si>
  <si>
    <t>Idaho Bureau of Physical Therapist License</t>
  </si>
  <si>
    <t>State Department of Education Driver's Education Certificate</t>
  </si>
  <si>
    <t>State Department of Education Family Liaison ID&amp;R Certificate</t>
  </si>
  <si>
    <t>4015</t>
  </si>
  <si>
    <t>CTE OS - Business Management/Finance (6-12)</t>
  </si>
  <si>
    <t>4022</t>
  </si>
  <si>
    <t>CTE OS - Business Digital Communications (6-12)</t>
  </si>
  <si>
    <t>4024</t>
  </si>
  <si>
    <t>CTE OS - Information/Communication Tech (6-12)</t>
  </si>
  <si>
    <t>9093</t>
  </si>
  <si>
    <t>CTE - Business Technology Education (6-12)</t>
  </si>
  <si>
    <t>6151</t>
  </si>
  <si>
    <t>CTE OS - Programming &amp; Web Technologies  (6-12)</t>
  </si>
  <si>
    <t>6153</t>
  </si>
  <si>
    <t>CTE OS - Network &amp; Computer Support (6-12)</t>
  </si>
  <si>
    <t>6154</t>
  </si>
  <si>
    <t>CTE OS - Networking Technologies (6-12)</t>
  </si>
  <si>
    <t>6156</t>
  </si>
  <si>
    <t>CTE OS - Computer Support Technologies (6-12)</t>
  </si>
  <si>
    <t>1087</t>
  </si>
  <si>
    <t>CTE OS - Hospitality Management (6-12)</t>
  </si>
  <si>
    <t>4017</t>
  </si>
  <si>
    <t>CTE OS - Business Management (6-12)</t>
  </si>
  <si>
    <t>4020</t>
  </si>
  <si>
    <t>CTE OS - Microcomputer Applications (6-12)</t>
  </si>
  <si>
    <t>4077</t>
  </si>
  <si>
    <t>CTE OS - Applied Accounting (6-12)</t>
  </si>
  <si>
    <t>6157</t>
  </si>
  <si>
    <t>CTE OS - Computer Science PLTW (6-12)</t>
  </si>
  <si>
    <t>4026</t>
  </si>
  <si>
    <t>CTE OS - Network Support Technician (6-12)</t>
  </si>
  <si>
    <t>6155</t>
  </si>
  <si>
    <t>CTE OS - Computer Science/Information Technology (6-12)</t>
  </si>
  <si>
    <t>6158</t>
  </si>
  <si>
    <t>CTE OS - Programming &amp; Software Technologies (6-12)</t>
  </si>
  <si>
    <t>0099</t>
  </si>
  <si>
    <t>CTE OS - Work Based Learning Coordinator (6-12)</t>
  </si>
  <si>
    <t>7016</t>
  </si>
  <si>
    <t>CTE - Career Counselor (6-12)</t>
  </si>
  <si>
    <t>6159</t>
  </si>
  <si>
    <t>CTE OS - Web Design and Development (6-12)</t>
  </si>
  <si>
    <t>CTE OS - Hospitality  Management (6-12)</t>
  </si>
  <si>
    <t>9981</t>
  </si>
  <si>
    <t>CTE - Technology Education (6-12)</t>
  </si>
  <si>
    <t>6180</t>
  </si>
  <si>
    <t>CTE OS - Journalism (6-12)</t>
  </si>
  <si>
    <t>6190</t>
  </si>
  <si>
    <t>CTE OS - Graphic Design (6-12)</t>
  </si>
  <si>
    <t>6192</t>
  </si>
  <si>
    <t>CTE OS - Commercial Photography (6-12)</t>
  </si>
  <si>
    <t>6197</t>
  </si>
  <si>
    <t>CTE OS - Digital Media Production (6-12)</t>
  </si>
  <si>
    <t>4012</t>
  </si>
  <si>
    <t>CTE OS - Administrative Services (6-12)</t>
  </si>
  <si>
    <t>9092</t>
  </si>
  <si>
    <t>CTE - Marketing Technology Education (6-12)</t>
  </si>
  <si>
    <t>1010</t>
  </si>
  <si>
    <t>CTE OS - Marketing (6-12)</t>
  </si>
  <si>
    <t>3030</t>
  </si>
  <si>
    <t>CTE OS - Fashion and Interiors (6-12)</t>
  </si>
  <si>
    <t>6109</t>
  </si>
  <si>
    <t>CTE OS - Industrial Mechanics (6-12)</t>
  </si>
  <si>
    <t>5022</t>
  </si>
  <si>
    <t>CTE OS - Automated Manufacturing (6-12)</t>
  </si>
  <si>
    <t>6232</t>
  </si>
  <si>
    <t>CTE OS - Precision Machining (6-12)</t>
  </si>
  <si>
    <t>6236</t>
  </si>
  <si>
    <t>CTE OS - Certified Welding (6-12)</t>
  </si>
  <si>
    <t>2000</t>
  </si>
  <si>
    <t>CTE OS - Health Professions Foundations (6-12)</t>
  </si>
  <si>
    <t>2011</t>
  </si>
  <si>
    <t>CTE OS - Dental Assisting (6-12)</t>
  </si>
  <si>
    <t>2030</t>
  </si>
  <si>
    <t>CTE OS - Dietitian (6-12)</t>
  </si>
  <si>
    <t>2033</t>
  </si>
  <si>
    <t>CTE OS - Nursing Assistant (6-12)</t>
  </si>
  <si>
    <t>2055</t>
  </si>
  <si>
    <t>CTE OS - Rehabilitation Services (6-12)</t>
  </si>
  <si>
    <t>2085</t>
  </si>
  <si>
    <t>CTE OS - Emergency Medical Technician (6-12)</t>
  </si>
  <si>
    <t>2087</t>
  </si>
  <si>
    <t>CTE OS - Paramedic (6-12)</t>
  </si>
  <si>
    <t>2094</t>
  </si>
  <si>
    <t>CTE OS - Medical Assisting (6-12)</t>
  </si>
  <si>
    <t>2095</t>
  </si>
  <si>
    <t>CTE OS - Pharmacy Technician (6-12)</t>
  </si>
  <si>
    <t>2098</t>
  </si>
  <si>
    <t>CTE OS - Sports Medicine/Athletic Trng (6-12)</t>
  </si>
  <si>
    <t>6280</t>
  </si>
  <si>
    <t>CTE OS - Firefighting (6-12)</t>
  </si>
  <si>
    <t>6282</t>
  </si>
  <si>
    <t>CTE OS - Law Enforcement (6-12)</t>
  </si>
  <si>
    <t>3023</t>
  </si>
  <si>
    <t>CTE OS - Food Service (6-12)</t>
  </si>
  <si>
    <t>3025</t>
  </si>
  <si>
    <t>CTE OS - Culinary Arts (6-12)</t>
  </si>
  <si>
    <t>3027</t>
  </si>
  <si>
    <t>9971</t>
  </si>
  <si>
    <t>CTE - Family and Consumer Sciences (6-12)</t>
  </si>
  <si>
    <t>1085</t>
  </si>
  <si>
    <t>CTE OS - Hospitality Services (6-12)</t>
  </si>
  <si>
    <t>5030</t>
  </si>
  <si>
    <t>CTE OS - Electrical Technology (9-12)</t>
  </si>
  <si>
    <t>6010</t>
  </si>
  <si>
    <t>CTE OS - HVAC Technology (6-12)</t>
  </si>
  <si>
    <t>6015</t>
  </si>
  <si>
    <t>CTE OS - Plumbing Technology (6-12)</t>
  </si>
  <si>
    <t>6108</t>
  </si>
  <si>
    <t>CTE OS - Construction Trades Technology (6-12)</t>
  </si>
  <si>
    <t>6105</t>
  </si>
  <si>
    <t>CTE OS - Cabinetmaking &amp; Bench Carpentry (6-12)</t>
  </si>
  <si>
    <t>5018</t>
  </si>
  <si>
    <t>CTE OS - Electronics Technology (6-12)</t>
  </si>
  <si>
    <t>0108</t>
  </si>
  <si>
    <t>CTE OS - Animal Health &amp; Veterinary Sci (6-12)</t>
  </si>
  <si>
    <t>0109</t>
  </si>
  <si>
    <t>CTE OS - Ag Business Mgmt (6-12)</t>
  </si>
  <si>
    <t>0110</t>
  </si>
  <si>
    <t>CTE OS - Agricultural Production (6-12)</t>
  </si>
  <si>
    <t>0114</t>
  </si>
  <si>
    <t>CTE OS - Farm &amp; Ranch Management (6-12)</t>
  </si>
  <si>
    <t>0120</t>
  </si>
  <si>
    <t>CTE OS - Agricultural Leadership and Communications (6-12)</t>
  </si>
  <si>
    <t>0130</t>
  </si>
  <si>
    <t>CTE OS - Agricultural Power Machinery (6-12)</t>
  </si>
  <si>
    <t>0150</t>
  </si>
  <si>
    <t>CTE OS - Horticulture (6-12)</t>
  </si>
  <si>
    <t>0152</t>
  </si>
  <si>
    <t>CTE OS - Plant and Soil (6-12)</t>
  </si>
  <si>
    <t>0161</t>
  </si>
  <si>
    <t>CTE OS - Aquaculture (6-12)</t>
  </si>
  <si>
    <t>0170</t>
  </si>
  <si>
    <t>CTE OS - Forestry (6-12)</t>
  </si>
  <si>
    <t>0174</t>
  </si>
  <si>
    <t>CTE OS - Natural Resource Management (6-12)</t>
  </si>
  <si>
    <t>0175</t>
  </si>
  <si>
    <t>CTE OS - Ecology and Natural Resource Management (6-12)</t>
  </si>
  <si>
    <t>9921</t>
  </si>
  <si>
    <t>CTE - Agriculture Science and Technology (6-12)</t>
  </si>
  <si>
    <t>0118</t>
  </si>
  <si>
    <t>CTE OS - Animal Science (6-12)</t>
  </si>
  <si>
    <t>0119</t>
  </si>
  <si>
    <t>CTE OS - Agribusiness (6-12)</t>
  </si>
  <si>
    <t>0131</t>
  </si>
  <si>
    <t>CTE OS - Agriculture Mechanics &amp; Power Systems</t>
  </si>
  <si>
    <t>0140</t>
  </si>
  <si>
    <t>CTE OS - Food Science &amp; Processing Technology (6-12)</t>
  </si>
  <si>
    <t>0151</t>
  </si>
  <si>
    <t>CTE OS - Ornamental Horticulture (6-12)</t>
  </si>
  <si>
    <t>6310</t>
  </si>
  <si>
    <t>CTE OS - Small Engine Repair/Power Sports (6-12)</t>
  </si>
  <si>
    <t>6262</t>
  </si>
  <si>
    <t>CTE OS - Cosmetology (6-12)</t>
  </si>
  <si>
    <t>3020</t>
  </si>
  <si>
    <t>CTE OS - Child Development Care &amp; Guidance (6-12)</t>
  </si>
  <si>
    <t>3022</t>
  </si>
  <si>
    <t>CTE OS - Child Development &amp; Services (6-12)</t>
  </si>
  <si>
    <t>3035</t>
  </si>
  <si>
    <t>CTE OS - Apparel/Textiles (6-12)</t>
  </si>
  <si>
    <t>6032</t>
  </si>
  <si>
    <t>CTE OS - Automotive Maintenance &amp; Light Repair (6-12)</t>
  </si>
  <si>
    <t>6120</t>
  </si>
  <si>
    <t>CTE OS - Heavy Equipment/Diesel Technology (6-12)</t>
  </si>
  <si>
    <t>6030</t>
  </si>
  <si>
    <t>CTE OS - Automotive Collision Repair (6-12)</t>
  </si>
  <si>
    <t>6031</t>
  </si>
  <si>
    <t>5015</t>
  </si>
  <si>
    <t>CTE OS - Pre-Engineering (6-12)</t>
  </si>
  <si>
    <t>9401</t>
  </si>
  <si>
    <t>CTE - Engineering (6-12)</t>
  </si>
  <si>
    <t>6130</t>
  </si>
  <si>
    <t>CTE OS - Drafting and Design (6-12)</t>
  </si>
  <si>
    <t>6131</t>
  </si>
  <si>
    <t>CTE OS - Architectural Drafting Technology (6-12)</t>
  </si>
  <si>
    <t>6132</t>
  </si>
  <si>
    <t>CTE OS - Mechanical Drafting Technology (6-12)</t>
  </si>
  <si>
    <t>0074</t>
  </si>
  <si>
    <t>CTE OS - Family &amp; Consumer Sciences (6-12)</t>
  </si>
  <si>
    <t>-0001</t>
  </si>
  <si>
    <t>Any Valid CTE Endorsement Code</t>
  </si>
  <si>
    <t>0095</t>
  </si>
  <si>
    <t>First Steps Career Exploration</t>
  </si>
  <si>
    <t>0055</t>
  </si>
  <si>
    <t>CTE Administrator (6-12)</t>
  </si>
  <si>
    <t>DistrictNumber</t>
  </si>
  <si>
    <t>DistrictName</t>
  </si>
  <si>
    <t>schoolNumber</t>
  </si>
  <si>
    <t>schoolName</t>
  </si>
  <si>
    <t>058</t>
  </si>
  <si>
    <t>ABERDEEN DISTRICT</t>
  </si>
  <si>
    <t>0036</t>
  </si>
  <si>
    <t>ABERDEEN HIGH SCHOOL</t>
  </si>
  <si>
    <t>0298</t>
  </si>
  <si>
    <t>ABERDEEN ELEMENTARY SCHOOL</t>
  </si>
  <si>
    <t>0299</t>
  </si>
  <si>
    <t>ABERDEEN MIDDLE SCHOOL</t>
  </si>
  <si>
    <t>3058</t>
  </si>
  <si>
    <t>ADMINISTRATION BUILDING ABERDEEN DISTRICT</t>
  </si>
  <si>
    <t>790</t>
  </si>
  <si>
    <t>ADVANCED REGIONAL TECHNICAL EDUCATION, INC.</t>
  </si>
  <si>
    <t>0639</t>
  </si>
  <si>
    <t>ARTEC CHARTER SCHOOL</t>
  </si>
  <si>
    <t>518</t>
  </si>
  <si>
    <t>ADVANCED REGIONAL TECHNICAL EDUCATION INDUSTRIAL, INC.</t>
  </si>
  <si>
    <t>1414</t>
  </si>
  <si>
    <t>ARTE I RPTCS (Regional Professional Technical Charter School)</t>
  </si>
  <si>
    <t>381</t>
  </si>
  <si>
    <t>AMERICAN FALLS JOINT DISTRICT</t>
  </si>
  <si>
    <t>0167</t>
  </si>
  <si>
    <t>WILLIAM THOMAS MIDDLE SCHOOL</t>
  </si>
  <si>
    <t>0168</t>
  </si>
  <si>
    <t>AMERICAN FALLS HIGH SCHOOL</t>
  </si>
  <si>
    <t>0261</t>
  </si>
  <si>
    <t>AMERICAN FALLS ACADEMY</t>
  </si>
  <si>
    <t>0808</t>
  </si>
  <si>
    <t>HILLCREST ELEMENTARY SCHOOL</t>
  </si>
  <si>
    <t>0849</t>
  </si>
  <si>
    <t>J.R. SIMPLOT ELEMENTARY SCHOOL</t>
  </si>
  <si>
    <t>1171</t>
  </si>
  <si>
    <t>AMERICAN FALLS ACADEMY (SUMMER)</t>
  </si>
  <si>
    <t>3381</t>
  </si>
  <si>
    <t>ADMINISTRATION BUILDING AMERICAN FALLS JOINT DISTRICT</t>
  </si>
  <si>
    <t>482</t>
  </si>
  <si>
    <t>AMERICAN HERITAGE CHARTER SCHOOL, INC.</t>
  </si>
  <si>
    <t>1346</t>
  </si>
  <si>
    <t>AMERICAN HERITAGE CHARTER SCHOOL</t>
  </si>
  <si>
    <t>476</t>
  </si>
  <si>
    <t>ANOTHER CHOICE VIRTUAL CHARTER SCHOOL, INC.</t>
  </si>
  <si>
    <t>1247</t>
  </si>
  <si>
    <t>ANOTHER CHOICE VIRTUAL CHARTER</t>
  </si>
  <si>
    <t>1354</t>
  </si>
  <si>
    <t>ANOTHER CHOICE VIRTUAL CHARTER SCHOOL SUMMER ALTERNATIVE</t>
  </si>
  <si>
    <t>492</t>
  </si>
  <si>
    <t>ANSER OF IDAHO, INC.</t>
  </si>
  <si>
    <t>0819</t>
  </si>
  <si>
    <t>ANSER CHARTER SCHOOL</t>
  </si>
  <si>
    <t>383</t>
  </si>
  <si>
    <t>ARBON ELEMENTARY DISTRICT</t>
  </si>
  <si>
    <t>0810</t>
  </si>
  <si>
    <t>ARBON ELEMENTARY SCHOOL</t>
  </si>
  <si>
    <t>3383</t>
  </si>
  <si>
    <t>ADMINISTRATION BUILDING ARBON ELEMENTARY DISTRICT</t>
  </si>
  <si>
    <t>394</t>
  </si>
  <si>
    <t xml:space="preserve">AVERY ELEMENTARY DISTRICT </t>
  </si>
  <si>
    <t>0820</t>
  </si>
  <si>
    <t>CALDER SCHOOL</t>
  </si>
  <si>
    <t>3394</t>
  </si>
  <si>
    <t>ADMINISTRATION BUILDING AVERY ELEMENTARY DISTRICT</t>
  </si>
  <si>
    <t>072</t>
  </si>
  <si>
    <t>BASIN SCHOOL DISTRICT</t>
  </si>
  <si>
    <t>0159</t>
  </si>
  <si>
    <t>BASIN ELEMENTARY SCHOOL</t>
  </si>
  <si>
    <t>0183</t>
  </si>
  <si>
    <t>IDAHO CITY HIGH SCHOOL</t>
  </si>
  <si>
    <t>3007</t>
  </si>
  <si>
    <t>ADMINISTRATION BUILDING BASIN SCHOOL DISTRICT</t>
  </si>
  <si>
    <t>033</t>
  </si>
  <si>
    <t>BEAR LAKE COUNTY DISTRICT</t>
  </si>
  <si>
    <t>0026</t>
  </si>
  <si>
    <t>BEAR LAKE MIDDLE SCHOOL</t>
  </si>
  <si>
    <t>0027</t>
  </si>
  <si>
    <t>BEAR LAKE HIGH SCHOOL</t>
  </si>
  <si>
    <t>0370</t>
  </si>
  <si>
    <t>A J WINTERS ELEMENTARY SCHOOL</t>
  </si>
  <si>
    <t>0371</t>
  </si>
  <si>
    <t>GEORGETOWN ELEMENTARY SCHOOL</t>
  </si>
  <si>
    <t>0372</t>
  </si>
  <si>
    <t>PARIS ELEMENTARY SCHOOL</t>
  </si>
  <si>
    <t>0404</t>
  </si>
  <si>
    <t>CLOVER CREEK HIGH SCHOOL ALTERNATIVE</t>
  </si>
  <si>
    <t>1455</t>
  </si>
  <si>
    <t>BEAR LAKE ON-LINE LEARNING</t>
  </si>
  <si>
    <t>3033</t>
  </si>
  <si>
    <t>ADMINISTRATION BUILDING BEAR LAKE COUNTY DISTRICT</t>
  </si>
  <si>
    <t>477</t>
  </si>
  <si>
    <t>BLACKFOOT CHARTER COMMUNITY LEARNING CENTER, INC.</t>
  </si>
  <si>
    <t>1294</t>
  </si>
  <si>
    <t>BLACKFOOT CHARTER COMMUNITY</t>
  </si>
  <si>
    <t>BLACKFOOT DISTRICT</t>
  </si>
  <si>
    <t>0033</t>
  </si>
  <si>
    <t>MOUNTAIN VIEW MIDDLE SCHOOL</t>
  </si>
  <si>
    <t>0034</t>
  </si>
  <si>
    <t>BLACKFOOT HIGH SCHOOL</t>
  </si>
  <si>
    <t>0252</t>
  </si>
  <si>
    <t>VAUGHN HUGIE FAMILY ED CENTER</t>
  </si>
  <si>
    <t>0381</t>
  </si>
  <si>
    <t>BLACKFOOT HERITAGE SIXTH GRADE</t>
  </si>
  <si>
    <t>0382</t>
  </si>
  <si>
    <t>DONALD D. STALKER ELEMENTARY</t>
  </si>
  <si>
    <t>0384</t>
  </si>
  <si>
    <t>RIDGE CREST ELEMENTARY SCHOOL</t>
  </si>
  <si>
    <t>0385</t>
  </si>
  <si>
    <t>WAPELLO ELEMENTARY SCHOOL</t>
  </si>
  <si>
    <t>0386</t>
  </si>
  <si>
    <t>GROVELAND ELEMENTARY SCHOOL</t>
  </si>
  <si>
    <t>0387</t>
  </si>
  <si>
    <t>FORT HALL ELEMENTARY SCHOOL</t>
  </si>
  <si>
    <t>0388</t>
  </si>
  <si>
    <t>I T STODDARD ELEMENTARY SCHOOL</t>
  </si>
  <si>
    <t>1121</t>
  </si>
  <si>
    <t>INDEPENDENCE ALTERNATIVE HIGH SCHOOL SUMMER</t>
  </si>
  <si>
    <t>1164</t>
  </si>
  <si>
    <t>MOUNTAIN VIEW MIDDLE SCHOOL ALTERNATIVE CLASSROOM SUMMER</t>
  </si>
  <si>
    <t>1452</t>
  </si>
  <si>
    <t>BLACKFOOT ONLINE SCHOOL SOLUTION</t>
  </si>
  <si>
    <t>3055</t>
  </si>
  <si>
    <t>ADMINISTRATION BUILDING BLACKFOOT DISTRICT</t>
  </si>
  <si>
    <t>9006</t>
  </si>
  <si>
    <t>INDEPENDENCE ALTERNATIVE HIGH SCHOOL</t>
  </si>
  <si>
    <t>061</t>
  </si>
  <si>
    <t>BLAINE COUNTY DISTRICT</t>
  </si>
  <si>
    <t>0042</t>
  </si>
  <si>
    <t>WOOD RIVER HIGH SCHOOL</t>
  </si>
  <si>
    <t>0197</t>
  </si>
  <si>
    <t>CAREY PUBLIC SCHOOL</t>
  </si>
  <si>
    <t>0394</t>
  </si>
  <si>
    <t>BELLEVUE ELEMENTARY SCHOOL</t>
  </si>
  <si>
    <t>0395</t>
  </si>
  <si>
    <t>ERNEST HEMINGWAY STEAM SCHOOL</t>
  </si>
  <si>
    <t>0396</t>
  </si>
  <si>
    <t>HAILEY ELEMENTARY SCHOOL</t>
  </si>
  <si>
    <t>0636</t>
  </si>
  <si>
    <t>ALTURAS ELEMENTARY SCHOOL</t>
  </si>
  <si>
    <t>0984</t>
  </si>
  <si>
    <t>WOOD RIVER MIDDLE SCHOOL</t>
  </si>
  <si>
    <t>1102</t>
  </si>
  <si>
    <t>SILVER CREEK HIGH SCHOOL ALTERNATIVE</t>
  </si>
  <si>
    <t>3061</t>
  </si>
  <si>
    <t>ADMINISTRATION BUILDING BLAINE COUNTY DISTRICT</t>
  </si>
  <si>
    <t>BLISS JOINT DISTRICT</t>
  </si>
  <si>
    <t>0714</t>
  </si>
  <si>
    <t>BLISS SCHOOL</t>
  </si>
  <si>
    <t>3018</t>
  </si>
  <si>
    <t>ADMINISTRATION BUILDING BLISS JOINT DISTRICT</t>
  </si>
  <si>
    <t>001</t>
  </si>
  <si>
    <t>BOISE INDEPENDENT DISTRICT</t>
  </si>
  <si>
    <t>0002</t>
  </si>
  <si>
    <t>FAIRMONT JUNIOR HIGH SCHOOL</t>
  </si>
  <si>
    <t>0003</t>
  </si>
  <si>
    <t>HILLSIDE JUNIOR HIGH SCHOOL</t>
  </si>
  <si>
    <t>0004</t>
  </si>
  <si>
    <t>NORTH JUNIOR HIGH SCHOOL</t>
  </si>
  <si>
    <t>0005</t>
  </si>
  <si>
    <t>SOUTH JUNIOR HIGH SCHOOL</t>
  </si>
  <si>
    <t>0007</t>
  </si>
  <si>
    <t>BOISE SENIOR HIGH SCHOOL</t>
  </si>
  <si>
    <t>0008</t>
  </si>
  <si>
    <t>BORAH SENIOR HIGH SCHOOL</t>
  </si>
  <si>
    <t>0009</t>
  </si>
  <si>
    <t>CAPITAL SENIOR HIGH SCHOOL</t>
  </si>
  <si>
    <t>0203</t>
  </si>
  <si>
    <t>BSD ALTERNATIVE HIGH SUMMER SCHOOL</t>
  </si>
  <si>
    <t>0206</t>
  </si>
  <si>
    <t>LES BOIS JUNIOR HIGH SCHOOL</t>
  </si>
  <si>
    <t>0242</t>
  </si>
  <si>
    <t>RIVERGLEN JR HIGH SCHOOL</t>
  </si>
  <si>
    <t>0243</t>
  </si>
  <si>
    <t>TIMBERLINE HIGH SCHOOL</t>
  </si>
  <si>
    <t>0287</t>
  </si>
  <si>
    <t>TRAIL WIND ELEMENTARY</t>
  </si>
  <si>
    <t>0288</t>
  </si>
  <si>
    <t>SHADOW HILLS ELEMENTARY</t>
  </si>
  <si>
    <t>0300</t>
  </si>
  <si>
    <t>AMITY ELEMENTARY SCHOOL</t>
  </si>
  <si>
    <t>0301</t>
  </si>
  <si>
    <t>MAPLE GROVE ELEMENTARY SCHOOL</t>
  </si>
  <si>
    <t>0302</t>
  </si>
  <si>
    <t>HIGHLANDS ELEMENTARY SCHOOL</t>
  </si>
  <si>
    <t>0303</t>
  </si>
  <si>
    <t>GARFIELD ELEMENTARY SCHOOL</t>
  </si>
  <si>
    <t>0305</t>
  </si>
  <si>
    <t>WASHINGTON ELEMENTARY SCHOOL</t>
  </si>
  <si>
    <t>0306</t>
  </si>
  <si>
    <t>WHITNEY ELEMENTARY SCHOOL</t>
  </si>
  <si>
    <t>0307</t>
  </si>
  <si>
    <t>0308</t>
  </si>
  <si>
    <t>HAWTHORNE ELEMENTARY SCHOOL</t>
  </si>
  <si>
    <t>0309</t>
  </si>
  <si>
    <t>ROOSEVELT ELEMENTARY SCHOOL</t>
  </si>
  <si>
    <t>0310</t>
  </si>
  <si>
    <t>PIERCE PARK ELEMENTARY SCHOOL</t>
  </si>
  <si>
    <t>0312</t>
  </si>
  <si>
    <t>MADISON EARLY CHILDHOOD SCHOOL</t>
  </si>
  <si>
    <t>0313</t>
  </si>
  <si>
    <t>OWYHEE ELEMENTARY SCHOOL</t>
  </si>
  <si>
    <t>0315</t>
  </si>
  <si>
    <t>ADAMS ELEMENTARY SCHOOL</t>
  </si>
  <si>
    <t>0316</t>
  </si>
  <si>
    <t>LIBERTY ELEMENTARY SCHOOL</t>
  </si>
  <si>
    <t>0317</t>
  </si>
  <si>
    <t>JEFFERSON ELEMENTARY SCHOOL</t>
  </si>
  <si>
    <t>0319</t>
  </si>
  <si>
    <t>LOWELL ELEMENTARY SCHOOL</t>
  </si>
  <si>
    <t>0320</t>
  </si>
  <si>
    <t>VALLEY VIEW ELEMENTARY SCHOOL</t>
  </si>
  <si>
    <t>0321</t>
  </si>
  <si>
    <t>Taft Elementary School</t>
  </si>
  <si>
    <t>0322</t>
  </si>
  <si>
    <t>MOUNTAIN VIEW ELEMENTARY SCHOOL</t>
  </si>
  <si>
    <t>0323</t>
  </si>
  <si>
    <t>LONGFELLOW ELEMENTARY SCHOOL</t>
  </si>
  <si>
    <t>0324</t>
  </si>
  <si>
    <t>MONROE ELEMENTARY SCHOOL</t>
  </si>
  <si>
    <t>0325</t>
  </si>
  <si>
    <t>KOELSCH ELEMENTARY SCHOOL</t>
  </si>
  <si>
    <t>0326</t>
  </si>
  <si>
    <t>COLLISTER ELEMENTARY SCHOOL</t>
  </si>
  <si>
    <t>0327</t>
  </si>
  <si>
    <t>WHITTIER ELEMENTARY SCHOOL</t>
  </si>
  <si>
    <t>0509</t>
  </si>
  <si>
    <t>RIVERSIDE ELEMENTARY SCHOOL</t>
  </si>
  <si>
    <t>0510</t>
  </si>
  <si>
    <t>HORIZON ELEMENTARY SCHOOL</t>
  </si>
  <si>
    <t>0563</t>
  </si>
  <si>
    <t>DEHRYL A DENNIS PROF-TECH CTR</t>
  </si>
  <si>
    <t>0573</t>
  </si>
  <si>
    <t>TREASURE VALLEY MATH/SCIENCE</t>
  </si>
  <si>
    <t>0665</t>
  </si>
  <si>
    <t>CYNTHIA MANN ELEMENTARY SCHOOL</t>
  </si>
  <si>
    <t>0666</t>
  </si>
  <si>
    <t>WHITE PINE ELEMENTARY SCHOOL</t>
  </si>
  <si>
    <t>0673</t>
  </si>
  <si>
    <t>MORLEY NELSON ELEMENTARY</t>
  </si>
  <si>
    <t>0674</t>
  </si>
  <si>
    <t>GRACE JORDAN ELEMENTARY</t>
  </si>
  <si>
    <t>0675</t>
  </si>
  <si>
    <t>FRANK CHURCH HIGH SCHOOL</t>
  </si>
  <si>
    <t>0676</t>
  </si>
  <si>
    <t>WEST JUNIOR HIGH</t>
  </si>
  <si>
    <t>0677</t>
  </si>
  <si>
    <t>EAST JUNIOR HIGH SCHOOL</t>
  </si>
  <si>
    <t>0679</t>
  </si>
  <si>
    <t>HIDDEN SPRINGS ELEMENTARY SCHOOL</t>
  </si>
  <si>
    <t>1146</t>
  </si>
  <si>
    <t>BOISE SD ALTERNATIVE JR. HIGH SUMMER SCHOOL</t>
  </si>
  <si>
    <t>1175</t>
  </si>
  <si>
    <t>ADA CO JUVENILE DETENTION-SUMMER</t>
  </si>
  <si>
    <t>3001</t>
  </si>
  <si>
    <t>ADMINISTRATION BUILDING BOISE INDEPENDENT DISTRICT</t>
  </si>
  <si>
    <t>9002</t>
  </si>
  <si>
    <t>ADA COUNTY JUVENILE CENTER</t>
  </si>
  <si>
    <t>093</t>
  </si>
  <si>
    <t>BONNEVILLE JOINT DISTRICT</t>
  </si>
  <si>
    <t>SANDCREEK MIDDLE SCHOOL</t>
  </si>
  <si>
    <t>0056</t>
  </si>
  <si>
    <t>BONNEVILLE HIGH SCHOOL</t>
  </si>
  <si>
    <t>0200</t>
  </si>
  <si>
    <t>HILLCREST HIGH SCHOOL</t>
  </si>
  <si>
    <t>0219</t>
  </si>
  <si>
    <t>ROCKY MOUNTAIN MIDDLE SCHOOL</t>
  </si>
  <si>
    <t>0425</t>
  </si>
  <si>
    <t>FALLS VALLEY ELEMENTARY SCHOOL</t>
  </si>
  <si>
    <t>0426</t>
  </si>
  <si>
    <t>AMMON ELEMENTARY SCHOOL</t>
  </si>
  <si>
    <t>0427</t>
  </si>
  <si>
    <t>IONA ELEMENTARY SCHOOL</t>
  </si>
  <si>
    <t>0428</t>
  </si>
  <si>
    <t>HILLVIEW ELEMENTARY SCHOOL</t>
  </si>
  <si>
    <t>0429</t>
  </si>
  <si>
    <t>UCON ELEMENTARY SCHOOL</t>
  </si>
  <si>
    <t>0431</t>
  </si>
  <si>
    <t>CLOVERDALE ELEMENTARY SCHOOL</t>
  </si>
  <si>
    <t>0432</t>
  </si>
  <si>
    <t>FAIRVIEW ELEMENTARY SCHOOL</t>
  </si>
  <si>
    <t>0501</t>
  </si>
  <si>
    <t>TIEBREAKER ELEMENTARY SCHOOL</t>
  </si>
  <si>
    <t>0630</t>
  </si>
  <si>
    <t>LINCOLN HIGH SCHOOL SUMMER ALTERNATIVE</t>
  </si>
  <si>
    <t>0637</t>
  </si>
  <si>
    <t>WOODLAND HILLS ELEMENTARY</t>
  </si>
  <si>
    <t>1016</t>
  </si>
  <si>
    <t>SPECIAL SERVICES CENTER</t>
  </si>
  <si>
    <t>1053</t>
  </si>
  <si>
    <t>LINCOLN HIGH SCHOOL ALTERNATIVE</t>
  </si>
  <si>
    <t>1238</t>
  </si>
  <si>
    <t>BONNEVILLE ONLINE ELEMENTARY</t>
  </si>
  <si>
    <t>1250</t>
  </si>
  <si>
    <t>MOUNTAIN VALLEY ELEMENTARY SCHOOL</t>
  </si>
  <si>
    <t>1255</t>
  </si>
  <si>
    <t>RIMROCK ELEMENTARY</t>
  </si>
  <si>
    <t>1319</t>
  </si>
  <si>
    <t>BONNEVILLE ONLINE SCHOOL</t>
  </si>
  <si>
    <t>1357</t>
  </si>
  <si>
    <t>TECHNICAL CAREERS HIGH SCHOOL</t>
  </si>
  <si>
    <t>1360</t>
  </si>
  <si>
    <t>SUMMIT HILLS ELEMENTARY SCHOOL</t>
  </si>
  <si>
    <t>1415</t>
  </si>
  <si>
    <t>THUNDER RIDGE HIGH SCHOOL</t>
  </si>
  <si>
    <t>2518</t>
  </si>
  <si>
    <t>BRIDGEWATER ELEMENTARY SCHOOL</t>
  </si>
  <si>
    <t>2519</t>
  </si>
  <si>
    <t>DISCOVERY ELEMENTARY SCHOOL</t>
  </si>
  <si>
    <t>3093</t>
  </si>
  <si>
    <t>ADMINISTRATION BUILDING BONNEVILLE JOINT DISTRICT</t>
  </si>
  <si>
    <t>BOUNDARY COUNTY DISTRICT</t>
  </si>
  <si>
    <t>0057</t>
  </si>
  <si>
    <t>BONNERS FERRY HIGH SCHOOL</t>
  </si>
  <si>
    <t>0201</t>
  </si>
  <si>
    <t>BOUNDARY COUNTY MIDDLE SCHOOL</t>
  </si>
  <si>
    <t>0433</t>
  </si>
  <si>
    <t>NAPLES ELEMENTARY SCHOOL</t>
  </si>
  <si>
    <t>0434</t>
  </si>
  <si>
    <t>MOUNT HALL ELEMENTARY SCHOOL</t>
  </si>
  <si>
    <t>0437</t>
  </si>
  <si>
    <t>1118</t>
  </si>
  <si>
    <t>BONNERS FERRY HIGH SCHOOL SUMMER ALTERNATIVE</t>
  </si>
  <si>
    <t>3101</t>
  </si>
  <si>
    <t>ADMINISTRATION BUILDING BOUNDARY COUNTY DISTRICT</t>
  </si>
  <si>
    <t>365</t>
  </si>
  <si>
    <t>BRUNEAU-GRAND VIEW JOINT SCHOOL DISTRICT</t>
  </si>
  <si>
    <t>0158</t>
  </si>
  <si>
    <t>RIMROCK JR-SR HIGH SCHOOL</t>
  </si>
  <si>
    <t>0801</t>
  </si>
  <si>
    <t>BRUNEAU ELEMENTARY SCHOOL</t>
  </si>
  <si>
    <t>0802</t>
  </si>
  <si>
    <t>GRAND VIEW ELEMENTARY SCHOOL</t>
  </si>
  <si>
    <t>3365</t>
  </si>
  <si>
    <t>ADMINISTRATION BUILDING BRUNEAU-GRAND VIEW JOINT SCHOOL DISTRICT</t>
  </si>
  <si>
    <t>412</t>
  </si>
  <si>
    <t>BUHL JOINT DISTRICT</t>
  </si>
  <si>
    <t>0179</t>
  </si>
  <si>
    <t>BUHL MIDDLE SCHOOL</t>
  </si>
  <si>
    <t>0180</t>
  </si>
  <si>
    <t>BUHL HIGH SCHOOL</t>
  </si>
  <si>
    <t>0830</t>
  </si>
  <si>
    <t>POPPLEWELL ELEMENTARY SCHOOL</t>
  </si>
  <si>
    <t>1214</t>
  </si>
  <si>
    <t>BUHL SCHOOL DISTRICT ALTERNATIVE SCHOOL SUMMER</t>
  </si>
  <si>
    <t>1403</t>
  </si>
  <si>
    <t>WAKAPA ACADEMY</t>
  </si>
  <si>
    <t>3412</t>
  </si>
  <si>
    <t>ADMINISTRATION BUILDING BUHL JOINT DISTRICT</t>
  </si>
  <si>
    <t>BUTTE COUNTY JOINT DISTRICT</t>
  </si>
  <si>
    <t>0058</t>
  </si>
  <si>
    <t>BUTTE COUNTY MIDDLE SCHOOL</t>
  </si>
  <si>
    <t>0059</t>
  </si>
  <si>
    <t>BUTTE COUNTY HIGH SCHOOL</t>
  </si>
  <si>
    <t>0438</t>
  </si>
  <si>
    <t>HOWE ELEMENTARY SCHOOL</t>
  </si>
  <si>
    <t>0439</t>
  </si>
  <si>
    <t>ARCO ELEMENTARY SCHOOL</t>
  </si>
  <si>
    <t>3111</t>
  </si>
  <si>
    <t>ADMINISTRATION BUILDING BUTTE COUNTY JOINT DISTRICT</t>
  </si>
  <si>
    <t>132</t>
  </si>
  <si>
    <t>CALDWELL DISTRICT</t>
  </si>
  <si>
    <t>0064</t>
  </si>
  <si>
    <t>JEFFERSON MIDDLE SCHOOL</t>
  </si>
  <si>
    <t>0065</t>
  </si>
  <si>
    <t>CALDWELL SENIOR HIGH SCHOOL</t>
  </si>
  <si>
    <t>0076</t>
  </si>
  <si>
    <t>LEWIS AND CLARK ELEMENTARY</t>
  </si>
  <si>
    <t>0281</t>
  </si>
  <si>
    <t>SYRINGA MIDDLE SCHOOL</t>
  </si>
  <si>
    <t>0289</t>
  </si>
  <si>
    <t>WILSON ELEMENTARY SCHOOL</t>
  </si>
  <si>
    <t>0448</t>
  </si>
  <si>
    <t>0449</t>
  </si>
  <si>
    <t>LINCOLN ELEMENTARY SCHOOL</t>
  </si>
  <si>
    <t>0451</t>
  </si>
  <si>
    <t>VAN BUREN ELEMENTARY SCHOOL</t>
  </si>
  <si>
    <t>0457</t>
  </si>
  <si>
    <t>SACAJAWEA ELEMENTARY SCHOOL</t>
  </si>
  <si>
    <t>SOUTHWEST IDAHO JUVENILE DET</t>
  </si>
  <si>
    <t>1090</t>
  </si>
  <si>
    <t>CANYON SPRINGS ALT HIGH SCHOOL</t>
  </si>
  <si>
    <t>1125</t>
  </si>
  <si>
    <t>CANYON SPRINGS SUMMER ALTERNATIVE</t>
  </si>
  <si>
    <t>1179</t>
  </si>
  <si>
    <t>SOUTHWEST ID JUVENILE DETENTION-SUMMER</t>
  </si>
  <si>
    <t>3132</t>
  </si>
  <si>
    <t>ADMINISTRATION BUILDING CALDWELL DISTRICT</t>
  </si>
  <si>
    <t>CAMAS COUNTY DISTRICT</t>
  </si>
  <si>
    <t>0060</t>
  </si>
  <si>
    <t>CAMAS COUNTY HIGH SCHOOL</t>
  </si>
  <si>
    <t>0440</t>
  </si>
  <si>
    <t>CAMAS COUNTY ELEM/JR HIGH SCHOOL</t>
  </si>
  <si>
    <t>3009</t>
  </si>
  <si>
    <t>ADMINISTRATION BUILDING CAMAS COUNTY DISTRICT</t>
  </si>
  <si>
    <t>432</t>
  </si>
  <si>
    <t>CAMBRIDGE JOINT DISTRICT</t>
  </si>
  <si>
    <t>0193</t>
  </si>
  <si>
    <t>CAMBRIDGE JR-SR HIGH SCHOOL</t>
  </si>
  <si>
    <t>0841</t>
  </si>
  <si>
    <t>CAMBRIDGE ELEMENTARY SCHOOL</t>
  </si>
  <si>
    <t>4432</t>
  </si>
  <si>
    <t>ADMINISTRATION BUILDING CAMBRIDGE JOINT DISTRICT</t>
  </si>
  <si>
    <t>555</t>
  </si>
  <si>
    <t>CANYON-OWYHEE SCHOOL SERVICE AGENCY (COSSA)</t>
  </si>
  <si>
    <t>1291</t>
  </si>
  <si>
    <t>COSSA ACADEMY</t>
  </si>
  <si>
    <t>1292</t>
  </si>
  <si>
    <t>COSSA ACADEMY ALTERNATIVE SUMMER SCHOOL</t>
  </si>
  <si>
    <t>1293</t>
  </si>
  <si>
    <t>ADMINISTRATION BUILDING COSSA</t>
  </si>
  <si>
    <t>9512</t>
  </si>
  <si>
    <t>COSSA REGIONAL TECHNOLOGY &amp; EDUCATIONAL CENTER (CRTECT)</t>
  </si>
  <si>
    <t>422</t>
  </si>
  <si>
    <t>CASCADE DISTRICT</t>
  </si>
  <si>
    <t>0190</t>
  </si>
  <si>
    <t>CASCADE JR-SR HIGH SCHOOL</t>
  </si>
  <si>
    <t>0838</t>
  </si>
  <si>
    <t>CASCADE ELEMENTARY SCHOOL</t>
  </si>
  <si>
    <t>3422</t>
  </si>
  <si>
    <t>ADMINISTRATION BUILDING CASCADE DISTRICT</t>
  </si>
  <si>
    <t>151</t>
  </si>
  <si>
    <t>CASSIA COUNTY JOINT DISTRICT</t>
  </si>
  <si>
    <t>0080</t>
  </si>
  <si>
    <t>BURLEY JUNIOR HIGH SCHOOL</t>
  </si>
  <si>
    <t>0081</t>
  </si>
  <si>
    <t>BURLEY SENIOR HIGH SCHOOL</t>
  </si>
  <si>
    <t>0082</t>
  </si>
  <si>
    <t>OAKLEY JR-SR HIGH SCHOOL</t>
  </si>
  <si>
    <t>0083</t>
  </si>
  <si>
    <t>RAFT RIVER JR-SR HIGH SCHOOL</t>
  </si>
  <si>
    <t>0084</t>
  </si>
  <si>
    <t>DECLO SENIOR HIGH SCHOOL</t>
  </si>
  <si>
    <t>0216</t>
  </si>
  <si>
    <t>WHITE PINE ELEMENTARY</t>
  </si>
  <si>
    <t>0238</t>
  </si>
  <si>
    <t>PRESCHOOL CENTER</t>
  </si>
  <si>
    <t>0262</t>
  </si>
  <si>
    <t>CASSIA JR/SR HIGH SCHOOL SUMMER ALTERNATIVE</t>
  </si>
  <si>
    <t>0292</t>
  </si>
  <si>
    <t>DECLO JR HIGH SCHOOL</t>
  </si>
  <si>
    <t>0468</t>
  </si>
  <si>
    <t>ALMO ELEMENTARY SCHOOL</t>
  </si>
  <si>
    <t>0469</t>
  </si>
  <si>
    <t>DECLO ELEMENTARY SCHOOL</t>
  </si>
  <si>
    <t>0470</t>
  </si>
  <si>
    <t>MOUNTAIN VIEW ELEMENTARY</t>
  </si>
  <si>
    <t>0471</t>
  </si>
  <si>
    <t>RAFT RIVER ELEMENTARY SCHOOL</t>
  </si>
  <si>
    <t>0473</t>
  </si>
  <si>
    <t>OAKLEY ELEMENTARY SCHOOL</t>
  </si>
  <si>
    <t>0474</t>
  </si>
  <si>
    <t>DWORSHAK ELEMENTARY SCHOOL</t>
  </si>
  <si>
    <t>0475</t>
  </si>
  <si>
    <t>ALBION ELEMENTARY SCHOOL</t>
  </si>
  <si>
    <t>0568</t>
  </si>
  <si>
    <t>CASSIA REGIONALTECHNICAL CTR</t>
  </si>
  <si>
    <t>0990</t>
  </si>
  <si>
    <t>CASSIA JR/SR HIGH SCHOOL ALTERNATIVE</t>
  </si>
  <si>
    <t>1377</t>
  </si>
  <si>
    <t>CASSIA COUNTY DAY TREATMENT CENTER</t>
  </si>
  <si>
    <t>1395</t>
  </si>
  <si>
    <t>JOHN V EVANS ELEMENTARY</t>
  </si>
  <si>
    <t>1441</t>
  </si>
  <si>
    <t>MINI-CASSIA ONLINE LEARNING ACADEMY</t>
  </si>
  <si>
    <t>3151</t>
  </si>
  <si>
    <t>ADMINISTRATION BUILDING CASSIA COUNTY JOINT DISTRICT</t>
  </si>
  <si>
    <t>417</t>
  </si>
  <si>
    <t>CASTLEFORD DISTRICT</t>
  </si>
  <si>
    <t>0185</t>
  </si>
  <si>
    <t>CASTLEFORD SCHOOL</t>
  </si>
  <si>
    <t>3417</t>
  </si>
  <si>
    <t>ADMINISTRATION BUILDING CASTLEFORD DISTRICT</t>
  </si>
  <si>
    <t>181</t>
  </si>
  <si>
    <t>CHALLIS JOINT DISTRICT</t>
  </si>
  <si>
    <t>0089</t>
  </si>
  <si>
    <t>CHALLIS JR-SR HIGH SCHOOL</t>
  </si>
  <si>
    <t>0486</t>
  </si>
  <si>
    <t>STANLEY ELEM-JR HIGH SCHOOL</t>
  </si>
  <si>
    <t>0487</t>
  </si>
  <si>
    <t>PATTERSON ELEMENTARY SCHOOL</t>
  </si>
  <si>
    <t>0489</t>
  </si>
  <si>
    <t>CHALLIS ELEMENTARY SCHOOL</t>
  </si>
  <si>
    <t>3181</t>
  </si>
  <si>
    <t>ADMINISTRATION BUILDING CHALLIS JOINT DISTRICT</t>
  </si>
  <si>
    <t>483</t>
  </si>
  <si>
    <t>CHIEF TAHGEE ELEMENTARY ACADEMY, INC.</t>
  </si>
  <si>
    <t>1347</t>
  </si>
  <si>
    <t>CHIEF TAHGEE ELEMENTARY ACADEMY</t>
  </si>
  <si>
    <t>161</t>
  </si>
  <si>
    <t>CLARK COUNTY DISTRICT</t>
  </si>
  <si>
    <t>0085</t>
  </si>
  <si>
    <t>CLARK COUNTY JR-SR HIGH SCHOOL</t>
  </si>
  <si>
    <t>0478</t>
  </si>
  <si>
    <t>LINDY ROSS ELEMENTARY SCHOOL</t>
  </si>
  <si>
    <t>491</t>
  </si>
  <si>
    <t>COEUR D'ALENE CHARTER ACADEMY, INC.</t>
  </si>
  <si>
    <t>1370</t>
  </si>
  <si>
    <t>COEUR D'ALENE CHARTER ACADEMY SCHOOL</t>
  </si>
  <si>
    <t>COEUR D'ALENE DISTRICT</t>
  </si>
  <si>
    <t>CANFIELD MIDDLE SCHOOL</t>
  </si>
  <si>
    <t>0121</t>
  </si>
  <si>
    <t>LAKES MAGNET SCHOOL</t>
  </si>
  <si>
    <t>0122</t>
  </si>
  <si>
    <t>COEUR D'ALENE HIGH SCHOOL</t>
  </si>
  <si>
    <t>0217</t>
  </si>
  <si>
    <t>SKYWAY ELEMENTARY SCHOOL</t>
  </si>
  <si>
    <t>0220</t>
  </si>
  <si>
    <t>LAKE CITY HIGH SCHOOL</t>
  </si>
  <si>
    <t>0246</t>
  </si>
  <si>
    <t>WOODLAND MIDDLE SCHOOL</t>
  </si>
  <si>
    <t>0506</t>
  </si>
  <si>
    <t>HAYDEN MEADOWS ELEMENTARY SCH</t>
  </si>
  <si>
    <t>0514</t>
  </si>
  <si>
    <t>FERNAN STEM ACADEMY</t>
  </si>
  <si>
    <t>0735</t>
  </si>
  <si>
    <t>BORAH ELEMENTARY SCHOOL</t>
  </si>
  <si>
    <t>0738</t>
  </si>
  <si>
    <t>RAMSEY MAGNET SCHOOL OF SCIENCE</t>
  </si>
  <si>
    <t>0739</t>
  </si>
  <si>
    <t>DALTON ELEMENTARY SCHOOL</t>
  </si>
  <si>
    <t>0740</t>
  </si>
  <si>
    <t>ATLAS ELEMENTARY SCHOOL</t>
  </si>
  <si>
    <t>0741</t>
  </si>
  <si>
    <t>BRYAN ELEMENTARY SCHOOL</t>
  </si>
  <si>
    <t>0742</t>
  </si>
  <si>
    <t>SORENSEN MAGNET SCHOOL OF THE ARTS AND HUMANITIES</t>
  </si>
  <si>
    <t>0743</t>
  </si>
  <si>
    <t>WINTON ELEMENTARY SCHOOL</t>
  </si>
  <si>
    <t>1037</t>
  </si>
  <si>
    <t>VENTURE HIGH SCHOOL ALTERNATIVE</t>
  </si>
  <si>
    <t>1038</t>
  </si>
  <si>
    <t>CDA JUVENILE DETENTION CENTER</t>
  </si>
  <si>
    <t>1129</t>
  </si>
  <si>
    <t>VENTURE HIGH SCHOOL SUMMER ALTERNATIVE</t>
  </si>
  <si>
    <t>1180</t>
  </si>
  <si>
    <t>CDA JUVENILE DETETENTION-SUMMER</t>
  </si>
  <si>
    <t>1396</t>
  </si>
  <si>
    <t>NORTHWEST EXPEDITION ACADEMY</t>
  </si>
  <si>
    <t>3271</t>
  </si>
  <si>
    <t>ADMINISTRATION BUILDING COEUR D'ALENE DISTRICT</t>
  </si>
  <si>
    <t>455</t>
  </si>
  <si>
    <t>COMPASS PUBLIC CHARTER SCHOOL, INC.</t>
  </si>
  <si>
    <t>0575</t>
  </si>
  <si>
    <t>COMPASS PUBLIC CHARTER SCHOOL</t>
  </si>
  <si>
    <t>1379</t>
  </si>
  <si>
    <t>COMPASS PUBLIC CHARTER SCHOOL JR./SR. HIGH</t>
  </si>
  <si>
    <t>COTTONWOOD JOINT DISTRICT</t>
  </si>
  <si>
    <t>0111</t>
  </si>
  <si>
    <t>PRAIRIE JR-SR HIGH SCHOOL</t>
  </si>
  <si>
    <t>0722</t>
  </si>
  <si>
    <t>PRAIRIE ELEMENTARY SCHOOL</t>
  </si>
  <si>
    <t>3019</t>
  </si>
  <si>
    <t>ADMINISTRATION BUILDING COTTONWOOD JOINT DISTRICT</t>
  </si>
  <si>
    <t>013</t>
  </si>
  <si>
    <t>COUNCIL DISTRICT</t>
  </si>
  <si>
    <t>0017</t>
  </si>
  <si>
    <t>COUNCIL JR-SR HIGH SCHOOL</t>
  </si>
  <si>
    <t>0348</t>
  </si>
  <si>
    <t>COUNCIL ELEMENTARY SCHOOL</t>
  </si>
  <si>
    <t>3005</t>
  </si>
  <si>
    <t>ADMINISTRATION BUILDING COUNCIL DISTRICT</t>
  </si>
  <si>
    <t>342</t>
  </si>
  <si>
    <t>CULDESAC JOINT DISTRICT</t>
  </si>
  <si>
    <t>0795</t>
  </si>
  <si>
    <t>CULDESAC SCHOOL</t>
  </si>
  <si>
    <t>3342</t>
  </si>
  <si>
    <t>ADMINISTRATION BUILDING CULDESAC JOINT DISTRICT</t>
  </si>
  <si>
    <t>314</t>
  </si>
  <si>
    <t>DIETRICH DISTRICT</t>
  </si>
  <si>
    <t>0143</t>
  </si>
  <si>
    <t>DIETRICH SCHOOL</t>
  </si>
  <si>
    <t>3314</t>
  </si>
  <si>
    <t>ADMINISTRATION BUILDING DIETRICH DISTRICT</t>
  </si>
  <si>
    <t>550</t>
  </si>
  <si>
    <t>DORAL ACADEMY OF IDAHO, INC.</t>
  </si>
  <si>
    <t>1443</t>
  </si>
  <si>
    <t>DORAL ACADEMY OF IDAHO</t>
  </si>
  <si>
    <t>523</t>
  </si>
  <si>
    <t>ELEVATE ACADEMY INC.</t>
  </si>
  <si>
    <t>1420</t>
  </si>
  <si>
    <t>ELEVATE ACADEMY</t>
  </si>
  <si>
    <t>1457</t>
  </si>
  <si>
    <t>ELEVATE ACADEMY (SUMMER)</t>
  </si>
  <si>
    <t>221</t>
  </si>
  <si>
    <t>EMMETT INDEPENDENT DIST</t>
  </si>
  <si>
    <t>0101</t>
  </si>
  <si>
    <t>EMMETT HIGH SCHOOL</t>
  </si>
  <si>
    <t>0224</t>
  </si>
  <si>
    <t>EMMETT MIDDLE SCHOOL</t>
  </si>
  <si>
    <t>0230</t>
  </si>
  <si>
    <t>KENNETH J. CARBERRY ELEMENTARY</t>
  </si>
  <si>
    <t>0251</t>
  </si>
  <si>
    <t>SHADOW BUTTE ELEMENTARY SCHOOL</t>
  </si>
  <si>
    <t>0707</t>
  </si>
  <si>
    <t>SWEET MONTOUR ELEMENTARY SCHOOL</t>
  </si>
  <si>
    <t>0710</t>
  </si>
  <si>
    <t>OLA ELEMENTARY SCHOOL</t>
  </si>
  <si>
    <t>1111</t>
  </si>
  <si>
    <t>THE PATRIOT CENTER ALTERNATIVE</t>
  </si>
  <si>
    <t>1127</t>
  </si>
  <si>
    <t>BLACK CANYON HIGH SCHOOL SUMMER ALTERNATIVE</t>
  </si>
  <si>
    <t>1213</t>
  </si>
  <si>
    <t>PATRIOT CENTER SUMMER ALTERNATIVE</t>
  </si>
  <si>
    <t>1265</t>
  </si>
  <si>
    <t>BLACK CANYON JR/SR HIGH SCHOOL</t>
  </si>
  <si>
    <t>3221</t>
  </si>
  <si>
    <t>ADMINISTRATION BUILDING EMMETT INDEPENDENT DIST</t>
  </si>
  <si>
    <t>456</t>
  </si>
  <si>
    <t>FALCON RIDGE PUBLIC CHARTER SCHOOL, INC.</t>
  </si>
  <si>
    <t>0576</t>
  </si>
  <si>
    <t>FALCON RIDGE PUBLIC CHARTER</t>
  </si>
  <si>
    <t>FERN-WATERS PUBLIC CHARTER SCHOOL, INC.</t>
  </si>
  <si>
    <t>1423</t>
  </si>
  <si>
    <t>FERN-WATERS PUBLIC CHARTER SCHOOL</t>
  </si>
  <si>
    <t>413</t>
  </si>
  <si>
    <t>FILER DISTRICT</t>
  </si>
  <si>
    <t>0181</t>
  </si>
  <si>
    <t>FILER HIGH SCHOOL</t>
  </si>
  <si>
    <t>0196</t>
  </si>
  <si>
    <t>FILER MIDDLE SCHOOL</t>
  </si>
  <si>
    <t>0831</t>
  </si>
  <si>
    <t>FILER ELEMENTARY SCHOOL</t>
  </si>
  <si>
    <t>0832</t>
  </si>
  <si>
    <t>HOLLISTER ELEMENTARY SCHOOL</t>
  </si>
  <si>
    <t>1244</t>
  </si>
  <si>
    <t xml:space="preserve">FILER INTERMEDIATE SCHOOL    </t>
  </si>
  <si>
    <t>3031</t>
  </si>
  <si>
    <t>ADMINISTRATION BUILDING FILER DISTRICT</t>
  </si>
  <si>
    <t>059</t>
  </si>
  <si>
    <t>FIRTH DISTRICT</t>
  </si>
  <si>
    <t>0038</t>
  </si>
  <si>
    <t>FIRTH HIGH SCHOOL</t>
  </si>
  <si>
    <t>0155</t>
  </si>
  <si>
    <t>FIRTH MIDDLE SCHOOL</t>
  </si>
  <si>
    <t>0390</t>
  </si>
  <si>
    <t>A W JOHNSON ELEMENTARY SCHOOL</t>
  </si>
  <si>
    <t>3059</t>
  </si>
  <si>
    <t>ADMINISTRATION BUILDING FIRTH DISTRICT</t>
  </si>
  <si>
    <t>528</t>
  </si>
  <si>
    <t>FORGE INTERNATIONAL, LLC</t>
  </si>
  <si>
    <t>1422</t>
  </si>
  <si>
    <t>FORGE INTERNATIONAL SCHOOL</t>
  </si>
  <si>
    <t>495</t>
  </si>
  <si>
    <t>ALTURAS INTERNATIONAL ACADEMY, INC.</t>
  </si>
  <si>
    <t>1385</t>
  </si>
  <si>
    <t>ALTURAS INTERNATIONAL ACADEMY</t>
  </si>
  <si>
    <t>215</t>
  </si>
  <si>
    <t>FREMONT COUNTY JOINT DISTRICT</t>
  </si>
  <si>
    <t>0098</t>
  </si>
  <si>
    <t>SOUTH FREMONT JR HIGH</t>
  </si>
  <si>
    <t>SOUTH FREMONT HIGH SCHOOL</t>
  </si>
  <si>
    <t>0100</t>
  </si>
  <si>
    <t>NORTH FREMONT JR-SR HIGH SCHOOL</t>
  </si>
  <si>
    <t>0290</t>
  </si>
  <si>
    <t>HENRYS FORK ELEMENTARY</t>
  </si>
  <si>
    <t>0700</t>
  </si>
  <si>
    <t>PARKER-EGIN ELEMENTARY SCHOOL</t>
  </si>
  <si>
    <t>0701</t>
  </si>
  <si>
    <t>ASHTON ELEMENTARY SCHOOL</t>
  </si>
  <si>
    <t>0703</t>
  </si>
  <si>
    <t>TETON ELEMENTARY SCHOOL</t>
  </si>
  <si>
    <t>1271</t>
  </si>
  <si>
    <t>FIVE-COUNTY DETENTION CENTER</t>
  </si>
  <si>
    <t>1276</t>
  </si>
  <si>
    <t>3215</t>
  </si>
  <si>
    <t>ADMINISTRATION BUILDING FREMONT COUNTY JOINT DISTRICT</t>
  </si>
  <si>
    <t>373</t>
  </si>
  <si>
    <t>FRUITLAND DISTRICT</t>
  </si>
  <si>
    <t>0165</t>
  </si>
  <si>
    <t>FRUITLAND MIDDLE SCHOOL</t>
  </si>
  <si>
    <t>0166</t>
  </si>
  <si>
    <t>FRUITLAND HIGH SCHOOL</t>
  </si>
  <si>
    <t>0807</t>
  </si>
  <si>
    <t>FRUITLAND ELEMENTARY SCHOOL</t>
  </si>
  <si>
    <t>1089</t>
  </si>
  <si>
    <t>FRUITLAND PREPARATORY ACADEMY SUMMER ALTERNATIVE</t>
  </si>
  <si>
    <t>1332</t>
  </si>
  <si>
    <t>FRUITLAND PREPARATORY ACADEMY ALTERNATIVE</t>
  </si>
  <si>
    <t>3373</t>
  </si>
  <si>
    <t>ADMINISTRATION BUILDING FRUITLAND DISTRICT</t>
  </si>
  <si>
    <t>499</t>
  </si>
  <si>
    <t>FUTURE PUBLIC SCHOOOL, INC.</t>
  </si>
  <si>
    <t>1410</t>
  </si>
  <si>
    <t>FUTURE PUBLIC SCHOOOL</t>
  </si>
  <si>
    <t>071</t>
  </si>
  <si>
    <t>GARDEN VALLEY DISTRICT</t>
  </si>
  <si>
    <t>0274</t>
  </si>
  <si>
    <t>GARDEN VALLEY SCHOOL</t>
  </si>
  <si>
    <t>0398</t>
  </si>
  <si>
    <t>LOWMAN ELEMENTARY SCHOOL</t>
  </si>
  <si>
    <t>3006</t>
  </si>
  <si>
    <t>ADMINISTRATION BUILDING GARDEN VALLEY DISTRICT</t>
  </si>
  <si>
    <t>498</t>
  </si>
  <si>
    <t>GEM PREP: MERIDIAN, LLC</t>
  </si>
  <si>
    <t>1409</t>
  </si>
  <si>
    <t>GEM PREP: MERIDIAN</t>
  </si>
  <si>
    <t>549</t>
  </si>
  <si>
    <t>GEM PREP: MERIDIAN NORTH, LLC</t>
  </si>
  <si>
    <t>1442</t>
  </si>
  <si>
    <t>GEM PREP: MERIDIAN NORTH</t>
  </si>
  <si>
    <t>796</t>
  </si>
  <si>
    <t>GEM PREP: NAMPA, LLC</t>
  </si>
  <si>
    <t>1386</t>
  </si>
  <si>
    <t>GEM PREP: NAMPA</t>
  </si>
  <si>
    <t>534</t>
  </si>
  <si>
    <t>GEM PREP: ONLINE LLC</t>
  </si>
  <si>
    <t>1426</t>
  </si>
  <si>
    <t>GEM PREP: ONLINE SCHOOL</t>
  </si>
  <si>
    <t>496</t>
  </si>
  <si>
    <t xml:space="preserve">GEM PREP: POCATELLO, LLC </t>
  </si>
  <si>
    <t>1376</t>
  </si>
  <si>
    <t>GEM PREP: POCATELLO SCHOOL</t>
  </si>
  <si>
    <t>GENESEE JOINT DISTRICT</t>
  </si>
  <si>
    <t>0269</t>
  </si>
  <si>
    <t>GENESEE SCHOOL</t>
  </si>
  <si>
    <t>ADMINISTRATION BUILDING GENESEE JOINT DISTRICT</t>
  </si>
  <si>
    <t>192</t>
  </si>
  <si>
    <t>GLENNS FERRY JOINT DISTRICT</t>
  </si>
  <si>
    <t>0092</t>
  </si>
  <si>
    <t>GLENNS FERRY HIGH SCHOOL</t>
  </si>
  <si>
    <t>0241</t>
  </si>
  <si>
    <t>GLENNS FERRY MIDDLE SCHOOL</t>
  </si>
  <si>
    <t>0492</t>
  </si>
  <si>
    <t>GLENNS FERRY ELEMENTARY SCHOOL</t>
  </si>
  <si>
    <t>3016</t>
  </si>
  <si>
    <t>ADMINISTRATION BUILDING GLENNS FERRY JOINT DISTRICT</t>
  </si>
  <si>
    <t>GOODING JOINT DISTRICT</t>
  </si>
  <si>
    <t>0102</t>
  </si>
  <si>
    <t>GOODING MIDDLE SCHOOL</t>
  </si>
  <si>
    <t>0103</t>
  </si>
  <si>
    <t>GOODING HIGH SCHOOL</t>
  </si>
  <si>
    <t>0711</t>
  </si>
  <si>
    <t>GOODING ELEMENTARY SCHOOL</t>
  </si>
  <si>
    <t>3231</t>
  </si>
  <si>
    <t>ADMINISTRATION BUILDING GOODING JOINT DISTRICT</t>
  </si>
  <si>
    <t>148</t>
  </si>
  <si>
    <t>GRACE JOINT DISTRICT</t>
  </si>
  <si>
    <t>0245</t>
  </si>
  <si>
    <t>GRACE JR/SR HIGH SCHOOL</t>
  </si>
  <si>
    <t>0462</t>
  </si>
  <si>
    <t>THATCHER ELEMENTARY SCHOOL</t>
  </si>
  <si>
    <t>0463</t>
  </si>
  <si>
    <t>GRACE ELEMENTARY SCHOOL</t>
  </si>
  <si>
    <t>3012</t>
  </si>
  <si>
    <t>ADMINISTRATION BUILDING GRACE JOINT DISTRICT</t>
  </si>
  <si>
    <t>HAGERMAN JOINT DISTRICT</t>
  </si>
  <si>
    <t>0280</t>
  </si>
  <si>
    <t>HAGERMAN SCHOOL</t>
  </si>
  <si>
    <t>1456</t>
  </si>
  <si>
    <t>HAGERMAN VIRTUAL SCHOOL</t>
  </si>
  <si>
    <t>3017</t>
  </si>
  <si>
    <t>ADMINISTRATION BUILDING HAGERMAN JOINT DISTRICT</t>
  </si>
  <si>
    <t>415</t>
  </si>
  <si>
    <t>HANSEN DISTRICT</t>
  </si>
  <si>
    <t>0620</t>
  </si>
  <si>
    <t>HANSEN JR/SR HIGH SCHOOL</t>
  </si>
  <si>
    <t>0834</t>
  </si>
  <si>
    <t>HANSEN ELEMENTARY SCHOOL</t>
  </si>
  <si>
    <t>3034</t>
  </si>
  <si>
    <t>ADMINISTRATION BUILDING HANSEN DISTRICT</t>
  </si>
  <si>
    <t>508</t>
  </si>
  <si>
    <t>HAYDEN CANYON CHARTER SCHOOL, INC.</t>
  </si>
  <si>
    <t>1411</t>
  </si>
  <si>
    <t>HAYDEN CANYON CHARTER SCHOOL</t>
  </si>
  <si>
    <t>479</t>
  </si>
  <si>
    <t>HERITAGE ACADEMY DISTRICT</t>
  </si>
  <si>
    <t>1341</t>
  </si>
  <si>
    <t>HERITAGE ACADEMY</t>
  </si>
  <si>
    <t>481</t>
  </si>
  <si>
    <t>HERITAGE COMMUNITY CHARTER SCHOOL, INC.</t>
  </si>
  <si>
    <t>1343</t>
  </si>
  <si>
    <t>HERITAGE COMMUNITY CHARTER</t>
  </si>
  <si>
    <t>305</t>
  </si>
  <si>
    <t>HIGHLAND JOINT DISTRICT</t>
  </si>
  <si>
    <t>0285</t>
  </si>
  <si>
    <t>HIGHLAND SCHOOL</t>
  </si>
  <si>
    <t>3305</t>
  </si>
  <si>
    <t>ADMINISTRATION BUILDING HIGHLAND JOINT DISTRICT</t>
  </si>
  <si>
    <t>370</t>
  </si>
  <si>
    <t>HOMEDALE JOINT DISTRICT</t>
  </si>
  <si>
    <t>0160</t>
  </si>
  <si>
    <t>HOMEDALE HIGH SCHOOL</t>
  </si>
  <si>
    <t>0260</t>
  </si>
  <si>
    <t>HOMEDALE MIDDLE SCHOOL</t>
  </si>
  <si>
    <t>0803</t>
  </si>
  <si>
    <t>HOMEDALE ELEMENTARY SCHOOL</t>
  </si>
  <si>
    <t>1059</t>
  </si>
  <si>
    <t>COSSA</t>
  </si>
  <si>
    <t>3370</t>
  </si>
  <si>
    <t>ADMINISTRATION BUILDING HOMEDALE JOINT DISTRICT</t>
  </si>
  <si>
    <t>073</t>
  </si>
  <si>
    <t>HORSESHOE BEND SCHOOL DISTRICT</t>
  </si>
  <si>
    <t>0256</t>
  </si>
  <si>
    <t>HORSESHOE BEND ELEMENTARY</t>
  </si>
  <si>
    <t>0278</t>
  </si>
  <si>
    <t>HORSESHOE BEND MIDDLE-SR HIGH</t>
  </si>
  <si>
    <t>3008</t>
  </si>
  <si>
    <t>ADMINISTRATION BUILDING HORSESHOE BEND SCHOOL DISTRICT</t>
  </si>
  <si>
    <t>795</t>
  </si>
  <si>
    <t>IDAHO ARTS CHARTER SCHOOL, INC.</t>
  </si>
  <si>
    <t>0577</t>
  </si>
  <si>
    <t>IDAHO ARTS CHARTER SCHOOL</t>
  </si>
  <si>
    <t>596</t>
  </si>
  <si>
    <t>IDAHO BUREAU OF EDUCATIONAL SERVICES FOR THE DEAF AND THE BLIND</t>
  </si>
  <si>
    <t>3596</t>
  </si>
  <si>
    <t>ADMINISTRATION BUILDING IDAHO BUREAU OF EDUCATIONAL SERVICES FOR THE DEAF AND THE BLIND</t>
  </si>
  <si>
    <t>489</t>
  </si>
  <si>
    <t>IDAHO COLLEGE AND CAREER READINESS ACADEMY, INC.</t>
  </si>
  <si>
    <t>1368</t>
  </si>
  <si>
    <t>IDAHO COLLEGE &amp; CAREER READINESS ACADEMY</t>
  </si>
  <si>
    <t>709</t>
  </si>
  <si>
    <t>IDAHO DEPARTMENT OF JUVENILE CORRECTIONS</t>
  </si>
  <si>
    <t>1030</t>
  </si>
  <si>
    <t>JCC-ST. ANTHONY</t>
  </si>
  <si>
    <t>1074</t>
  </si>
  <si>
    <t>JCC-LEWISTON</t>
  </si>
  <si>
    <t>1169</t>
  </si>
  <si>
    <t>JCC-NAMPA</t>
  </si>
  <si>
    <t>671</t>
  </si>
  <si>
    <t>IDAHO DEPT CORRECTION</t>
  </si>
  <si>
    <t>0671</t>
  </si>
  <si>
    <t>IDAHO STATE PENITENTIARY</t>
  </si>
  <si>
    <t>771</t>
  </si>
  <si>
    <t>Idaho Digital Learning Academy</t>
  </si>
  <si>
    <t>1082</t>
  </si>
  <si>
    <t>IDLA School</t>
  </si>
  <si>
    <t>IDAHO DISTANCE EDUCATION ACADEMY, INC</t>
  </si>
  <si>
    <t>1369</t>
  </si>
  <si>
    <t>IDAHO DISTANCE EDUCATION ACADEMY</t>
  </si>
  <si>
    <t>091</t>
  </si>
  <si>
    <t>IDAHO FALLS DISTRICT</t>
  </si>
  <si>
    <t>0050</t>
  </si>
  <si>
    <t>EAGLE ROCK MIDDLE SCHOOL</t>
  </si>
  <si>
    <t>0053</t>
  </si>
  <si>
    <t>SKYLINE SENIOR HIGH SCHOOL</t>
  </si>
  <si>
    <t>0054</t>
  </si>
  <si>
    <t>IDAHO FALLS SENIOR HIGH SCHOOL</t>
  </si>
  <si>
    <t>0199</t>
  </si>
  <si>
    <t>TAYLORVIEW MIDDLE SCHOOL</t>
  </si>
  <si>
    <t>0412</t>
  </si>
  <si>
    <t>0413</t>
  </si>
  <si>
    <t>0414</t>
  </si>
  <si>
    <t>TEMPLE VIEW ELEMENTARY SCHOOL</t>
  </si>
  <si>
    <t>0415</t>
  </si>
  <si>
    <t>A H BUSH ELEMENTARY SCHOOL</t>
  </si>
  <si>
    <t>0416</t>
  </si>
  <si>
    <t>EDGEMONT GARDENS ELEMENTARY</t>
  </si>
  <si>
    <t>0419</t>
  </si>
  <si>
    <t>THERESA BUNKER ELEMENTARY</t>
  </si>
  <si>
    <t>0420</t>
  </si>
  <si>
    <t>ETHEL BOYES ELEMENTARY SCHOOL</t>
  </si>
  <si>
    <t>0421</t>
  </si>
  <si>
    <t>WESTSIDE ELEMENTARY SCHOOL</t>
  </si>
  <si>
    <t>0422</t>
  </si>
  <si>
    <t>DORA ERICKSON ELEM SCHOOL</t>
  </si>
  <si>
    <t>0423</t>
  </si>
  <si>
    <t>LINDEN PARK ELEMENTARY SCHOOL</t>
  </si>
  <si>
    <t>0566</t>
  </si>
  <si>
    <t>CAREER &amp; TECHNICAL EDUCATION CENTER</t>
  </si>
  <si>
    <t>0667</t>
  </si>
  <si>
    <t>FOXHOLLOW ELEMENTARY SCHOOL</t>
  </si>
  <si>
    <t>0668</t>
  </si>
  <si>
    <t>SUNNYSIDE ELEMENTARY SCHOOL</t>
  </si>
  <si>
    <t>1048</t>
  </si>
  <si>
    <t>EMERSON HIGH SCHOOL ALTERNATIVE</t>
  </si>
  <si>
    <t>1122</t>
  </si>
  <si>
    <t>EMERSON ALTERNATIVE SUMMER SCHOOL</t>
  </si>
  <si>
    <t>1152</t>
  </si>
  <si>
    <t>3B JUVENILE DETENTION CENTER</t>
  </si>
  <si>
    <t>1178</t>
  </si>
  <si>
    <t>3-B JUVENILE DETENTION-SUMMER</t>
  </si>
  <si>
    <t>1449</t>
  </si>
  <si>
    <t>D91 ONLINE ACADEMY - SECONDARY</t>
  </si>
  <si>
    <t>1454</t>
  </si>
  <si>
    <t>D91 ONLINE ACADEMY - ELEMENTARY</t>
  </si>
  <si>
    <t>1350</t>
  </si>
  <si>
    <t>COMPASS ACADEMY</t>
  </si>
  <si>
    <t>3091</t>
  </si>
  <si>
    <t>ADMINISTRATION BUILDING IDAHO FALLS DISTRICT</t>
  </si>
  <si>
    <t>468</t>
  </si>
  <si>
    <t>IDAHO SCIENCE AND TECHNOLOGY CHARTER SCHOOL, INC.</t>
  </si>
  <si>
    <t>1217</t>
  </si>
  <si>
    <t>IDAHO SCIENCE &amp; TECHNOLOGY CHARTER SCHOOL</t>
  </si>
  <si>
    <t>485</t>
  </si>
  <si>
    <t>IDAHO STEM ACADEMY, INC.</t>
  </si>
  <si>
    <t>1364</t>
  </si>
  <si>
    <t>BINGHAM ACADEMY</t>
  </si>
  <si>
    <t>452</t>
  </si>
  <si>
    <t>IDAHO VIRTUAL ACADEMY, INC.</t>
  </si>
  <si>
    <t>0869</t>
  </si>
  <si>
    <t>IDAHO VIRTUAL ACADEMY</t>
  </si>
  <si>
    <t>1302</t>
  </si>
  <si>
    <t>INSIGHT SCHOOL OF IDAHO</t>
  </si>
  <si>
    <t>1314</t>
  </si>
  <si>
    <t>INSIGHT SCHOOL OF IDAHO (SUMMER)</t>
  </si>
  <si>
    <t>469</t>
  </si>
  <si>
    <t>IDAHO VIRTUAL EDUCATION PARTNERS, INC.</t>
  </si>
  <si>
    <t>1221</t>
  </si>
  <si>
    <t>IDAHO CONNECTS ONLINE SCHOOL</t>
  </si>
  <si>
    <t>1303</t>
  </si>
  <si>
    <t>IDAHO CONNECTS ONLINE ALTERNATIVE SCHOOL</t>
  </si>
  <si>
    <t>1353</t>
  </si>
  <si>
    <t>IDAHO CONNECTS ONLINE SCHOOL SUMMER ALTERNATIVE</t>
  </si>
  <si>
    <t>453</t>
  </si>
  <si>
    <t>IDAHO VIRTUAL HIGH SCHOOL, INC.</t>
  </si>
  <si>
    <t>0870</t>
  </si>
  <si>
    <t>RICHARD MCKENNA CHARTER SCHOOL - ONLINE</t>
  </si>
  <si>
    <t>0871</t>
  </si>
  <si>
    <t>RICHARD MCKENNA CHARTER SCHOOL - ONLINE ALTERNATIVE</t>
  </si>
  <si>
    <t>0873</t>
  </si>
  <si>
    <t>RICHARD MCKENNA ONLINE ALTERNATIVE - SUMMER</t>
  </si>
  <si>
    <t>1387</t>
  </si>
  <si>
    <t>RICHARD MCKENNA CHARTER SCHOOL - MONTESSORI</t>
  </si>
  <si>
    <t>1399</t>
  </si>
  <si>
    <t>RICHARD MCKENNA CHARTER SCHOOL - ONSITE</t>
  </si>
  <si>
    <t>457</t>
  </si>
  <si>
    <t>INSPIRE ACADEMICS, INC.</t>
  </si>
  <si>
    <t>0578</t>
  </si>
  <si>
    <t>INSPIRE VIRTUAL CHARTER SCHOOL</t>
  </si>
  <si>
    <t>540</t>
  </si>
  <si>
    <t>ISLAND PARK CHARTER SCHOOL, INC.</t>
  </si>
  <si>
    <t>1435</t>
  </si>
  <si>
    <t>ISLAND PARK CHARTER SCHOOL</t>
  </si>
  <si>
    <t>466</t>
  </si>
  <si>
    <t>ISUCCEED VIRTUAL HIGH SCHOOL, INC.</t>
  </si>
  <si>
    <t>0654</t>
  </si>
  <si>
    <t>iSUCCEED VIRTUAL HIGH SCHOOL</t>
  </si>
  <si>
    <t>1417</t>
  </si>
  <si>
    <t>iSUCCEED Academy</t>
  </si>
  <si>
    <t>1429</t>
  </si>
  <si>
    <t>iSUCCEED ACADEMY (SUMMER)</t>
  </si>
  <si>
    <t>JEFFERSON COUNTY JT DISTRICT</t>
  </si>
  <si>
    <t>RIGBY HIGH SCHOOL</t>
  </si>
  <si>
    <t>0723</t>
  </si>
  <si>
    <t>HARWOOD ELEMENTARY SCHOOL</t>
  </si>
  <si>
    <t>0724</t>
  </si>
  <si>
    <t>MIDWAY ELEMENTARY SCHOOL</t>
  </si>
  <si>
    <t>0725</t>
  </si>
  <si>
    <t>0726</t>
  </si>
  <si>
    <t>ROBERTS ELEMENTARY SCHOOL</t>
  </si>
  <si>
    <t>1110</t>
  </si>
  <si>
    <t>SOUTH FORK ELEMENTARY SCHOOL</t>
  </si>
  <si>
    <t>1139</t>
  </si>
  <si>
    <t>JEFFERSON HIGH SCHOOL SUMMER ALTERNATIVE</t>
  </si>
  <si>
    <t>1143</t>
  </si>
  <si>
    <t>JEFFERSON HIGH SCHOOL ALTERNATIVE</t>
  </si>
  <si>
    <t>1358</t>
  </si>
  <si>
    <t>RIGBY MIDDLE SCHOOL</t>
  </si>
  <si>
    <t>1359</t>
  </si>
  <si>
    <t>PHILO T. FARNSWORTH ELEMENTARY SCHOOL</t>
  </si>
  <si>
    <t>1416</t>
  </si>
  <si>
    <t>JEFFERSON SCHOOL DISTRICT 251 EARLY CHILDHOOD CENTER</t>
  </si>
  <si>
    <t>1437</t>
  </si>
  <si>
    <t>COTTONWOOD ELEMENTARY</t>
  </si>
  <si>
    <t>1446</t>
  </si>
  <si>
    <t>FARNSWORTH MIDDLE SCHOOL</t>
  </si>
  <si>
    <t>1447</t>
  </si>
  <si>
    <t>RIGBY VIRTUAL ACADEMY</t>
  </si>
  <si>
    <t>3251</t>
  </si>
  <si>
    <t>ADMINISTRATION BUILDING JEFFERSON COUNTY JT DISTRICT</t>
  </si>
  <si>
    <t>JEROME JOINT DISTRICT</t>
  </si>
  <si>
    <t>0117</t>
  </si>
  <si>
    <t>JEROME MIDDLE SCHOOL</t>
  </si>
  <si>
    <t>JEROME HIGH SCHOOL</t>
  </si>
  <si>
    <t>0297</t>
  </si>
  <si>
    <t>JEROME ACADEMY</t>
  </si>
  <si>
    <t>0516</t>
  </si>
  <si>
    <t>0731</t>
  </si>
  <si>
    <t>1128</t>
  </si>
  <si>
    <t>NORTHSIDE ALTERNATIVE SCHOOL (SUMMER)</t>
  </si>
  <si>
    <t>1272</t>
  </si>
  <si>
    <t>NORTHSIDE JR/SR HIGH SCHOOL ALTERNATIVE</t>
  </si>
  <si>
    <t>2516</t>
  </si>
  <si>
    <t>SUMMIT ELEMENTARY</t>
  </si>
  <si>
    <t>3261</t>
  </si>
  <si>
    <t>ADMINISTRATION BUILDING JEROME JOINT DISTRICT</t>
  </si>
  <si>
    <t>002</t>
  </si>
  <si>
    <t>JOINT SCHOOL DISTRICT NO. 2</t>
  </si>
  <si>
    <t>0010</t>
  </si>
  <si>
    <t>LOWELL SCOTT MIDDLE SCHOOL</t>
  </si>
  <si>
    <t>0011</t>
  </si>
  <si>
    <t>MERIDIAN MIDDLE SCHOOL</t>
  </si>
  <si>
    <t>0012</t>
  </si>
  <si>
    <t>MERIDIAN HIGH SCHOOL</t>
  </si>
  <si>
    <t>0015</t>
  </si>
  <si>
    <t>CENTENNIAL HIGH SCHOOL</t>
  </si>
  <si>
    <t>0106</t>
  </si>
  <si>
    <t>EAGLE MIDDLE SCHOOL</t>
  </si>
  <si>
    <t>0112</t>
  </si>
  <si>
    <t>EAGLE HIGH SCHOOL</t>
  </si>
  <si>
    <t>0207</t>
  </si>
  <si>
    <t>LAKE HAZEL MIDDLE SCHOOL</t>
  </si>
  <si>
    <t>0235</t>
  </si>
  <si>
    <t>LEWIS &amp; CLARK MIDDLE SCHOOL</t>
  </si>
  <si>
    <t>0239</t>
  </si>
  <si>
    <t>PEREGRINE ELEMENTARY SCHOOL</t>
  </si>
  <si>
    <t>0240</t>
  </si>
  <si>
    <t>RIVER VALLEY ELEMENTARY SCHOOL</t>
  </si>
  <si>
    <t>0283</t>
  </si>
  <si>
    <t>PEPPER RIDGE ELEMENTARY</t>
  </si>
  <si>
    <t>0284</t>
  </si>
  <si>
    <t>SAWTOOTH MIDDLE SCHOOL</t>
  </si>
  <si>
    <t>0296</t>
  </si>
  <si>
    <t>HUNTER ELEMENTARY SCHOOL</t>
  </si>
  <si>
    <t>0328</t>
  </si>
  <si>
    <t>FRONTIER ELEMENTARY SCHOOL</t>
  </si>
  <si>
    <t>0329</t>
  </si>
  <si>
    <t>CHIEF JOSEPH SCHOOL OF THE ARTS</t>
  </si>
  <si>
    <t>0330</t>
  </si>
  <si>
    <t>SILVER SAGE ELEMENTARY SCHOOL</t>
  </si>
  <si>
    <t>0331</t>
  </si>
  <si>
    <t>LAKE HAZEL ELEMENTARY SCHOOL</t>
  </si>
  <si>
    <t>0332</t>
  </si>
  <si>
    <t>EAGLE ELEMENTARY SCHOOL OF THE ARTS</t>
  </si>
  <si>
    <t>0333</t>
  </si>
  <si>
    <t>SUMMERWIND SCHOOL OF MATH AND SCIENCE</t>
  </si>
  <si>
    <t>0334</t>
  </si>
  <si>
    <t>STAR ELEMENTARY SCHOOL</t>
  </si>
  <si>
    <t>0335</t>
  </si>
  <si>
    <t>USTICK ELEMENTARY SCHOOL</t>
  </si>
  <si>
    <t>0336</t>
  </si>
  <si>
    <t>MERIDIAN ELEMENTARY SCHOOL</t>
  </si>
  <si>
    <t>0337</t>
  </si>
  <si>
    <t>McMILLAN ELEMENTARY</t>
  </si>
  <si>
    <t>0338</t>
  </si>
  <si>
    <t>CHRISTINE DONNELL SCH OF ARTS</t>
  </si>
  <si>
    <t>0339</t>
  </si>
  <si>
    <t>BARBARA MORGAN STEM ACADEMY</t>
  </si>
  <si>
    <t>0340</t>
  </si>
  <si>
    <t>EAGLE HILLS ELEMENTARY SCHOOL</t>
  </si>
  <si>
    <t>0341</t>
  </si>
  <si>
    <t>MARY MC PHERSON ELEMENTARY</t>
  </si>
  <si>
    <t>0343</t>
  </si>
  <si>
    <t>JOPLIN ELEMENTARY SCHOOL</t>
  </si>
  <si>
    <t>0504</t>
  </si>
  <si>
    <t>PONDEROSA ELEMENTARY SCHOOL</t>
  </si>
  <si>
    <t>0507</t>
  </si>
  <si>
    <t>PIONEER SCHOOL OF THE ARTS</t>
  </si>
  <si>
    <t>0521</t>
  </si>
  <si>
    <t>0523</t>
  </si>
  <si>
    <t>CECIL D ANDRUS ELEMENTARY</t>
  </si>
  <si>
    <t>0524</t>
  </si>
  <si>
    <t>CHAPARRAL ELEMENTARY</t>
  </si>
  <si>
    <t>0525</t>
  </si>
  <si>
    <t>ELIZA HART SPALDING STEM ACADEMY</t>
  </si>
  <si>
    <t>0526</t>
  </si>
  <si>
    <t>SEVEN OAKS ELEMENTARY</t>
  </si>
  <si>
    <t>0545</t>
  </si>
  <si>
    <t>MOUNTAIN VIEW HIGH SCHOOL</t>
  </si>
  <si>
    <t>0564</t>
  </si>
  <si>
    <t>ADA PROFESSIONAL-TECHNICAL CTR</t>
  </si>
  <si>
    <t>0589</t>
  </si>
  <si>
    <t>WEST ADA MIDDLE SUMMER SCHOOL</t>
  </si>
  <si>
    <t>0592</t>
  </si>
  <si>
    <t>DESERT SAGE ELEMENTARY SCHOOL</t>
  </si>
  <si>
    <t>0593</t>
  </si>
  <si>
    <t>PROSPECT ELEMENTARY SCHOOL</t>
  </si>
  <si>
    <t>0594</t>
  </si>
  <si>
    <t>PATHWAYS MIDDLE SCHOOL ALTERNATIVE</t>
  </si>
  <si>
    <t>0597</t>
  </si>
  <si>
    <t>CENTRAL ACADEMY HIGH SCHOOL</t>
  </si>
  <si>
    <t>0898</t>
  </si>
  <si>
    <t>ROCKY MOUNTAIN HIGH SCHOOL</t>
  </si>
  <si>
    <t>0899</t>
  </si>
  <si>
    <t>SIENA ELEMENTARY</t>
  </si>
  <si>
    <t>0982</t>
  </si>
  <si>
    <t>EAGLE ACADEMY</t>
  </si>
  <si>
    <t>1145</t>
  </si>
  <si>
    <t>CROSSROADS MIDDLE SCHOOL</t>
  </si>
  <si>
    <t>1226</t>
  </si>
  <si>
    <t xml:space="preserve">JOINT SCHOOL DISTRICT #2 (SUMMER) </t>
  </si>
  <si>
    <t>1228</t>
  </si>
  <si>
    <t>MERIDIAN ACADEMY ALTERNATIVE</t>
  </si>
  <si>
    <t>1235</t>
  </si>
  <si>
    <t>RENAISSANCE HIGH SCHOOL</t>
  </si>
  <si>
    <t>1290</t>
  </si>
  <si>
    <t>PARAMOUNT ELEMENTARY SCHOOL</t>
  </si>
  <si>
    <t>1297</t>
  </si>
  <si>
    <t>REBOUND SCHOOL OF OPPORTUNITY</t>
  </si>
  <si>
    <t>1299</t>
  </si>
  <si>
    <t>REBOUND SCHOOL OF OPPORTUNITY SUMMER</t>
  </si>
  <si>
    <t>1356</t>
  </si>
  <si>
    <t>WILLOW CREEK ELEMENTARY SCHOOL</t>
  </si>
  <si>
    <t>1374</t>
  </si>
  <si>
    <t>VIRTUAL SCHOOL HOUSE</t>
  </si>
  <si>
    <t>1375</t>
  </si>
  <si>
    <t>IDAHO FINE ARTS ACADEMY</t>
  </si>
  <si>
    <t>1383</t>
  </si>
  <si>
    <t>HILLSDALE ELEMENTARY</t>
  </si>
  <si>
    <t>1384</t>
  </si>
  <si>
    <t>VICTORY MIDDLE SCHOOL</t>
  </si>
  <si>
    <t>1406</t>
  </si>
  <si>
    <t>STAR MIDDLE SCHOOL</t>
  </si>
  <si>
    <t>1438</t>
  </si>
  <si>
    <t>PLEASANT VIEW ELEMENTARY</t>
  </si>
  <si>
    <t>2511</t>
  </si>
  <si>
    <t>GALILEO MAGNET SCHOOL</t>
  </si>
  <si>
    <t>2513</t>
  </si>
  <si>
    <t>HERITAGE MIDDLE SCHOOL</t>
  </si>
  <si>
    <t>3002</t>
  </si>
  <si>
    <t>ADMINISTRATION BUILDING JOINT SCHOOL DISTRICT NO. 2</t>
  </si>
  <si>
    <t>304</t>
  </si>
  <si>
    <t>KAMIAH JOINT DISTRICT</t>
  </si>
  <si>
    <t>0231</t>
  </si>
  <si>
    <t>KAMIAH SENIOR HIGH</t>
  </si>
  <si>
    <t>0768</t>
  </si>
  <si>
    <t>KAMIAH ELEMENTARY SCHOOL</t>
  </si>
  <si>
    <t>1440</t>
  </si>
  <si>
    <t>KAMIAH EARLY CHILDHOOD CENTER</t>
  </si>
  <si>
    <t>3026</t>
  </si>
  <si>
    <t>ADMINISTRATION BUILDING KAMIAH JOINT DISTRICT</t>
  </si>
  <si>
    <t>391</t>
  </si>
  <si>
    <t>KELLOGG JOINT DISTRICT</t>
  </si>
  <si>
    <t>KELLOGG MIDDLE SCHOOL</t>
  </si>
  <si>
    <t>0171</t>
  </si>
  <si>
    <t>KELLOGG HIGH SCHOOL</t>
  </si>
  <si>
    <t>0643</t>
  </si>
  <si>
    <t>KELLOGG HIGH SCHOOL SUMMER ALTERNATIVE</t>
  </si>
  <si>
    <t>0811</t>
  </si>
  <si>
    <t>PINEHURST ELEMENTARY SCHOOL</t>
  </si>
  <si>
    <t>0812</t>
  </si>
  <si>
    <t>CANYON ELEMENTARY SCHOOL</t>
  </si>
  <si>
    <t>3391</t>
  </si>
  <si>
    <t>ADMINISTRATION BUILDING KELLOGG JOINT DISTRICT</t>
  </si>
  <si>
    <t>KENDRICK JOINT DISTRICT</t>
  </si>
  <si>
    <t>0132</t>
  </si>
  <si>
    <t>KENDRICK JR-SR HIGH SCHOOL</t>
  </si>
  <si>
    <t>0758</t>
  </si>
  <si>
    <t>JULIAETTA ELEMENTARY SCHOOL</t>
  </si>
  <si>
    <t>ADMINISTRATION BUILDING KENDRICK JOINT DISTRICT</t>
  </si>
  <si>
    <t>414</t>
  </si>
  <si>
    <t>KIMBERLY DISTRICT</t>
  </si>
  <si>
    <t>0182</t>
  </si>
  <si>
    <t>KIMBERLY HIGH SCHOOL</t>
  </si>
  <si>
    <t>0512</t>
  </si>
  <si>
    <t>KIMBERLY MIDDLE SCHOOL</t>
  </si>
  <si>
    <t>0622</t>
  </si>
  <si>
    <t>KIMBERLY ALTERNATIVE SUMMER HIGH SCHOOL</t>
  </si>
  <si>
    <t>0833</t>
  </si>
  <si>
    <t>KIMBERLY ELEMENTARY SCHOOL</t>
  </si>
  <si>
    <t>1408</t>
  </si>
  <si>
    <t>STRICKER ELEMENTARY SCHOOL</t>
  </si>
  <si>
    <t>3032</t>
  </si>
  <si>
    <t>ADMINISTRATION BUILDING KIMBERLY DISTRICT</t>
  </si>
  <si>
    <t>KOOTENAI DISTRICT</t>
  </si>
  <si>
    <t>0127</t>
  </si>
  <si>
    <t>KOOTENAI JR-SR HIGH SCHOOL</t>
  </si>
  <si>
    <t>0751</t>
  </si>
  <si>
    <t>HARRISON ELEMENTARY SCHOOL</t>
  </si>
  <si>
    <t>3274</t>
  </si>
  <si>
    <t>ADMINISTRATION BUILDING KOOTENAI DISTRICT</t>
  </si>
  <si>
    <t>KTEC - Kootenai Tech Ed Campus</t>
  </si>
  <si>
    <t>1351</t>
  </si>
  <si>
    <t>KTEC School</t>
  </si>
  <si>
    <t>003</t>
  </si>
  <si>
    <t>KUNA JOINT DISTRICT</t>
  </si>
  <si>
    <t>0013</t>
  </si>
  <si>
    <t>KUNA MIDDLE SCHOOL</t>
  </si>
  <si>
    <t>0014</t>
  </si>
  <si>
    <t>KUNA HIGH SCHOOL</t>
  </si>
  <si>
    <t>0345</t>
  </si>
  <si>
    <t>HUBBARD ELEMENTARY SCHOOL</t>
  </si>
  <si>
    <t>0595</t>
  </si>
  <si>
    <t>REED ELEMENTARY SCHOOL</t>
  </si>
  <si>
    <t>0596</t>
  </si>
  <si>
    <t>INDIAN CREEK ELEMENTARY</t>
  </si>
  <si>
    <t>0635</t>
  </si>
  <si>
    <t>ROSS ELEMENTARY SCHOOL</t>
  </si>
  <si>
    <t>0850</t>
  </si>
  <si>
    <t>FREMONT H TEED ELEMENTARY SCHOOL</t>
  </si>
  <si>
    <t>0887</t>
  </si>
  <si>
    <t>CRIMSON POINT ELEMENTARY SCHOOL</t>
  </si>
  <si>
    <t>1115</t>
  </si>
  <si>
    <t>INITIAL POINT HIGH SCHOOL ALTERNATIVE</t>
  </si>
  <si>
    <t>1119</t>
  </si>
  <si>
    <t>KUNA SUMMER SCHOOL ALTERNATIVE</t>
  </si>
  <si>
    <t>1308</t>
  </si>
  <si>
    <t>SILVER TRAIL ELEMENTARY SCHOOL</t>
  </si>
  <si>
    <t>1312</t>
  </si>
  <si>
    <t>KUNA CAREER TECHNICAL SCHOOL</t>
  </si>
  <si>
    <t>1439</t>
  </si>
  <si>
    <t>SWAN FALLS HIGH SCHOOL</t>
  </si>
  <si>
    <t>3003</t>
  </si>
  <si>
    <t>ADMINISTRATION BUILDING KUNA JOINT DISTRICT</t>
  </si>
  <si>
    <t>084</t>
  </si>
  <si>
    <t>LAKE PEND OREILLE SCHOOL DISTRICT</t>
  </si>
  <si>
    <t>0047</t>
  </si>
  <si>
    <t>SANDPOINT MIDDLE SCHOOL</t>
  </si>
  <si>
    <t>0049</t>
  </si>
  <si>
    <t>CLARK FORK JR-SR HIGH SCHOOL</t>
  </si>
  <si>
    <t>0202</t>
  </si>
  <si>
    <t>SANDPOINT HIGH SCHOOL</t>
  </si>
  <si>
    <t>0293</t>
  </si>
  <si>
    <t>KOOTENAI ELEMENTARY SCHOOL</t>
  </si>
  <si>
    <t>0401</t>
  </si>
  <si>
    <t>HOPE ELEMENTARY SCHOOL</t>
  </si>
  <si>
    <t>0402</t>
  </si>
  <si>
    <t>SAGLE ELEMENTARY SCHOOL</t>
  </si>
  <si>
    <t>0403</t>
  </si>
  <si>
    <t>FARMIN STIDWELL ELEMENTARY SCHOOL</t>
  </si>
  <si>
    <t>0405</t>
  </si>
  <si>
    <t>SOUTHSIDE ELEMENTARY SCHOOL</t>
  </si>
  <si>
    <t>0408</t>
  </si>
  <si>
    <t>0410</t>
  </si>
  <si>
    <t>NORTHSIDE ELEMENTARY SCHOOL</t>
  </si>
  <si>
    <t>0645</t>
  </si>
  <si>
    <t>LAKE PEND OREILLE H. S. SUMMER ALTERNATIVE</t>
  </si>
  <si>
    <t>0997</t>
  </si>
  <si>
    <t>SANDPOINT JUVENILE DETENTION</t>
  </si>
  <si>
    <t>1045</t>
  </si>
  <si>
    <t>LAKE PEND OREILLE HIGH SCHOOL ALTERNATIVE</t>
  </si>
  <si>
    <t>1177</t>
  </si>
  <si>
    <t>SANDPOINT JUVENILE DETENTION-SUMMER</t>
  </si>
  <si>
    <t>1391</t>
  </si>
  <si>
    <t>LPOSD HOME SCHOOL ACADEMY</t>
  </si>
  <si>
    <t>3082</t>
  </si>
  <si>
    <t>ADMINISTRATION BUILDING LAKE PEND OREILLE SCHOOL DISTRICT</t>
  </si>
  <si>
    <t>LAKELAND DISTRICT</t>
  </si>
  <si>
    <t>0123</t>
  </si>
  <si>
    <t>LAKELAND JUNIOR HIGH SCHOOL</t>
  </si>
  <si>
    <t>0124</t>
  </si>
  <si>
    <t>LAKELAND SENIOR HIGH SCHOOL</t>
  </si>
  <si>
    <t>0513</t>
  </si>
  <si>
    <t>BETTY KIEFER ELEMENTARY SCHOOL</t>
  </si>
  <si>
    <t>0585</t>
  </si>
  <si>
    <t>TIMBERLAKE JUNIOR HIGH SCHOOL</t>
  </si>
  <si>
    <t>0586</t>
  </si>
  <si>
    <t>TIMBERLAKE SENIOR HIGH SCHOOL</t>
  </si>
  <si>
    <t>0745</t>
  </si>
  <si>
    <t>SPIRIT LAKE ELEMENTARY SCHOOL</t>
  </si>
  <si>
    <t>0746</t>
  </si>
  <si>
    <t>JOHN BROWN ELEMENTARY SCHOOL</t>
  </si>
  <si>
    <t>0747</t>
  </si>
  <si>
    <t>ATHOL ELEMENTARY SCHOOL</t>
  </si>
  <si>
    <t>0761</t>
  </si>
  <si>
    <t>GARWOOD ELEMENTARY SCHOOL</t>
  </si>
  <si>
    <t>0891</t>
  </si>
  <si>
    <t>TWIN LAKES ELEMENTARY SCHOOL</t>
  </si>
  <si>
    <t>1104</t>
  </si>
  <si>
    <t>MOUNTAINVIEW ALTERNATIVE HIGH SCHOOL</t>
  </si>
  <si>
    <t>1130</t>
  </si>
  <si>
    <t>MOUNTAIN VIEW ALTERNATIVE HIGH SCHOOL SUMMER</t>
  </si>
  <si>
    <t>3272</t>
  </si>
  <si>
    <t>ADMINISTRATION BUILDING LAKELAND DISTRICT</t>
  </si>
  <si>
    <t>341</t>
  </si>
  <si>
    <t>LAPWAI DISTRICT</t>
  </si>
  <si>
    <t>0583</t>
  </si>
  <si>
    <t>LAPWAI HIGH SCHOOL</t>
  </si>
  <si>
    <t>0844</t>
  </si>
  <si>
    <t>LAPWAI ELEMENTARY SCHOOL</t>
  </si>
  <si>
    <t>3028</t>
  </si>
  <si>
    <t>ADMINISTRATION BUILDING LAPWAI DISTRICT</t>
  </si>
  <si>
    <t>9503</t>
  </si>
  <si>
    <t>NEZ PERCE TRIBE HEAD START</t>
  </si>
  <si>
    <t>478</t>
  </si>
  <si>
    <t>LEGACY PUBLIC CHARTER SCHOOL, INC.</t>
  </si>
  <si>
    <t>1340</t>
  </si>
  <si>
    <t>LEGACY CHARTER SCHOOL</t>
  </si>
  <si>
    <t>340</t>
  </si>
  <si>
    <t>LEWISTON INDEPENDENT DISTRICT</t>
  </si>
  <si>
    <t>SACAJAWEA MIDDLE SCHOOL</t>
  </si>
  <si>
    <t>JENIFER MIDDLE SCHOOL</t>
  </si>
  <si>
    <t>0153</t>
  </si>
  <si>
    <t>LEWISTON HIGH SCHOOL</t>
  </si>
  <si>
    <t>0787</t>
  </si>
  <si>
    <t>CENTENNIAL ELEMENTARY SCHOOL</t>
  </si>
  <si>
    <t>0788</t>
  </si>
  <si>
    <t>CAMELOT ELEMENTARY SCHOOL</t>
  </si>
  <si>
    <t>0789</t>
  </si>
  <si>
    <t>MC GHEE ELEMENTARY SCHOOL</t>
  </si>
  <si>
    <t>0790</t>
  </si>
  <si>
    <t>ORCHARDS ELEMENTARY SCHOOL</t>
  </si>
  <si>
    <t>0791</t>
  </si>
  <si>
    <t>MC SORLEY ELEMENTARY SCHOOL</t>
  </si>
  <si>
    <t>0792</t>
  </si>
  <si>
    <t>WHITMAN ELEMENTARY SCHOOL</t>
  </si>
  <si>
    <t>0793</t>
  </si>
  <si>
    <t>WEBSTER ELEMENTARY SCHOOL</t>
  </si>
  <si>
    <t>1034</t>
  </si>
  <si>
    <t>TAMMANY HIGH SCHOOL</t>
  </si>
  <si>
    <t>1134</t>
  </si>
  <si>
    <t>TAMMANY ALTERNATIVE CENTER SUMMER ALTERNATIVE</t>
  </si>
  <si>
    <t>1184</t>
  </si>
  <si>
    <t>REGION 2 JUVENILE DETENTION-SUMMER</t>
  </si>
  <si>
    <t>1209</t>
  </si>
  <si>
    <t>JENIFER JR HIGH SUMMER ALTERNATIVE</t>
  </si>
  <si>
    <t>1241</t>
  </si>
  <si>
    <t>SACAJAWEA JR HIGH SUMMER ALTERNATIVE</t>
  </si>
  <si>
    <t>1266</t>
  </si>
  <si>
    <t>REGION 2 JUVENILE DET CENTER</t>
  </si>
  <si>
    <t>1425</t>
  </si>
  <si>
    <t>A Neil DeAtley Career Technical Education Center</t>
  </si>
  <si>
    <t>3340</t>
  </si>
  <si>
    <t>ADMINISTRATION BUILDING LEWISTON INDEPENDENT DISTRICT</t>
  </si>
  <si>
    <t>458</t>
  </si>
  <si>
    <t>LIBERTY CHARTER SCHOOL, INC.</t>
  </si>
  <si>
    <t>0587</t>
  </si>
  <si>
    <t>LIBERTY CHARTER SCHOOL</t>
  </si>
  <si>
    <t>182</t>
  </si>
  <si>
    <t>MACKAY JOINT DISTRICT</t>
  </si>
  <si>
    <t>0090</t>
  </si>
  <si>
    <t>MACKAY JR-SR HIGH SCHOOL</t>
  </si>
  <si>
    <t>0490</t>
  </si>
  <si>
    <t>MACKAY ELEMENTARY SCHOOL</t>
  </si>
  <si>
    <t>3015</t>
  </si>
  <si>
    <t>ADMINISTRATION BUILDING MACKAY JOINT DISTRICT</t>
  </si>
  <si>
    <t>321</t>
  </si>
  <si>
    <t>MADISON DISTRICT</t>
  </si>
  <si>
    <t>0145</t>
  </si>
  <si>
    <t>MADISON JUNIOR HIGH SCHOOL</t>
  </si>
  <si>
    <t>0146</t>
  </si>
  <si>
    <t>MADISON SENIOR HIGH SCHOOL</t>
  </si>
  <si>
    <t>0250</t>
  </si>
  <si>
    <t>MADISON MIDDLE SCHOOL</t>
  </si>
  <si>
    <t>0773</t>
  </si>
  <si>
    <t>KENNEDY ELEMENTARY SCHOOL</t>
  </si>
  <si>
    <t>0775</t>
  </si>
  <si>
    <t>0777</t>
  </si>
  <si>
    <t>0779</t>
  </si>
  <si>
    <t>BURTON ELEMENTARY SCHOOL</t>
  </si>
  <si>
    <t>0780</t>
  </si>
  <si>
    <t>HIBBARD ELEMENTARY SCHOOL</t>
  </si>
  <si>
    <t>1132</t>
  </si>
  <si>
    <t>CENTRAL HIGH SCHOOL SUMMER ALTERNATIVE</t>
  </si>
  <si>
    <t>1225</t>
  </si>
  <si>
    <t>SOUTH FORK ELEMENTARY</t>
  </si>
  <si>
    <t>1407</t>
  </si>
  <si>
    <t>MADISON CAREER TECHNICAL SCHOOL</t>
  </si>
  <si>
    <t>3321</t>
  </si>
  <si>
    <t>ADMINISTRATION BUILDING MADISON DISTRICT</t>
  </si>
  <si>
    <t>9015</t>
  </si>
  <si>
    <t>CENTRAL HIGH SCHOOL ALTERNATIVE</t>
  </si>
  <si>
    <t>021</t>
  </si>
  <si>
    <t>MARSH VALLEY JOINT DISTRICT</t>
  </si>
  <si>
    <t>0018</t>
  </si>
  <si>
    <t>MARSH VALLEY MIDDLE SCHOOL</t>
  </si>
  <si>
    <t>0019</t>
  </si>
  <si>
    <t>MARSH VALLEY HIGH SCHOOL</t>
  </si>
  <si>
    <t>0349</t>
  </si>
  <si>
    <t>LAVA ELEMENTARY SCHOOL</t>
  </si>
  <si>
    <t>0350</t>
  </si>
  <si>
    <t>DOWNEY ELEMENTARY SCHOOL</t>
  </si>
  <si>
    <t>0351</t>
  </si>
  <si>
    <t>INKOM ELEMENTARY SCHOOL</t>
  </si>
  <si>
    <t>0352</t>
  </si>
  <si>
    <t>3021</t>
  </si>
  <si>
    <t>ADMINISTRATION BUILDING MARSH VALLEY JOINT DISTRICT</t>
  </si>
  <si>
    <t>363</t>
  </si>
  <si>
    <t>MARSING JOINT DISTRICT</t>
  </si>
  <si>
    <t>0157</t>
  </si>
  <si>
    <t>MARSING HIGH SCHOOL</t>
  </si>
  <si>
    <t>0530</t>
  </si>
  <si>
    <t>MARSING MIDDLE SCHOOL</t>
  </si>
  <si>
    <t>0799</t>
  </si>
  <si>
    <t>MARSING ELEMENTARY SCHOOL</t>
  </si>
  <si>
    <t>1054</t>
  </si>
  <si>
    <t>3363</t>
  </si>
  <si>
    <t>ADMINISTRATION BUILDING MARSING JOINT DISTRICT</t>
  </si>
  <si>
    <t>421</t>
  </si>
  <si>
    <t>MCCALL-DONNELLY JT. SCHOOL DISTRICT</t>
  </si>
  <si>
    <t>0189</t>
  </si>
  <si>
    <t>McCALL-DONNELLY HIGH SCHOOL</t>
  </si>
  <si>
    <t>0236</t>
  </si>
  <si>
    <t>PAYETTE LAKES MIDDLE SCHOOL</t>
  </si>
  <si>
    <t>0837</t>
  </si>
  <si>
    <t>BARBARA R MORGAN ELEMENTARY</t>
  </si>
  <si>
    <t>0988</t>
  </si>
  <si>
    <t>DONNELLY ELEMENTARY</t>
  </si>
  <si>
    <t>1264</t>
  </si>
  <si>
    <t>HEARTLAND HIGH SCHOOL ALTERNATIVE</t>
  </si>
  <si>
    <t>3421</t>
  </si>
  <si>
    <t>ADMINISTRATION BUILDING MCCALL DONNELLY JT SCHOOL DISTRICT</t>
  </si>
  <si>
    <t>011</t>
  </si>
  <si>
    <t>MEADOWS VALLEY DISTRICT</t>
  </si>
  <si>
    <t>0342</t>
  </si>
  <si>
    <t>MEADOWS VALLEY SCHOOL</t>
  </si>
  <si>
    <t>3004</t>
  </si>
  <si>
    <t>ADMINISTRATION BUILDING MEADOWS VALLEY DISTRICT</t>
  </si>
  <si>
    <t>136</t>
  </si>
  <si>
    <t>MELBA JOINT DISTRICT</t>
  </si>
  <si>
    <t>0070</t>
  </si>
  <si>
    <t>MELBA HIGH SCHOOL</t>
  </si>
  <si>
    <t>0455</t>
  </si>
  <si>
    <t>MELBA ELEMENTARY SCHOOL</t>
  </si>
  <si>
    <t>3136</t>
  </si>
  <si>
    <t>ADMINISTRATION BUILDING MELBA JOINT DISTRICT</t>
  </si>
  <si>
    <t>785</t>
  </si>
  <si>
    <t>MERIDIAN MEDICAL ARTS CHARTER HIGH SCHOOL, INC.</t>
  </si>
  <si>
    <t>0547</t>
  </si>
  <si>
    <t>MERIDIAN MEDICAL ARTS CHARTER</t>
  </si>
  <si>
    <t>768</t>
  </si>
  <si>
    <t>MERIDIAN TECHNICAL CHARTER HIGH SCHOOL, INC.</t>
  </si>
  <si>
    <t>0257</t>
  </si>
  <si>
    <t>MERIDIAN TECHNICAL CHARTER HIGH SCHOOL</t>
  </si>
  <si>
    <t>134</t>
  </si>
  <si>
    <t>MIDDLETON DISTRICT</t>
  </si>
  <si>
    <t>0067</t>
  </si>
  <si>
    <t>MIDDLETON MIDDLE SCHOOL</t>
  </si>
  <si>
    <t>0068</t>
  </si>
  <si>
    <t>MIDDLETON HIGH SCHOOL</t>
  </si>
  <si>
    <t>0453</t>
  </si>
  <si>
    <t>MIDDLETON MILL CREEK ELEMENTAR</t>
  </si>
  <si>
    <t>0500</t>
  </si>
  <si>
    <t>MIDDLETON HEIGHTS ELEMENTARY</t>
  </si>
  <si>
    <t>0546</t>
  </si>
  <si>
    <t>PURPLE SAGE ELEMENTARY</t>
  </si>
  <si>
    <t>0628</t>
  </si>
  <si>
    <t>MIDDLETON SUMMER SCHOOL ALTERNATIVE</t>
  </si>
  <si>
    <t>1168</t>
  </si>
  <si>
    <t>MIDDLETON ACADEMY</t>
  </si>
  <si>
    <t>3134</t>
  </si>
  <si>
    <t>ADMINISTRATION BUILDING MIDDLETON DISTRICT</t>
  </si>
  <si>
    <t>433</t>
  </si>
  <si>
    <t>MIDVALE DISTRICT</t>
  </si>
  <si>
    <t>0286</t>
  </si>
  <si>
    <t>MIDVALE SCHOOL</t>
  </si>
  <si>
    <t>1113</t>
  </si>
  <si>
    <t>MIDVALE ALTERNATIVE SCHOOL</t>
  </si>
  <si>
    <t>4433</t>
  </si>
  <si>
    <t>ADMINISTRATION BUILDING MIDVALE DISTRICT</t>
  </si>
  <si>
    <t>331</t>
  </si>
  <si>
    <t>MINIDOKA COUNTY JOINT DISTRICT</t>
  </si>
  <si>
    <t>0148</t>
  </si>
  <si>
    <t>EAST MINICO MIDDLE SCHOOL</t>
  </si>
  <si>
    <t>0149</t>
  </si>
  <si>
    <t>WEST MINICO MIDDLE SCHOOL</t>
  </si>
  <si>
    <t>MINICO SENIOR HIGH SCHOOL</t>
  </si>
  <si>
    <t>0783</t>
  </si>
  <si>
    <t>PAUL ELEMENTARY SCHOOL</t>
  </si>
  <si>
    <t>0785</t>
  </si>
  <si>
    <t>HEYBURN ELEMENTARY SCHOOL</t>
  </si>
  <si>
    <t>0786</t>
  </si>
  <si>
    <t>ACEQUIA ELEMENTARY SCHOOL</t>
  </si>
  <si>
    <t>0845</t>
  </si>
  <si>
    <t>RUPERT ELEMENTARY SCHOOL</t>
  </si>
  <si>
    <t>1046</t>
  </si>
  <si>
    <t>MT. HARRISON JR.-SR. HIGH ALTERNATIVE</t>
  </si>
  <si>
    <t>1100</t>
  </si>
  <si>
    <t>MINI-CASSIA JUVENILE DET CTR</t>
  </si>
  <si>
    <t>1133</t>
  </si>
  <si>
    <t>MT. HARRISON JR/SR HIGH SUMMER ALTERNATIVE</t>
  </si>
  <si>
    <t>1183</t>
  </si>
  <si>
    <t>MINI-CASSIA JUVENILE DETENTION-SUMMER</t>
  </si>
  <si>
    <t>1262</t>
  </si>
  <si>
    <t>1263</t>
  </si>
  <si>
    <t>DAY TREATMENT ELEMENTARY</t>
  </si>
  <si>
    <t>ARTE I RPTCS (Regional Professional Technical Center School)</t>
  </si>
  <si>
    <t>3331</t>
  </si>
  <si>
    <t>ADMINISTRATION BUILDING MINIDOKA COUNTY JOINT DISTRICT</t>
  </si>
  <si>
    <t>474</t>
  </si>
  <si>
    <t>MONTICELLO MONTESSORI CHARTER SCHOOL, INC.</t>
  </si>
  <si>
    <t>1246</t>
  </si>
  <si>
    <t>MONTICELLO MONTESSORI CHARTER SCHOOL</t>
  </si>
  <si>
    <t>544</t>
  </si>
  <si>
    <t>MOSAICS PUBLIC SCHOOL, INC.</t>
  </si>
  <si>
    <t>1436</t>
  </si>
  <si>
    <t>MOSAICS PUBLIC SCHOOL</t>
  </si>
  <si>
    <t>813</t>
  </si>
  <si>
    <t>MOSCOW CHARTER SCHOOL, INC.</t>
  </si>
  <si>
    <t>0813</t>
  </si>
  <si>
    <t>MOSCOW CHARTER SCHOOL</t>
  </si>
  <si>
    <t>MOSCOW DISTRICT</t>
  </si>
  <si>
    <t>0129</t>
  </si>
  <si>
    <t>MOSCOW MIDDLE SCHOOL</t>
  </si>
  <si>
    <t>MOSCOW HIGH SCHOOL</t>
  </si>
  <si>
    <t>0612</t>
  </si>
  <si>
    <t>PARADISE CREEK REGIONAL HIGH SCHOOL ALTERNATIVE</t>
  </si>
  <si>
    <t>0753</t>
  </si>
  <si>
    <t>J. RUSSELL ELEMENTARY SCHOOL</t>
  </si>
  <si>
    <t>0754</t>
  </si>
  <si>
    <t>LENA WHITMORE ELEMENTARY SCHOOL</t>
  </si>
  <si>
    <t>0755</t>
  </si>
  <si>
    <t>WEST PARK ELEMENTARY SCHOOL</t>
  </si>
  <si>
    <t>0756</t>
  </si>
  <si>
    <t>A.B. MC DONALD ELEMENTARY SCH</t>
  </si>
  <si>
    <t>3281</t>
  </si>
  <si>
    <t>ADMINISTRATION BUILDING MOSCOW DISTRICT</t>
  </si>
  <si>
    <t>193</t>
  </si>
  <si>
    <t>MOUNTAIN HOME DISTRICT</t>
  </si>
  <si>
    <t>0093</t>
  </si>
  <si>
    <t>MOUNTAIN HOME JUNIOR HIGH SCH</t>
  </si>
  <si>
    <t>MOUNTAIN HOME SR HIGH SCHOOL</t>
  </si>
  <si>
    <t>0493</t>
  </si>
  <si>
    <t>WEST ELEMENTARY SCHOOL</t>
  </si>
  <si>
    <t>0494</t>
  </si>
  <si>
    <t>EAST ELEMENTARY SCHOOL</t>
  </si>
  <si>
    <t>0495</t>
  </si>
  <si>
    <t>NORTH ELEMENTARY SCHOOL</t>
  </si>
  <si>
    <t>0502</t>
  </si>
  <si>
    <t>STEPHENSEN ELEMENTARY SCHOOL</t>
  </si>
  <si>
    <t>0517</t>
  </si>
  <si>
    <t>PINE ELEM-JR HIGH SCHOOL</t>
  </si>
  <si>
    <t>0556</t>
  </si>
  <si>
    <t>HACKER MIDDLE SCHOOL</t>
  </si>
  <si>
    <t>1305</t>
  </si>
  <si>
    <t>MOUNTAIN HOME SD SUMMER ALTERNATIVE</t>
  </si>
  <si>
    <t>1317</t>
  </si>
  <si>
    <t>BENNETT MOUNTAIN HIGH SCHOOL</t>
  </si>
  <si>
    <t>3193</t>
  </si>
  <si>
    <t>ADMINISTRATION BUILDING MOUNTAIN HOME DISTRICT</t>
  </si>
  <si>
    <t>MOUNTAIN VIEW SCHOOL DISTRICT</t>
  </si>
  <si>
    <t>1283</t>
  </si>
  <si>
    <t>CLEARWATER VALLEY JR-SR</t>
  </si>
  <si>
    <t>1284</t>
  </si>
  <si>
    <t>GRANGEVILLE HIGH SCHOOL</t>
  </si>
  <si>
    <t>1285</t>
  </si>
  <si>
    <t>CLEARWATER VALLEY ELEMENTARY</t>
  </si>
  <si>
    <t>1286</t>
  </si>
  <si>
    <t>GRANGEVILLE ELEM/MIDDLE SCHOOL</t>
  </si>
  <si>
    <t>1287</t>
  </si>
  <si>
    <t>ELK CITY SCHOOL</t>
  </si>
  <si>
    <t>3241</t>
  </si>
  <si>
    <t>ADMINISTRATION BUILDING MOUNTAIN VIEW SCHOOL DISTRICT</t>
  </si>
  <si>
    <t>392</t>
  </si>
  <si>
    <t>MULLAN DISTRICT</t>
  </si>
  <si>
    <t>0172</t>
  </si>
  <si>
    <t>MULLAN JR-SR HIGH SCHOOL</t>
  </si>
  <si>
    <t>0815</t>
  </si>
  <si>
    <t>JOHN MULLAN ELEMENTARY SCHOOL</t>
  </si>
  <si>
    <t>3392</t>
  </si>
  <si>
    <t>ADMINISTRATION BUILDING MULLAN DISTRICT</t>
  </si>
  <si>
    <t>418</t>
  </si>
  <si>
    <t>MURTAUGH JOINT DISTRICT</t>
  </si>
  <si>
    <t>1344</t>
  </si>
  <si>
    <t>MURTAUGH SCHOOLS</t>
  </si>
  <si>
    <t>ADMINISTRATION BUILDING MURTAUGH JOINT DISTRICT</t>
  </si>
  <si>
    <t>131</t>
  </si>
  <si>
    <t>NAMPA SCHOOL DISTRICT</t>
  </si>
  <si>
    <t>0061</t>
  </si>
  <si>
    <t>WEST MIDDLE SCHOOL</t>
  </si>
  <si>
    <t>0062</t>
  </si>
  <si>
    <t>SOUTH MIDDLE SCHOOL</t>
  </si>
  <si>
    <t>0213</t>
  </si>
  <si>
    <t>IOWA ELEMENTARY</t>
  </si>
  <si>
    <t>0214</t>
  </si>
  <si>
    <t>SHERMAN ELEMENTARY</t>
  </si>
  <si>
    <t>0215</t>
  </si>
  <si>
    <t>PARK RIDGE ELEMENTARY</t>
  </si>
  <si>
    <t>0444</t>
  </si>
  <si>
    <t>0447</t>
  </si>
  <si>
    <t>CENTRAL ELEMENTARY</t>
  </si>
  <si>
    <t>0450</t>
  </si>
  <si>
    <t>GREENHURST ELEMENTARY SCHOOL</t>
  </si>
  <si>
    <t>0527</t>
  </si>
  <si>
    <t>0528</t>
  </si>
  <si>
    <t>REAGAN ELEMENTARY SCHOOL</t>
  </si>
  <si>
    <t>0529</t>
  </si>
  <si>
    <t>0567</t>
  </si>
  <si>
    <t>IDAHO CENTER OF ADV TECHNOLOGY</t>
  </si>
  <si>
    <t>0581</t>
  </si>
  <si>
    <t>WILLOW CREEK ELEMENTARY</t>
  </si>
  <si>
    <t>0600</t>
  </si>
  <si>
    <t>NAMPA EARLY CHILDHOOD CENTER</t>
  </si>
  <si>
    <t>0638</t>
  </si>
  <si>
    <t>COLUMBIA HIGH SCHOOL</t>
  </si>
  <si>
    <t>0647</t>
  </si>
  <si>
    <t>LAKE RIDGE ELEMENTARY</t>
  </si>
  <si>
    <t>0648</t>
  </si>
  <si>
    <t>LONE STAR MIDDLE SCHOOL</t>
  </si>
  <si>
    <t>0890</t>
  </si>
  <si>
    <t>ENDEAVOR ELEMENTARY SCHOOL</t>
  </si>
  <si>
    <t>0994</t>
  </si>
  <si>
    <t>SKYVIEW HIGH SCHOOL</t>
  </si>
  <si>
    <t>0996</t>
  </si>
  <si>
    <t>SNAKE RIVER ELEMENTARY</t>
  </si>
  <si>
    <t>0998</t>
  </si>
  <si>
    <t>NAMPA SENIOR HIGH SCHOOL</t>
  </si>
  <si>
    <t>1109</t>
  </si>
  <si>
    <t>EAST VALLEY MIDDLE SCHOOL</t>
  </si>
  <si>
    <t>1123</t>
  </si>
  <si>
    <t>NAMPA MIDDLE SCHOOL SUMMER ALTERNATIVES</t>
  </si>
  <si>
    <t>1124</t>
  </si>
  <si>
    <t>NAMPA SUMMER HIGH SCHOOL ALTERNATIVES</t>
  </si>
  <si>
    <t>1154</t>
  </si>
  <si>
    <t>UNION HIGH SCHOOL ALTERNATIVE</t>
  </si>
  <si>
    <t>1394</t>
  </si>
  <si>
    <t>TREASURE VALLEY LEADERSHIP ACADEMY</t>
  </si>
  <si>
    <t>1448</t>
  </si>
  <si>
    <t>NAMPA ONLINE VIRTUAL ACADEMY</t>
  </si>
  <si>
    <t>2889</t>
  </si>
  <si>
    <t>NEW HORIZON MAGNET SCHOOL</t>
  </si>
  <si>
    <t>3131</t>
  </si>
  <si>
    <t>ADMINISTRATION BUILDING NAMPA SCHOOL DISTRICT</t>
  </si>
  <si>
    <t>372</t>
  </si>
  <si>
    <t>NEW PLYMOUTH DISTRICT</t>
  </si>
  <si>
    <t>0164</t>
  </si>
  <si>
    <t>NEW PLYMOUTH HIGH SCHOOL</t>
  </si>
  <si>
    <t>0806</t>
  </si>
  <si>
    <t>NEW PLYMOUTH ELEMENTARY</t>
  </si>
  <si>
    <t>0986</t>
  </si>
  <si>
    <t>NEW PLYMOUTH MIDDLE SCHOOL</t>
  </si>
  <si>
    <t>1240</t>
  </si>
  <si>
    <t>NEW PLYMOUTH SUMMER SCHOOL</t>
  </si>
  <si>
    <t>3372</t>
  </si>
  <si>
    <t>ADMINISTRATION BUILDING NEW PLYMOUTH DISTRICT</t>
  </si>
  <si>
    <t>302</t>
  </si>
  <si>
    <t>NEZPERCE JOINT DISTRICT</t>
  </si>
  <si>
    <t>0272</t>
  </si>
  <si>
    <t>NEZPERCE SCHOOL</t>
  </si>
  <si>
    <t>149</t>
  </si>
  <si>
    <t>NORTH GEM DISTRICT</t>
  </si>
  <si>
    <t>0077</t>
  </si>
  <si>
    <t>NORTH GEM HIGH SCHOOL</t>
  </si>
  <si>
    <t>0464</t>
  </si>
  <si>
    <t>NORTH GEM ELEMENTARY</t>
  </si>
  <si>
    <t>1401</t>
  </si>
  <si>
    <t>NORTH GEM MIDDLE SCHOOL</t>
  </si>
  <si>
    <t>3013</t>
  </si>
  <si>
    <t>ADMINISTRATION BUILDING NORTH GEM DISTRICT</t>
  </si>
  <si>
    <t>480</t>
  </si>
  <si>
    <t>NORTH IDAHO STEM CHARTER ACADEMY, INC.</t>
  </si>
  <si>
    <t>1342</t>
  </si>
  <si>
    <t>NORTH IDAHO STEM CHARTER ACADEMY</t>
  </si>
  <si>
    <t>493</t>
  </si>
  <si>
    <t>NORTH STAR CHARTER SCHOOL, INC.</t>
  </si>
  <si>
    <t>1371</t>
  </si>
  <si>
    <t>NORTH STAR CHARTER SCHOOL</t>
  </si>
  <si>
    <t>465</t>
  </si>
  <si>
    <t>NORTH VALLEY ACADEMY, INC.</t>
  </si>
  <si>
    <t>0653</t>
  </si>
  <si>
    <t>NORTH VALLEY ACADEMY</t>
  </si>
  <si>
    <t>135</t>
  </si>
  <si>
    <t>NOTUS DISTRICT</t>
  </si>
  <si>
    <t>0234</t>
  </si>
  <si>
    <t>NOTUS JR-SR HIGH SCHOOL</t>
  </si>
  <si>
    <t>0520</t>
  </si>
  <si>
    <t>NOTUS ELEMENTARY SCHOOL</t>
  </si>
  <si>
    <t>1023</t>
  </si>
  <si>
    <t>3011</t>
  </si>
  <si>
    <t>ADMINISTRATION BUILDING NOTUS DISTRICT</t>
  </si>
  <si>
    <t>351</t>
  </si>
  <si>
    <t>ONEIDA COUNTY DISTRICT</t>
  </si>
  <si>
    <t>0156</t>
  </si>
  <si>
    <t>MALAD SENIOR HIGH SCHOOL</t>
  </si>
  <si>
    <t>0580</t>
  </si>
  <si>
    <t>ONEIDA HIGH SCHOOL ALTERNATIVE</t>
  </si>
  <si>
    <t>0618</t>
  </si>
  <si>
    <t>MALAD MIDDLE SCHOOL</t>
  </si>
  <si>
    <t>0797</t>
  </si>
  <si>
    <t>STONE ELEMENTARY SCHOOL</t>
  </si>
  <si>
    <t>0798</t>
  </si>
  <si>
    <t>MALAD ELEMENTARY SCHOOL</t>
  </si>
  <si>
    <t>1390</t>
  </si>
  <si>
    <t>IDAHO HOME LEARNING ACADEMY</t>
  </si>
  <si>
    <t>3029</t>
  </si>
  <si>
    <t>ADMINISTRATION BUILDING ONEIDA COUNTY DISTRICT</t>
  </si>
  <si>
    <t>171</t>
  </si>
  <si>
    <t>OROFINO JOINT DISTRICT</t>
  </si>
  <si>
    <t>0087</t>
  </si>
  <si>
    <t>0088</t>
  </si>
  <si>
    <t>OROFINO HIGH SCHOOL</t>
  </si>
  <si>
    <t>0479</t>
  </si>
  <si>
    <t>OROFINO ELEMENTARY SCHOOL</t>
  </si>
  <si>
    <t>0481</t>
  </si>
  <si>
    <t>CAVENDISH-TEAKEAN ELEM SCHOOL</t>
  </si>
  <si>
    <t>0482</t>
  </si>
  <si>
    <t>PECK ELEMENTARY SCHOOL</t>
  </si>
  <si>
    <t>1361</t>
  </si>
  <si>
    <t>IDAHO YOUTH CHALLENGE ACADEMY SPRING ALTERNATIVE</t>
  </si>
  <si>
    <t>1362</t>
  </si>
  <si>
    <t>IDAHO YOUTH CHALLENGE ACADEMY FALL ALTERNATIVE</t>
  </si>
  <si>
    <t>2520</t>
  </si>
  <si>
    <t>TIMBERLINE ELEMENTARY</t>
  </si>
  <si>
    <t>3171</t>
  </si>
  <si>
    <t>ADMINISTRATION BUILDING OROFINO JOINT DISTRICT</t>
  </si>
  <si>
    <t>472</t>
  </si>
  <si>
    <t>PALOUSE PRAIRIE EDUCATIONAL ORGANIZATION, INC.</t>
  </si>
  <si>
    <t>1234</t>
  </si>
  <si>
    <t>PALOUSE PRAIRIE CHARTER SCHOOL</t>
  </si>
  <si>
    <t>137</t>
  </si>
  <si>
    <t>PARMA DISTRICT</t>
  </si>
  <si>
    <t>0072</t>
  </si>
  <si>
    <t>PARMA HIGH SCHOOL</t>
  </si>
  <si>
    <t>0282</t>
  </si>
  <si>
    <t>PARMA MIDDLE SCHOOL</t>
  </si>
  <si>
    <t>0456</t>
  </si>
  <si>
    <t>MAXINE JOHNSON ELEMENTARY</t>
  </si>
  <si>
    <t>1024</t>
  </si>
  <si>
    <t>3137</t>
  </si>
  <si>
    <t>ADMINISTRATION BUILDING PARMA DISTRICT</t>
  </si>
  <si>
    <t>497</t>
  </si>
  <si>
    <t>PATHWAYS IN EDUCATION - NAMPA, INC.</t>
  </si>
  <si>
    <t>1398</t>
  </si>
  <si>
    <t>PATHWAYS IN EDUCATION: NAMPA</t>
  </si>
  <si>
    <t>371</t>
  </si>
  <si>
    <t>PAYETTE JOINT DISTRICT</t>
  </si>
  <si>
    <t>MC CAIN MIDDLE SCHOOL</t>
  </si>
  <si>
    <t>0162</t>
  </si>
  <si>
    <t>PAYETTE HIGH SCHOOL</t>
  </si>
  <si>
    <t>0508</t>
  </si>
  <si>
    <t>PAYETTE PRIMARY SCHOOL</t>
  </si>
  <si>
    <t>0805</t>
  </si>
  <si>
    <t>1064</t>
  </si>
  <si>
    <t>PAYETTE ALTERNATIVE HIGH SCHOOL</t>
  </si>
  <si>
    <t>1093</t>
  </si>
  <si>
    <t>PAYETTE ALTERNATIVE SUMMER SCHOOL</t>
  </si>
  <si>
    <t>1318</t>
  </si>
  <si>
    <t>PAYETTE ALTERNATIVE CENTER</t>
  </si>
  <si>
    <t>1400</t>
  </si>
  <si>
    <t>TREASURE VALLEY TECH (TVT) - IDAHO</t>
  </si>
  <si>
    <t>1453</t>
  </si>
  <si>
    <t>PRESIDIO HIGH SCHOOL</t>
  </si>
  <si>
    <t>3371</t>
  </si>
  <si>
    <t>ADMINISTRATION BUILDING PAYETTE JOINT DISTRICT</t>
  </si>
  <si>
    <t>794</t>
  </si>
  <si>
    <t>PAYETTE RIVER TECHNICAL ACADEMY, INC.</t>
  </si>
  <si>
    <t>1249</t>
  </si>
  <si>
    <t>PAYETTE RIVER TECHNICAL ACADEMY</t>
  </si>
  <si>
    <t>511</t>
  </si>
  <si>
    <t>PEACE VALLEY CHARTER SCHOOL, INC.</t>
  </si>
  <si>
    <t>1412</t>
  </si>
  <si>
    <t>PEACE VALLEY CHARTER SCHOOL</t>
  </si>
  <si>
    <t>553</t>
  </si>
  <si>
    <t>PINECREST ACADEMY OF IDAHO, INC.</t>
  </si>
  <si>
    <t>1444</t>
  </si>
  <si>
    <t>PINECREST ACADEMY OF IDAHO</t>
  </si>
  <si>
    <t>364</t>
  </si>
  <si>
    <t>PLEASANT VALLEY ELEM DIST</t>
  </si>
  <si>
    <t>0800</t>
  </si>
  <si>
    <t>PLEASANT VALLEY ELEM-JR HIGH</t>
  </si>
  <si>
    <t>1056</t>
  </si>
  <si>
    <t>BORDER DIST-JORDAN VALLEY-SECONDARY</t>
  </si>
  <si>
    <t>3364</t>
  </si>
  <si>
    <t>ADMINISTRATION BUILDING PLEASANT VALLEY ELEM DIST</t>
  </si>
  <si>
    <t>044</t>
  </si>
  <si>
    <t>PLUMMER-WORLEY JOINT DISTRICT</t>
  </si>
  <si>
    <t>0030</t>
  </si>
  <si>
    <t>LAKESIDE HIGH SCHOOL</t>
  </si>
  <si>
    <t>0128</t>
  </si>
  <si>
    <t>LAKESIDE JR HIGH SCHOOL</t>
  </si>
  <si>
    <t>0752</t>
  </si>
  <si>
    <t>LAKESIDE ELEMENTARY SCHOOL</t>
  </si>
  <si>
    <t>3044</t>
  </si>
  <si>
    <t>ADMINISTRATION BUILDING PLUMMER-WORLEY JOINT DISTRICT</t>
  </si>
  <si>
    <t>POCATELLO DISTRICT</t>
  </si>
  <si>
    <t>0020</t>
  </si>
  <si>
    <t>FRANKLIN MIDDLE SCHOOL</t>
  </si>
  <si>
    <t>0021</t>
  </si>
  <si>
    <t>HAWTHORNE MIDDLE SCHOOL</t>
  </si>
  <si>
    <t>0022</t>
  </si>
  <si>
    <t>IRVING MIDDLE SCHOOL</t>
  </si>
  <si>
    <t>0023</t>
  </si>
  <si>
    <t>ALAMEDA MIDDLE SCHOOL</t>
  </si>
  <si>
    <t>0024</t>
  </si>
  <si>
    <t>POCATELLO HIGH SCHOOL</t>
  </si>
  <si>
    <t>0025</t>
  </si>
  <si>
    <t>HIGHLAND HIGH SCHOOL</t>
  </si>
  <si>
    <t>0353</t>
  </si>
  <si>
    <t>EDAHOW ELEMENTARY SCHOOL</t>
  </si>
  <si>
    <t>0354</t>
  </si>
  <si>
    <t>GREENACRES ELEMENTARY SCHOOL</t>
  </si>
  <si>
    <t>0355</t>
  </si>
  <si>
    <t>INDIAN HILLS ELEMENTARY SCHOOL</t>
  </si>
  <si>
    <t>0356</t>
  </si>
  <si>
    <t>CHUBBUCK ELEMENTARY SCHOOL</t>
  </si>
  <si>
    <t>0357</t>
  </si>
  <si>
    <t>GATE CITY ELEMENTARY SCHOOL</t>
  </si>
  <si>
    <t>0358</t>
  </si>
  <si>
    <t>RULON M ELLIS ELEM SCHOOL</t>
  </si>
  <si>
    <t>0359</t>
  </si>
  <si>
    <t>0360</t>
  </si>
  <si>
    <t>TYHEE ELEMENTARY SCHOOL</t>
  </si>
  <si>
    <t>0361</t>
  </si>
  <si>
    <t>SYRINGA ELEMENTARY SCHOOL</t>
  </si>
  <si>
    <t>0362</t>
  </si>
  <si>
    <t>CLAUDE A WILCOX ELEM SCHOOL</t>
  </si>
  <si>
    <t>0365</t>
  </si>
  <si>
    <t>0366</t>
  </si>
  <si>
    <t>TENDOY ELEMENTARY SCHOOL</t>
  </si>
  <si>
    <t>0368</t>
  </si>
  <si>
    <t>LEWIS &amp; CLARK ELEMENTARY SCH</t>
  </si>
  <si>
    <t>0565</t>
  </si>
  <si>
    <t>GATEWAY PROF-TECH SCHOOL</t>
  </si>
  <si>
    <t>0956</t>
  </si>
  <si>
    <t>CENTURY HIGH SCHOOL</t>
  </si>
  <si>
    <t>1002</t>
  </si>
  <si>
    <t>KINPORT MIDDLE SCHOOL</t>
  </si>
  <si>
    <t>1120</t>
  </si>
  <si>
    <t>POCATELLO SUMMER ALTERNATIVE HIGH SCHOOL</t>
  </si>
  <si>
    <t>1141</t>
  </si>
  <si>
    <t>NEW HORISON HIGH SCHOOL ALTERNATIVE</t>
  </si>
  <si>
    <t>1142</t>
  </si>
  <si>
    <t>DISTRICT #25 ALTERNATIVE SUMMER SCHOOL AT NEW HORIZONS</t>
  </si>
  <si>
    <t>1176</t>
  </si>
  <si>
    <t>POCATELLO JUVENILE DETENTION-SUMMER</t>
  </si>
  <si>
    <t>1204</t>
  </si>
  <si>
    <t xml:space="preserve">POCATELLO MIDDLE ALTERNATIVE SUMMER SCHOOL </t>
  </si>
  <si>
    <t>ADMINISTRATION BUILDING POCATELLO DISTRICT</t>
  </si>
  <si>
    <t>9033</t>
  </si>
  <si>
    <t>LINCOLN PRESCHOOL CENTER</t>
  </si>
  <si>
    <t>9034</t>
  </si>
  <si>
    <t>POCATELLO JUVENILE DETENTION</t>
  </si>
  <si>
    <t>POST FALLS DISTRICT</t>
  </si>
  <si>
    <t>0125</t>
  </si>
  <si>
    <t>POST FALLS MIDDLE SCHOOL</t>
  </si>
  <si>
    <t>0126</t>
  </si>
  <si>
    <t>POST FALLS HIGH SCHOOL</t>
  </si>
  <si>
    <t>0253</t>
  </si>
  <si>
    <t>MULLAN TRAIL ELEMENTARY SCHOOL</t>
  </si>
  <si>
    <t>0268</t>
  </si>
  <si>
    <t>RIVER CITY MIDDLE SCHOOL</t>
  </si>
  <si>
    <t>0736</t>
  </si>
  <si>
    <t>PRAIRIE VIEW ELEMENTARY</t>
  </si>
  <si>
    <t>0748</t>
  </si>
  <si>
    <t>0749</t>
  </si>
  <si>
    <t>SELTICE ELEMENTARY SCHOOL</t>
  </si>
  <si>
    <t>0750</t>
  </si>
  <si>
    <t>FREDERICK POST KINDER CENTER</t>
  </si>
  <si>
    <t>1084</t>
  </si>
  <si>
    <t>NEW VISION HIGH SCHOOL ALTERNATIVE</t>
  </si>
  <si>
    <t>1188</t>
  </si>
  <si>
    <t>POST FALLS HIGH SCHOOL / RIVER CITY MIDDLE SCHOOL SUMMER ALTERNATIVE</t>
  </si>
  <si>
    <t>1388</t>
  </si>
  <si>
    <t>GREENSFERRY ELEMENTARY SCHOOL</t>
  </si>
  <si>
    <t>1445</t>
  </si>
  <si>
    <t>TREATY ROCK ELEMENTARY</t>
  </si>
  <si>
    <t>2517</t>
  </si>
  <si>
    <t>WEST RIDGE ELEMENTARY SCHOOL</t>
  </si>
  <si>
    <t>3273</t>
  </si>
  <si>
    <t>ADMINISTRATION BUILDING POST FALLS DISTRICT</t>
  </si>
  <si>
    <t>POTLATCH DISTRICT</t>
  </si>
  <si>
    <t>0135</t>
  </si>
  <si>
    <t>POTLATCH JR-SR HIGH SCHOOL</t>
  </si>
  <si>
    <t>0762</t>
  </si>
  <si>
    <t>POTLATCH ELEMENTARY SCHOOL</t>
  </si>
  <si>
    <t>3024</t>
  </si>
  <si>
    <t>ADMINISTRATION BUILDING POTLATCH DISTRICT</t>
  </si>
  <si>
    <t>191</t>
  </si>
  <si>
    <t>PRAIRIE ELEMENTARY DISTRICT</t>
  </si>
  <si>
    <t>0491</t>
  </si>
  <si>
    <t>PRAIRIE ELEM-JR HIGH SCHOOL</t>
  </si>
  <si>
    <t>3191</t>
  </si>
  <si>
    <t>ADMINISTRATION BUILDING PRAIRIE ELEMENTARY DISTRICT</t>
  </si>
  <si>
    <t>201</t>
  </si>
  <si>
    <t>PRESTON JOINT DISTRICT</t>
  </si>
  <si>
    <t>0096</t>
  </si>
  <si>
    <t>PRESTON HIGH SCHOOL</t>
  </si>
  <si>
    <t>0291</t>
  </si>
  <si>
    <t>PRESTON JR HIGH SCHOOL</t>
  </si>
  <si>
    <t>0497</t>
  </si>
  <si>
    <t>OAKWOOD ELEMENTARY SCHOOL</t>
  </si>
  <si>
    <t>0499</t>
  </si>
  <si>
    <t>PIONEER ELEMENTARY SCHOOL</t>
  </si>
  <si>
    <t>1170</t>
  </si>
  <si>
    <t>FRANKLIN COUNTY HIGH SCHOOL SUMMER</t>
  </si>
  <si>
    <t>1278</t>
  </si>
  <si>
    <t>PRESTON JUNIOR HIGH SCHOOL SUMMER ALTERNATIVE</t>
  </si>
  <si>
    <t>3201</t>
  </si>
  <si>
    <t>ADMINISTRATION BUILDING PRESTON JOINT DISTRICT</t>
  </si>
  <si>
    <t>8844</t>
  </si>
  <si>
    <t>FRANKLIN COUNTY HIGH SCHOOOL</t>
  </si>
  <si>
    <t>513</t>
  </si>
  <si>
    <t>PROJECT IMPACT STEM ACADEMY, INC.</t>
  </si>
  <si>
    <t>1413</t>
  </si>
  <si>
    <t>PROJECT IMPACT STEM ACADEMY</t>
  </si>
  <si>
    <t>316</t>
  </si>
  <si>
    <t>RICHFIELD DISTRICT</t>
  </si>
  <si>
    <t>0144</t>
  </si>
  <si>
    <t>RICHFIELD SCHOOL</t>
  </si>
  <si>
    <t>ADMINISTRATION BUILDING RICHFIELD DISTRICT</t>
  </si>
  <si>
    <t>RIRIE JOINT DISTRICT</t>
  </si>
  <si>
    <t>0228</t>
  </si>
  <si>
    <t>RIRIE JR/SR HIGH SCHOOL</t>
  </si>
  <si>
    <t>0229</t>
  </si>
  <si>
    <t>RIRIE ELEMENTARY SCHOOL</t>
  </si>
  <si>
    <t>3252</t>
  </si>
  <si>
    <t>ADMINISTRATION BUILDING RIRIE JOINT DISTRICT</t>
  </si>
  <si>
    <t>382</t>
  </si>
  <si>
    <t>ROCKLAND DISTRICT</t>
  </si>
  <si>
    <t>0169</t>
  </si>
  <si>
    <t>ROCKLAND PUBLIC SCHOOL</t>
  </si>
  <si>
    <t>3382</t>
  </si>
  <si>
    <t>ADMINISTRATION BUILDING ROCKLAND DISTRICT</t>
  </si>
  <si>
    <t>454</t>
  </si>
  <si>
    <t>ROLLING HILLS PUBLIC CHARTER SCHOOL, INC.</t>
  </si>
  <si>
    <t>0574</t>
  </si>
  <si>
    <t>ROLLING HILLS PUBLIC CHARTER</t>
  </si>
  <si>
    <t>751</t>
  </si>
  <si>
    <t>S E I TEC CHARTER SCHOOL, INC.</t>
  </si>
  <si>
    <t>1349</t>
  </si>
  <si>
    <t>SOUTHEAST IDAHO PROFESSIONAL TECHNICAL SCHOOL</t>
  </si>
  <si>
    <t>291</t>
  </si>
  <si>
    <t>SALMON DISTRICT</t>
  </si>
  <si>
    <t>0136</t>
  </si>
  <si>
    <t>SALMON JR./SR. HIGH SCHOOL</t>
  </si>
  <si>
    <t>0764</t>
  </si>
  <si>
    <t>SALMON PIONEER PRIMARY SCHOOL</t>
  </si>
  <si>
    <t>1153</t>
  </si>
  <si>
    <t>SALMON JUVENILE DETENTION CTR</t>
  </si>
  <si>
    <t>1181</t>
  </si>
  <si>
    <t>SALMON JUVENILE DETENTION (SUMMER)</t>
  </si>
  <si>
    <t>1268</t>
  </si>
  <si>
    <t>C D C</t>
  </si>
  <si>
    <t>2521</t>
  </si>
  <si>
    <t>SALMON ALTERNATIVE SUMMER SCHOOL</t>
  </si>
  <si>
    <t>3291</t>
  </si>
  <si>
    <t>ADMINISTRATION BUILDING SALMON DISTRICT</t>
  </si>
  <si>
    <t>9014</t>
  </si>
  <si>
    <t>SALMON ALTERNATIVE HIGH SCHOOL</t>
  </si>
  <si>
    <t>SALMON RIVER JOINT SCHOOL DIST</t>
  </si>
  <si>
    <t>1280</t>
  </si>
  <si>
    <t>RIGGINS ELEMENTARY SCHOOL</t>
  </si>
  <si>
    <t>1281</t>
  </si>
  <si>
    <t>SALMON RIVER JR-SR HIGH SCHOOL</t>
  </si>
  <si>
    <t>3036</t>
  </si>
  <si>
    <t>ADMINISTRATION BUILDING SALMON RIVER JOINT SCHOOL DIST</t>
  </si>
  <si>
    <t>487</t>
  </si>
  <si>
    <t>SANDPOINT CHARTER SCHOOL, INC.</t>
  </si>
  <si>
    <t>1365</t>
  </si>
  <si>
    <t>FORREST M. BIRD CHARTER SCHOOL</t>
  </si>
  <si>
    <t>SHELLEY JOINT DISTRICT</t>
  </si>
  <si>
    <t>0035</t>
  </si>
  <si>
    <t>SHELLEY SENIOR HIGH SCHOOL</t>
  </si>
  <si>
    <t>0039</t>
  </si>
  <si>
    <t>DONALD J HOBBS MIDDLE SCHOOL</t>
  </si>
  <si>
    <t>0391</t>
  </si>
  <si>
    <t>SUNRISE ELEMENTARY SCHOOL</t>
  </si>
  <si>
    <t>0392</t>
  </si>
  <si>
    <t>HAZEL STUART ELEMENTARY SCHOOL</t>
  </si>
  <si>
    <t>1251</t>
  </si>
  <si>
    <t xml:space="preserve">RIVERVIEW ELEMENTARY SCHOOL   </t>
  </si>
  <si>
    <t>3060</t>
  </si>
  <si>
    <t>ADMINISTRATION BUILDING SHELLEY JOINT DISTRICT</t>
  </si>
  <si>
    <t>312</t>
  </si>
  <si>
    <t>SHOSHONE JOINT DISTRICT</t>
  </si>
  <si>
    <t>0294</t>
  </si>
  <si>
    <t>SHOSHONE MIDDLE SCHOOL</t>
  </si>
  <si>
    <t>0295</t>
  </si>
  <si>
    <t>SHOSHONE HIGH SCHOOL</t>
  </si>
  <si>
    <t>0770</t>
  </si>
  <si>
    <t>SHOSHONE ELEMENTARY SCHOOL</t>
  </si>
  <si>
    <t>0846</t>
  </si>
  <si>
    <t>HIGH DESERT ALTERNATIVE</t>
  </si>
  <si>
    <t>3312</t>
  </si>
  <si>
    <t>ADMINISTRATION BUILDING SHOSHONE JOINT DISTRICT</t>
  </si>
  <si>
    <t>052</t>
  </si>
  <si>
    <t>SNAKE RIVER DISTRICT</t>
  </si>
  <si>
    <t>0031</t>
  </si>
  <si>
    <t>SNAKE RIVER JR HIGH SCHOOL</t>
  </si>
  <si>
    <t>0032</t>
  </si>
  <si>
    <t>SNAKE RIVER HIGH SCHOOL</t>
  </si>
  <si>
    <t>0376</t>
  </si>
  <si>
    <t>0377</t>
  </si>
  <si>
    <t>MORELAND ELEMENTARY SCHOOL</t>
  </si>
  <si>
    <t>0378</t>
  </si>
  <si>
    <t>ROCKFORD ELEMENTARY SCHOOL</t>
  </si>
  <si>
    <t>0380</t>
  </si>
  <si>
    <t>SNAKE RIVER MIDDLE SCHOOL</t>
  </si>
  <si>
    <t>1451</t>
  </si>
  <si>
    <t>SNAKE RIVER ONLINE</t>
  </si>
  <si>
    <t>3052</t>
  </si>
  <si>
    <t>ADMINISTRATION BUILDING SNAKE RIVER DISTRICT</t>
  </si>
  <si>
    <t>150</t>
  </si>
  <si>
    <t>SODA SPRINGS JOINT DISTRICT</t>
  </si>
  <si>
    <t>0078</t>
  </si>
  <si>
    <t>TIGERT MIDDLE SCHOOL</t>
  </si>
  <si>
    <t>0079</t>
  </si>
  <si>
    <t>SODA SPRINGS HIGH SCHOOL</t>
  </si>
  <si>
    <t>0466</t>
  </si>
  <si>
    <t>HOWARD E THIRKILL PRIMARY SCHOOL</t>
  </si>
  <si>
    <t>1025</t>
  </si>
  <si>
    <t>FREEDOM BORDER DIST-ELEMENTARY</t>
  </si>
  <si>
    <t>1026</t>
  </si>
  <si>
    <t>FREEDOM BORDER DIST-SECONDARY</t>
  </si>
  <si>
    <t>3150</t>
  </si>
  <si>
    <t>ADMINISTRATION BUILDING SODA SPRINGS JOINT DISTRICT</t>
  </si>
  <si>
    <t>292</t>
  </si>
  <si>
    <t>SOUTH LEMHI DISTRICT</t>
  </si>
  <si>
    <t>0137</t>
  </si>
  <si>
    <t>LEADORE SCHOOL</t>
  </si>
  <si>
    <t>0765</t>
  </si>
  <si>
    <t>3292</t>
  </si>
  <si>
    <t>ADMINISTRATION BUILDING SOUTH LEMHI DISTRICT</t>
  </si>
  <si>
    <t>041</t>
  </si>
  <si>
    <t>ST MARIES JOINT DISTRICT</t>
  </si>
  <si>
    <t>0028</t>
  </si>
  <si>
    <t>ST MARIES MIDDLE SCHOOL</t>
  </si>
  <si>
    <t>0029</t>
  </si>
  <si>
    <t>ST MARIES HIGH SCHOOL</t>
  </si>
  <si>
    <t>0254</t>
  </si>
  <si>
    <t>0374</t>
  </si>
  <si>
    <t>UPRIVER ELEMENTARY SCHOOL</t>
  </si>
  <si>
    <t>1138</t>
  </si>
  <si>
    <t>ST. MARIES COMMUNITY EDUCATION ALTERNATIVE</t>
  </si>
  <si>
    <t>3041</t>
  </si>
  <si>
    <t>ADMINISTRATION BUILDING ST MARIES JOINT DISTRICT</t>
  </si>
  <si>
    <t>322</t>
  </si>
  <si>
    <t>SUGAR-SALEM JOINT DISTRICT</t>
  </si>
  <si>
    <t>0147</t>
  </si>
  <si>
    <t>SUGAR-SALEM HIGH SCHOOL</t>
  </si>
  <si>
    <t>0225</t>
  </si>
  <si>
    <t>KERSHAW INTERMEDIATE SCHOOL</t>
  </si>
  <si>
    <t>0226</t>
  </si>
  <si>
    <t>SUGAR-SALEM JUNIOR HIGH SCHOOL</t>
  </si>
  <si>
    <t>0781</t>
  </si>
  <si>
    <t>CENTRAL ELEMENTARY SCHOOL</t>
  </si>
  <si>
    <t>0874</t>
  </si>
  <si>
    <t>VALLEY VIEW ALTERNATIVE HIGH SCHOOL</t>
  </si>
  <si>
    <t>3322</t>
  </si>
  <si>
    <t>ADMINISTRATION BUILDING SUGAR SALEM JOINT DISTRICT</t>
  </si>
  <si>
    <t>092</t>
  </si>
  <si>
    <t>SWAN VALLEY ELEMENTARY DIST</t>
  </si>
  <si>
    <t>0424</t>
  </si>
  <si>
    <t>SWAN VALLEY ELEMENTARY SCHOOL</t>
  </si>
  <si>
    <t>1014</t>
  </si>
  <si>
    <t>STAR VALLEY ELEMENTARY SCHOOL</t>
  </si>
  <si>
    <t>1015</t>
  </si>
  <si>
    <t>STAR VALLEY JR-SR HIGH SCHOOL</t>
  </si>
  <si>
    <t>3092</t>
  </si>
  <si>
    <t>ADMINISTRATION BUILDING SWAN VALLEY ELEMENTARY DIST</t>
  </si>
  <si>
    <t>488</t>
  </si>
  <si>
    <t>SYRINGA MOUNTAIN SCHOOL, INC.</t>
  </si>
  <si>
    <t>1367</t>
  </si>
  <si>
    <t>SYRINGA MOUNTAIN CHARTER SCHOOL</t>
  </si>
  <si>
    <t>461</t>
  </si>
  <si>
    <t>TAYLOR'S CROSSING PUBLIC CHARTER SCHOOL, INC.</t>
  </si>
  <si>
    <t>0642</t>
  </si>
  <si>
    <t>TAYLORS CROSSING CHARTER SCHOOL</t>
  </si>
  <si>
    <t>401</t>
  </si>
  <si>
    <t>TETON COUNTY DISTRICT</t>
  </si>
  <si>
    <t>TETON HIGH SCHOOL</t>
  </si>
  <si>
    <t>0195</t>
  </si>
  <si>
    <t>TETON MIDDLE SCHOOL</t>
  </si>
  <si>
    <t>0249</t>
  </si>
  <si>
    <t>DRIGGS ELEMENTARY SCHOOL</t>
  </si>
  <si>
    <t>0822</t>
  </si>
  <si>
    <t>TETONIA ELEMENTARY SCHOOL</t>
  </si>
  <si>
    <t>0823</t>
  </si>
  <si>
    <t>VICTOR ELEMENTARY SCHOOL</t>
  </si>
  <si>
    <t>0875</t>
  </si>
  <si>
    <t>Basin Alternative High School</t>
  </si>
  <si>
    <t>1236</t>
  </si>
  <si>
    <t>RENDEZVOUS UPPER ELEMENTARY SCHOOL</t>
  </si>
  <si>
    <t>ADMINISTRATION BUILDING TETON COUNTY DISTRICT</t>
  </si>
  <si>
    <t>460</t>
  </si>
  <si>
    <t>THE ACADEMY, INC.</t>
  </si>
  <si>
    <t>0641</t>
  </si>
  <si>
    <t>CONNOR ACADEMY</t>
  </si>
  <si>
    <t>470</t>
  </si>
  <si>
    <t>THE KOOTENAI BRIDGE ACADEMY, INC.</t>
  </si>
  <si>
    <t>1232</t>
  </si>
  <si>
    <t>KOOTENAI BRIDGE ACADEMY ALTERNATIVE</t>
  </si>
  <si>
    <t>2523</t>
  </si>
  <si>
    <t>KOOTENAI BRIDGE ACADEMY SUMMER ALTERNATIVE</t>
  </si>
  <si>
    <t>494</t>
  </si>
  <si>
    <t>THE POCATELLO COMMUNITY CHARTER SCHOOL, INC.</t>
  </si>
  <si>
    <t>0623</t>
  </si>
  <si>
    <t>POCATELLO COMMUNITY CHARTER</t>
  </si>
  <si>
    <t>475</t>
  </si>
  <si>
    <t>THE SAGE INTERNATIONAL SCHOOL OF BOISE, A PUBLIC CHARTER SCHOOL, INC.</t>
  </si>
  <si>
    <t>1248</t>
  </si>
  <si>
    <t>SAGE INTERNATIONAL SCHOOL OF BOISE</t>
  </si>
  <si>
    <t>473</t>
  </si>
  <si>
    <t>THE VILLAGE CHARTER SCHOOL, INC.</t>
  </si>
  <si>
    <t>1339</t>
  </si>
  <si>
    <t>THE VILLAGE CHARTER SCHOOL</t>
  </si>
  <si>
    <t>559</t>
  </si>
  <si>
    <t>THOMAS JEFFERSON CHARTER SCHOOL, INC.</t>
  </si>
  <si>
    <t>0559</t>
  </si>
  <si>
    <t>THOMAS JEFFERSON CHARTER</t>
  </si>
  <si>
    <t>416</t>
  </si>
  <si>
    <t>THREE CREEK JT ELEM DISTRICT</t>
  </si>
  <si>
    <t>0835</t>
  </si>
  <si>
    <t>THREE CREEK ELEM-JR HI SCHOOL</t>
  </si>
  <si>
    <t>3416</t>
  </si>
  <si>
    <t>ADMINISTRATION BUILDING THREE CREEK</t>
  </si>
  <si>
    <t>TREASURE VALLEY CLASSICAL ACADEMY, INC.</t>
  </si>
  <si>
    <t>1424</t>
  </si>
  <si>
    <t>TREASURE VALLEY CLASSICAL ACADEMY</t>
  </si>
  <si>
    <t>TROY SCHOOL DISTRICT</t>
  </si>
  <si>
    <t>0766</t>
  </si>
  <si>
    <t>TROY ELEMENTARY SCHOOL</t>
  </si>
  <si>
    <t>0772</t>
  </si>
  <si>
    <t>TROY JR-SR HIGH SCHOOL</t>
  </si>
  <si>
    <t>3287</t>
  </si>
  <si>
    <t>ADMINISTRATION BUILDING TROY SCHOOL DISTRICT</t>
  </si>
  <si>
    <t>411</t>
  </si>
  <si>
    <t>TWIN FALLS DISTRICT</t>
  </si>
  <si>
    <t>0176</t>
  </si>
  <si>
    <t>ROBERT STUART MIDDLE SCHOOL</t>
  </si>
  <si>
    <t>0177</t>
  </si>
  <si>
    <t>VERA C O'LEARY MIDDLE SCHOOL</t>
  </si>
  <si>
    <t>0178</t>
  </si>
  <si>
    <t>TWIN FALLS HIGH SCHOOL</t>
  </si>
  <si>
    <t>0515</t>
  </si>
  <si>
    <t>OREGON TRAIL ELEMENTARY SCHOOL</t>
  </si>
  <si>
    <t>0824</t>
  </si>
  <si>
    <t>I B PERRINE ELEMENTARY SCHOOL</t>
  </si>
  <si>
    <t>0825</t>
  </si>
  <si>
    <t>MORNINGSIDE ELEMENTARY SCHOOL</t>
  </si>
  <si>
    <t>0826</t>
  </si>
  <si>
    <t>SAWTOOTH ELEMENTARY SCHOOL</t>
  </si>
  <si>
    <t>0827</t>
  </si>
  <si>
    <t>0828</t>
  </si>
  <si>
    <t>BICKEL ELEMENTARY SCHOOL</t>
  </si>
  <si>
    <t>0829</t>
  </si>
  <si>
    <t>1066</t>
  </si>
  <si>
    <t>MAGIC VALLEY HIGH SCHOOL ALTERNATIVE</t>
  </si>
  <si>
    <t>1135</t>
  </si>
  <si>
    <t>TWIN FALLS MIDDLE SCHOOL SUMMER ALT SCHOOL</t>
  </si>
  <si>
    <t>1147</t>
  </si>
  <si>
    <t>BRIDGE ACADEMY</t>
  </si>
  <si>
    <t>1174</t>
  </si>
  <si>
    <t>TWIN FALLS ALTERNATIVE SUMMER HIGH SCHOOLS</t>
  </si>
  <si>
    <t>1185</t>
  </si>
  <si>
    <t>SNAKE RIVER JUV DET-SUMMER</t>
  </si>
  <si>
    <t>1237</t>
  </si>
  <si>
    <t>CANYON RIDGE HIGH SCHOOL</t>
  </si>
  <si>
    <t>1260</t>
  </si>
  <si>
    <t>SNAKE RIVER JUVENILE DETENTION</t>
  </si>
  <si>
    <t>1381</t>
  </si>
  <si>
    <t>PILLAR FALLS ELEMENTARY</t>
  </si>
  <si>
    <t>1382</t>
  </si>
  <si>
    <t>ROCK CREEK ELEMENTARY</t>
  </si>
  <si>
    <t>1393</t>
  </si>
  <si>
    <t>SOUTH HILLS MIDDLE SCHOOL</t>
  </si>
  <si>
    <t>1402</t>
  </si>
  <si>
    <t>TWIN FALLS VIRTUAL SCHOOLHOUSE</t>
  </si>
  <si>
    <t>3411</t>
  </si>
  <si>
    <t>ADMINISTRATION BUILDING TWIN FALLS DISTRICT</t>
  </si>
  <si>
    <t>486</t>
  </si>
  <si>
    <t>UPPER CARMEN PUBLIC CHARTER SCHOOL, INC.</t>
  </si>
  <si>
    <t>1366</t>
  </si>
  <si>
    <t>UPPER CARMEN PUBLIC CHARTER SCHOOL</t>
  </si>
  <si>
    <t>1378</t>
  </si>
  <si>
    <t>UPPER CARMEN CHARTER HIGH SCHOOL</t>
  </si>
  <si>
    <t>VALLEY DISTRICT</t>
  </si>
  <si>
    <t>VALLEY SCHOOL</t>
  </si>
  <si>
    <t>ADMINISTRATION BUILDING VALLEY DISTRICT</t>
  </si>
  <si>
    <t>139</t>
  </si>
  <si>
    <t>VALLIVUE SCHOOL DISTRICT</t>
  </si>
  <si>
    <t>VALLIVUE HIGH SCHOOL</t>
  </si>
  <si>
    <t>0460</t>
  </si>
  <si>
    <t>EAST CANYON ELEMENTARY SCHOOL</t>
  </si>
  <si>
    <t>0461</t>
  </si>
  <si>
    <t>WEST CANYON ELEMENTARY SCHOOL</t>
  </si>
  <si>
    <t>0505</t>
  </si>
  <si>
    <t>CENTRAL CANYON ELEMENTARY SCHOOL</t>
  </si>
  <si>
    <t>0519</t>
  </si>
  <si>
    <t>BIRCH ELEMENTARY SCHOOL</t>
  </si>
  <si>
    <t>0582</t>
  </si>
  <si>
    <t>SAGE VALLEY MIDDLE SCHOOL</t>
  </si>
  <si>
    <t>0627</t>
  </si>
  <si>
    <t>VALLIVUE SCHOOL DISTRICT SUMMER SCHOOL</t>
  </si>
  <si>
    <t>0646</t>
  </si>
  <si>
    <t>LAKEVUE ELEMENTARY SCHOOL</t>
  </si>
  <si>
    <t>0892</t>
  </si>
  <si>
    <t>DESERT SPRINGS ELEMENTARY SCHOOL</t>
  </si>
  <si>
    <t>0985</t>
  </si>
  <si>
    <t>VALLIVUE MIDDLE SCHOOL</t>
  </si>
  <si>
    <t>1295</t>
  </si>
  <si>
    <t>RIVERVUE MIDDLE SCHOOL</t>
  </si>
  <si>
    <t>1296</t>
  </si>
  <si>
    <t>VALLIVUE VIRTUAL ACADEMY</t>
  </si>
  <si>
    <t>1380</t>
  </si>
  <si>
    <t>RIDGEVUE HIGH SCHOOL</t>
  </si>
  <si>
    <t>1397</t>
  </si>
  <si>
    <t>SKYWAY ELEMENTARY</t>
  </si>
  <si>
    <t>3139</t>
  </si>
  <si>
    <t>ADMINISTRATION BUILDING VALLIVUE SCHOOL DISTRICT</t>
  </si>
  <si>
    <t>9017</t>
  </si>
  <si>
    <t>VALLIVUE ACADEMY ALTERNATIVE</t>
  </si>
  <si>
    <t>451</t>
  </si>
  <si>
    <t>VICTORY CHARTER SCHOOL, INC.</t>
  </si>
  <si>
    <t>0868</t>
  </si>
  <si>
    <t>VICTORY CHARTER SCHOOL</t>
  </si>
  <si>
    <t>463</t>
  </si>
  <si>
    <t>VISION CHARTER SCHOOL, INC.</t>
  </si>
  <si>
    <t>0888</t>
  </si>
  <si>
    <t>VISION CHARTER SCHOOL</t>
  </si>
  <si>
    <t>393</t>
  </si>
  <si>
    <t>WALLACE DISTRICT</t>
  </si>
  <si>
    <t>0173</t>
  </si>
  <si>
    <t>SILVER HILLS ELEMENTARY SCHOOL</t>
  </si>
  <si>
    <t>WALLACE JR/SR HIGH SCHOOL</t>
  </si>
  <si>
    <t>3393</t>
  </si>
  <si>
    <t>ADMINISTRATION BUILDING WALLACE DISTRICT</t>
  </si>
  <si>
    <t>431</t>
  </si>
  <si>
    <t>WEISER DISTRICT</t>
  </si>
  <si>
    <t>0191</t>
  </si>
  <si>
    <t>WEISER MIDDLE SCHOOL</t>
  </si>
  <si>
    <t>0192</t>
  </si>
  <si>
    <t>WEISER HIGH SCHOOL</t>
  </si>
  <si>
    <t>0839</t>
  </si>
  <si>
    <t>PIONEER PRIMARY SCHOOL</t>
  </si>
  <si>
    <t>0840</t>
  </si>
  <si>
    <t>PARK INTERMEDIATE SCHOOL</t>
  </si>
  <si>
    <t>1067</t>
  </si>
  <si>
    <t>INDIANHEAD ACADEMY HIGH SCHOOL ALTERNATIVE</t>
  </si>
  <si>
    <t>1140</t>
  </si>
  <si>
    <t>WEISER SECONDARY ALTERNATIVE SUMMER SCHOOL</t>
  </si>
  <si>
    <t>3431</t>
  </si>
  <si>
    <t>ADMINISTRATION BUILDING WEISER DISTRICT</t>
  </si>
  <si>
    <t>WENDELL DISTRICT</t>
  </si>
  <si>
    <t>0104</t>
  </si>
  <si>
    <t>WENDELL MIDDLE SCHOOL</t>
  </si>
  <si>
    <t>0209</t>
  </si>
  <si>
    <t>WENDELL HIGH SCHOOL</t>
  </si>
  <si>
    <t>0712</t>
  </si>
  <si>
    <t>WENDELL ELEMENTARY SCHOOL</t>
  </si>
  <si>
    <t>1433</t>
  </si>
  <si>
    <t>HUB CITY ALTERNATIVE - SUMMER</t>
  </si>
  <si>
    <t>3232</t>
  </si>
  <si>
    <t>ADMINISTRATION BUILDING WENDELL DISTRICT</t>
  </si>
  <si>
    <t>083</t>
  </si>
  <si>
    <t>WEST BONNER COUNTY DISTRICT</t>
  </si>
  <si>
    <t>0044</t>
  </si>
  <si>
    <t>PRIEST RIVER JR HIGH SCHOOL</t>
  </si>
  <si>
    <t>0048</t>
  </si>
  <si>
    <t>PRIEST RIVER LAMANNA HIGH</t>
  </si>
  <si>
    <t>0406</t>
  </si>
  <si>
    <t>PRIEST LAKE ELEMENTARY SCHOOL</t>
  </si>
  <si>
    <t>0407</t>
  </si>
  <si>
    <t>PRIEST RIVER ELEMENTARY SCHOOL</t>
  </si>
  <si>
    <t>0411</t>
  </si>
  <si>
    <t>IDAHO HILL ELEMENTARY SCHOOL</t>
  </si>
  <si>
    <t>1148</t>
  </si>
  <si>
    <t>PRIEST RIVER EDUCATION PROGRAM SUMMER ALTERNATIVE</t>
  </si>
  <si>
    <t>1172</t>
  </si>
  <si>
    <t>PRIEST RIVER EDUCATIONAL PROGRAM (PREP)</t>
  </si>
  <si>
    <t>1203</t>
  </si>
  <si>
    <t>ADMINISTRATION BUILDING WEST BONNER COUNTY DISTRICT</t>
  </si>
  <si>
    <t>WEST JEFFERSON DISTRICT</t>
  </si>
  <si>
    <t>0115</t>
  </si>
  <si>
    <t>WEST JEFFERSON HIGH SCHOOL</t>
  </si>
  <si>
    <t>0728</t>
  </si>
  <si>
    <t>TERRETON ELEMENTARY SCHOOL</t>
  </si>
  <si>
    <t>0729</t>
  </si>
  <si>
    <t>HAMER ELEMENTARY SCHOOL</t>
  </si>
  <si>
    <t>1315</t>
  </si>
  <si>
    <t>WEST JEFFERSON JUNIOR HIGH SCHOOL</t>
  </si>
  <si>
    <t>3253</t>
  </si>
  <si>
    <t>ADMINISTRATION BUILDING WEST JEFFERSON DISTRICT</t>
  </si>
  <si>
    <t>202</t>
  </si>
  <si>
    <t>WEST SIDE JOINT DISTRICT</t>
  </si>
  <si>
    <t>0223</t>
  </si>
  <si>
    <t>BEUTLER MIDDLE SCHOOL</t>
  </si>
  <si>
    <t>0227</t>
  </si>
  <si>
    <t>WEST SIDE SENIOR HIGH SCHOOL</t>
  </si>
  <si>
    <t>0987</t>
  </si>
  <si>
    <t>HAROLD B LEE ELEMENTARY SCH</t>
  </si>
  <si>
    <t>3202</t>
  </si>
  <si>
    <t>ADMINISTRATION BUILDING WEST SIDE JOINT DISTRICT</t>
  </si>
  <si>
    <t>464</t>
  </si>
  <si>
    <t>WHITE PINE CHARTER SCHOOL, INC.</t>
  </si>
  <si>
    <t>2514</t>
  </si>
  <si>
    <t>WHITE PINE CHARTER SCHOOL</t>
  </si>
  <si>
    <t>WHITEPINE JT SCHOOL DISTRICT</t>
  </si>
  <si>
    <t>0771</t>
  </si>
  <si>
    <t>BOVILL ELEMENTARY SCHOOL</t>
  </si>
  <si>
    <t>0794</t>
  </si>
  <si>
    <t>DEARY SCHOOL</t>
  </si>
  <si>
    <t>3288</t>
  </si>
  <si>
    <t>ADMINISTRATION BUILDING WHITEPINE JT SCHOOL DISTRICT</t>
  </si>
  <si>
    <t>133</t>
  </si>
  <si>
    <t>WILDER DISTRICT</t>
  </si>
  <si>
    <t>0233</t>
  </si>
  <si>
    <t>WILDER HIGH SCHOOL</t>
  </si>
  <si>
    <t>0452</t>
  </si>
  <si>
    <t>WILDER ELEMENTARY SCHOOL</t>
  </si>
  <si>
    <t>1022</t>
  </si>
  <si>
    <t>1389</t>
  </si>
  <si>
    <t>WILDER MIDDLE SCHOOL</t>
  </si>
  <si>
    <t>3010</t>
  </si>
  <si>
    <t>ADMINISTRATION BUILDING WILDER DISTRICT</t>
  </si>
  <si>
    <t>462</t>
  </si>
  <si>
    <t>XAVIER CHARTER SCHOOL, INC.</t>
  </si>
  <si>
    <t>2512</t>
  </si>
  <si>
    <t>XAVIER CHARTER SCHOOL</t>
  </si>
  <si>
    <t>College of Eastern Idaho (0615)</t>
  </si>
  <si>
    <t>0572</t>
  </si>
  <si>
    <t>MAGIC VALLEY COOP SCHOOL SERVICE AGENCY</t>
  </si>
  <si>
    <t>0569</t>
  </si>
  <si>
    <t>REGION II PROF-TECH ACADEMY</t>
  </si>
  <si>
    <t>IDCTE Certs</t>
  </si>
  <si>
    <t>149-155</t>
  </si>
  <si>
    <t>Certs</t>
  </si>
  <si>
    <t>Eligible Certs to count for Earned Industry Cert</t>
  </si>
  <si>
    <t>TestOut IT Fundamentals Pro </t>
  </si>
  <si>
    <t>TestOut PC Pro</t>
  </si>
  <si>
    <t>TestOut Network Pro</t>
  </si>
  <si>
    <t>TestOut Security Pro</t>
  </si>
  <si>
    <t>TestOut Linux Pro</t>
  </si>
  <si>
    <t>TestOut Client Pro </t>
  </si>
  <si>
    <t>TestOut Ethical Hacker</t>
  </si>
  <si>
    <t>Add Eligible "TestOut" Certs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</si>
</sst>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mm/dd/yy;@"/>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MS Reference Sans Serif"/>
      <family val="2"/>
    </font>
    <font>
      <b/>
      <sz val="10"/>
      <color indexed="9"/>
      <name val="MS Reference Sans Serif"/>
      <family val="2"/>
    </font>
    <font>
      <sz val="10"/>
      <name val="MS Reference Sans Serif"/>
      <family val="2"/>
    </font>
    <font>
      <b/>
      <u/>
      <sz val="10"/>
      <name val="MS Reference Sans Serif"/>
      <family val="2"/>
    </font>
    <font>
      <strike/>
      <sz val="10"/>
      <color rgb="FFFF0000"/>
      <name val="MS Reference Sans Serif"/>
      <family val="2"/>
    </font>
    <font>
      <sz val="10"/>
      <color rgb="FF00B050"/>
      <name val="MS Reference Sans Serif"/>
      <family val="2"/>
    </font>
    <font>
      <u/>
      <sz val="10"/>
      <color theme="10"/>
      <name val="MS Reference Sans Serif"/>
      <family val="2"/>
    </font>
    <font>
      <b/>
      <sz val="10"/>
      <color rgb="FFFF0000"/>
      <name val="MS Reference Sans Serif"/>
      <family val="2"/>
    </font>
    <font>
      <sz val="10"/>
      <color rgb="FFFF0000"/>
      <name val="MS Reference Sans Serif"/>
      <family val="2"/>
    </font>
    <font>
      <sz val="10"/>
      <color rgb="FF000000"/>
      <name val="MS Reference Sans Serif"/>
      <family val="2"/>
    </font>
    <font>
      <sz val="10"/>
      <color rgb="FF244062"/>
      <name val="MS Reference Sans Serif"/>
      <family val="2"/>
    </font>
    <font>
      <sz val="10"/>
      <color theme="3"/>
      <name val="MS Reference Sans Serif"/>
      <family val="2"/>
    </font>
    <font>
      <sz val="10"/>
      <color theme="4" tint="-0.499984740745262"/>
      <name val="MS Reference Sans Serif"/>
      <family val="2"/>
    </font>
    <font>
      <sz val="10"/>
      <color theme="1"/>
      <name val="MS Reference Sans Serif"/>
      <family val="2"/>
    </font>
    <font>
      <sz val="10"/>
      <color indexed="9"/>
      <name val="MS Reference Sans Serif"/>
      <family val="2"/>
    </font>
    <font>
      <i/>
      <sz val="10"/>
      <name val="MS Reference Sans Serif"/>
      <family val="2"/>
    </font>
    <font>
      <b/>
      <sz val="10"/>
      <color rgb="FF00B050"/>
      <name val="MS Reference Sans Serif"/>
      <family val="2"/>
    </font>
    <font>
      <b/>
      <strike/>
      <u/>
      <sz val="10"/>
      <color rgb="FFFF0000"/>
      <name val="MS Reference Sans Serif"/>
      <family val="2"/>
    </font>
    <font>
      <b/>
      <sz val="10"/>
      <color rgb="FFC00000"/>
      <name val="MS Reference Sans Serif"/>
      <family val="2"/>
    </font>
    <font>
      <b/>
      <sz val="10"/>
      <color theme="1"/>
      <name val="MS Reference Sans Serif"/>
      <family val="2"/>
    </font>
    <font>
      <b/>
      <sz val="10"/>
      <color rgb="FF385623"/>
      <name val="MS Reference Sans Serif"/>
      <family val="2"/>
    </font>
    <font>
      <strike/>
      <u/>
      <sz val="10"/>
      <color rgb="FFFF0000"/>
      <name val="MS Reference Sans Serif"/>
      <family val="2"/>
    </font>
    <font>
      <sz val="12"/>
      <name val="Helv"/>
    </font>
    <font>
      <sz val="10"/>
      <color indexed="8"/>
      <name val="MS Reference Sans Serif"/>
      <family val="2"/>
    </font>
    <font>
      <sz val="10"/>
      <color indexed="8"/>
      <name val="Arial"/>
      <family val="2"/>
    </font>
    <font>
      <strike/>
      <sz val="10"/>
      <name val="MS Reference Sans Serif"/>
      <family val="2"/>
    </font>
    <font>
      <b/>
      <sz val="10"/>
      <color theme="0" tint="-0.499984740745262"/>
      <name val="MS Reference Sans Serif"/>
      <family val="2"/>
    </font>
    <font>
      <sz val="10"/>
      <color theme="0" tint="-0.499984740745262"/>
      <name val="MS Reference Sans Serif"/>
      <family val="2"/>
    </font>
    <font>
      <sz val="10"/>
      <color indexed="10"/>
      <name val="MS Reference Sans Serif"/>
      <family val="2"/>
    </font>
    <font>
      <b/>
      <sz val="10"/>
      <color indexed="8"/>
      <name val="MS Reference Sans Serif"/>
      <family val="2"/>
    </font>
    <font>
      <b/>
      <sz val="10"/>
      <color indexed="10"/>
      <name val="MS Reference Sans Serif"/>
      <family val="2"/>
    </font>
    <font>
      <sz val="10"/>
      <color rgb="FF7030A0"/>
      <name val="MS Reference Sans Serif"/>
      <family val="2"/>
    </font>
    <font>
      <strike/>
      <sz val="10"/>
      <color theme="0" tint="-0.14999847407452621"/>
      <name val="MS Reference Sans Serif"/>
      <family val="2"/>
    </font>
    <font>
      <b/>
      <sz val="10"/>
      <color theme="0" tint="-0.249977111117893"/>
      <name val="MS Reference Sans Serif"/>
      <family val="2"/>
    </font>
    <font>
      <sz val="10"/>
      <color theme="0" tint="-0.249977111117893"/>
      <name val="MS Reference Sans Serif"/>
      <family val="2"/>
    </font>
    <font>
      <sz val="10"/>
      <color rgb="FFFFFFFF"/>
      <name val="MS Reference Sans Serif"/>
      <family val="2"/>
    </font>
    <font>
      <i/>
      <sz val="10"/>
      <color indexed="20"/>
      <name val="MS Reference Sans Serif"/>
      <family val="2"/>
    </font>
    <font>
      <strike/>
      <sz val="10"/>
      <color rgb="FFC00000"/>
      <name val="MS Reference Sans Serif"/>
      <family val="2"/>
    </font>
    <font>
      <sz val="10"/>
      <color rgb="FFC00000"/>
      <name val="MS Reference Sans Serif"/>
      <family val="2"/>
    </font>
    <font>
      <b/>
      <sz val="10"/>
      <color rgb="FF244062"/>
      <name val="MS Reference Sans Serif"/>
      <family val="2"/>
    </font>
    <font>
      <b/>
      <sz val="10"/>
      <color theme="3"/>
      <name val="MS Reference Sans Serif"/>
      <family val="2"/>
    </font>
    <font>
      <b/>
      <sz val="10"/>
      <color theme="4" tint="-0.499984740745262"/>
      <name val="MS Reference Sans Serif"/>
      <family val="2"/>
    </font>
    <font>
      <sz val="11"/>
      <color rgb="FF444444"/>
      <name val="Calibri"/>
      <family val="2"/>
      <charset val="1"/>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7F7F7F"/>
        <bgColor indexed="64"/>
      </patternFill>
    </fill>
  </fills>
  <borders count="38">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style="medium">
        <color indexed="64"/>
      </top>
      <bottom/>
      <diagonal/>
    </border>
    <border>
      <left/>
      <right/>
      <top style="medium">
        <color indexed="64"/>
      </top>
      <bottom/>
      <diagonal/>
    </border>
  </borders>
  <cellStyleXfs count="20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2" applyNumberFormat="0" applyAlignment="0" applyProtection="0"/>
    <xf numFmtId="0" fontId="14" fillId="28" borderId="3"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30" borderId="2" applyNumberFormat="0" applyAlignment="0" applyProtection="0"/>
    <xf numFmtId="0" fontId="22" fillId="0" borderId="7" applyNumberFormat="0" applyFill="0" applyAlignment="0" applyProtection="0"/>
    <xf numFmtId="0" fontId="23"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24" fillId="27" borderId="9" applyNumberForma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6"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8" applyNumberFormat="0" applyFont="0" applyAlignment="0" applyProtection="0"/>
    <xf numFmtId="0" fontId="5" fillId="32" borderId="8" applyNumberFormat="0" applyFont="0" applyAlignment="0" applyProtection="0"/>
    <xf numFmtId="0" fontId="5" fillId="32" borderId="8" applyNumberFormat="0" applyFont="0" applyAlignment="0" applyProtection="0"/>
    <xf numFmtId="0" fontId="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8" applyNumberFormat="0" applyFont="0" applyAlignment="0" applyProtection="0"/>
    <xf numFmtId="0" fontId="2" fillId="0" borderId="0"/>
    <xf numFmtId="0" fontId="7" fillId="0" borderId="0"/>
    <xf numFmtId="0" fontId="50" fillId="0" borderId="0"/>
    <xf numFmtId="0" fontId="52" fillId="0" borderId="0"/>
    <xf numFmtId="0" fontId="1" fillId="0" borderId="0"/>
  </cellStyleXfs>
  <cellXfs count="386">
    <xf numFmtId="0" fontId="0" fillId="0" borderId="0" xfId="0"/>
    <xf numFmtId="0" fontId="28" fillId="0" borderId="0" xfId="0" applyFont="1" applyFill="1" applyAlignment="1" applyProtection="1">
      <alignment wrapText="1" readingOrder="1"/>
      <protection locked="0"/>
    </xf>
    <xf numFmtId="0" fontId="28" fillId="0" borderId="0" xfId="0" applyFont="1" applyFill="1" applyAlignment="1" applyProtection="1">
      <alignment horizontal="center" wrapText="1" readingOrder="1"/>
      <protection locked="0"/>
    </xf>
    <xf numFmtId="0" fontId="28" fillId="0" borderId="0" xfId="0" applyFont="1" applyFill="1" applyAlignment="1" applyProtection="1">
      <alignment horizontal="left" wrapText="1" readingOrder="1"/>
      <protection locked="0"/>
    </xf>
    <xf numFmtId="0" fontId="29" fillId="0" borderId="0" xfId="0" applyFont="1" applyFill="1" applyAlignment="1" applyProtection="1">
      <alignment horizontal="right" wrapText="1" readingOrder="1"/>
      <protection locked="0"/>
    </xf>
    <xf numFmtId="0" fontId="30" fillId="0" borderId="0" xfId="0" applyFont="1" applyFill="1"/>
    <xf numFmtId="0" fontId="31" fillId="0" borderId="0" xfId="0" applyFont="1" applyFill="1" applyBorder="1"/>
    <xf numFmtId="0" fontId="28" fillId="0" borderId="0" xfId="0" applyFont="1" applyFill="1" applyBorder="1" applyAlignment="1" applyProtection="1">
      <alignment wrapText="1" readingOrder="1"/>
      <protection locked="0"/>
    </xf>
    <xf numFmtId="0" fontId="30" fillId="0" borderId="0" xfId="0" applyFont="1" applyFill="1" applyAlignment="1" applyProtection="1">
      <alignment wrapText="1" readingOrder="1"/>
      <protection locked="0"/>
    </xf>
    <xf numFmtId="0" fontId="32" fillId="0" borderId="0" xfId="0" applyFont="1" applyFill="1"/>
    <xf numFmtId="0" fontId="33" fillId="0" borderId="0" xfId="0" applyFont="1" applyFill="1"/>
    <xf numFmtId="0" fontId="30" fillId="0" borderId="0" xfId="0" applyFont="1" applyFill="1" applyAlignment="1">
      <alignment horizontal="center"/>
    </xf>
    <xf numFmtId="0" fontId="30" fillId="0" borderId="0" xfId="0" applyFont="1" applyFill="1" applyAlignment="1">
      <alignment horizontal="left"/>
    </xf>
    <xf numFmtId="0" fontId="30" fillId="0" borderId="0" xfId="0" applyFont="1" applyFill="1" applyAlignment="1">
      <alignment horizontal="center" readingOrder="1"/>
    </xf>
    <xf numFmtId="0" fontId="30" fillId="0" borderId="0" xfId="0" applyFont="1"/>
    <xf numFmtId="0" fontId="35" fillId="0" borderId="0" xfId="39" applyFont="1" applyAlignment="1"/>
    <xf numFmtId="0" fontId="34" fillId="0" borderId="0" xfId="34" applyFont="1" applyAlignment="1"/>
    <xf numFmtId="0" fontId="30" fillId="34" borderId="0" xfId="0" applyFont="1" applyFill="1"/>
    <xf numFmtId="0" fontId="34" fillId="0" borderId="0" xfId="34" applyFont="1" applyFill="1" applyAlignment="1" applyProtection="1">
      <alignment vertical="top"/>
      <protection locked="0"/>
    </xf>
    <xf numFmtId="0" fontId="30" fillId="0" borderId="0" xfId="39" applyFont="1"/>
    <xf numFmtId="0" fontId="29" fillId="0" borderId="0" xfId="39" applyFont="1" applyAlignment="1" applyProtection="1">
      <alignment vertical="top"/>
      <protection locked="0"/>
    </xf>
    <xf numFmtId="0" fontId="30" fillId="0" borderId="0" xfId="39" applyFont="1" applyAlignment="1"/>
    <xf numFmtId="0" fontId="29" fillId="0" borderId="0" xfId="39" applyFont="1" applyAlignment="1" applyProtection="1">
      <alignment vertical="top" wrapText="1"/>
      <protection locked="0"/>
    </xf>
    <xf numFmtId="0" fontId="30" fillId="0" borderId="0" xfId="39" applyFont="1" applyFill="1" applyAlignment="1"/>
    <xf numFmtId="0" fontId="30" fillId="0" borderId="0" xfId="39" applyFont="1" applyFill="1"/>
    <xf numFmtId="0" fontId="39" fillId="0" borderId="0" xfId="0" applyFont="1"/>
    <xf numFmtId="0" fontId="39" fillId="0" borderId="0" xfId="0" applyFont="1" applyAlignment="1">
      <alignment horizontal="center" vertical="top"/>
    </xf>
    <xf numFmtId="0" fontId="40" fillId="0" borderId="0" xfId="0" applyFont="1"/>
    <xf numFmtId="0" fontId="29" fillId="33" borderId="1" xfId="0" applyFont="1" applyFill="1" applyBorder="1" applyAlignment="1" applyProtection="1">
      <alignment vertical="top" wrapText="1" readingOrder="1"/>
      <protection locked="0"/>
    </xf>
    <xf numFmtId="0" fontId="29" fillId="33" borderId="1" xfId="0" applyFont="1" applyFill="1" applyBorder="1" applyAlignment="1" applyProtection="1">
      <alignment horizontal="center" vertical="top" wrapText="1" readingOrder="1"/>
      <protection locked="0"/>
    </xf>
    <xf numFmtId="0" fontId="28" fillId="33" borderId="1" xfId="0" applyFont="1" applyFill="1" applyBorder="1" applyAlignment="1" applyProtection="1">
      <alignment vertical="top" wrapText="1" readingOrder="1"/>
      <protection locked="0"/>
    </xf>
    <xf numFmtId="0" fontId="30" fillId="0" borderId="0" xfId="0" applyFont="1" applyFill="1" applyBorder="1" applyAlignment="1" applyProtection="1">
      <alignment vertical="top" wrapText="1" readingOrder="1"/>
      <protection locked="0"/>
    </xf>
    <xf numFmtId="49" fontId="30" fillId="0" borderId="0" xfId="0" applyNumberFormat="1" applyFont="1" applyFill="1" applyBorder="1" applyAlignment="1" applyProtection="1">
      <alignment horizontal="center" vertical="top" wrapText="1" readingOrder="1"/>
      <protection locked="0"/>
    </xf>
    <xf numFmtId="49" fontId="30" fillId="0" borderId="0" xfId="0" applyNumberFormat="1" applyFont="1" applyFill="1" applyBorder="1" applyAlignment="1" applyProtection="1">
      <alignment horizontal="left" vertical="top" wrapText="1" readingOrder="1"/>
      <protection locked="0"/>
    </xf>
    <xf numFmtId="0" fontId="41" fillId="0" borderId="0" xfId="0" applyFont="1" applyFill="1" applyBorder="1" applyAlignment="1" applyProtection="1">
      <alignment vertical="top" wrapText="1" readingOrder="1"/>
      <protection locked="0"/>
    </xf>
    <xf numFmtId="0" fontId="30" fillId="0" borderId="0" xfId="0" applyFont="1" applyFill="1" applyBorder="1" applyAlignment="1" applyProtection="1">
      <alignment horizontal="center" vertical="top" wrapText="1" readingOrder="1"/>
      <protection locked="0"/>
    </xf>
    <xf numFmtId="0" fontId="30" fillId="0" borderId="0" xfId="0" applyFont="1" applyFill="1" applyAlignment="1" applyProtection="1">
      <alignment vertical="top" wrapText="1" readingOrder="1"/>
      <protection locked="0"/>
    </xf>
    <xf numFmtId="0" fontId="41" fillId="0" borderId="0" xfId="0" applyFont="1" applyFill="1" applyAlignment="1" applyProtection="1">
      <alignment vertical="top" wrapText="1" readingOrder="1"/>
      <protection locked="0"/>
    </xf>
    <xf numFmtId="0" fontId="30" fillId="0" borderId="0" xfId="0" applyFont="1" applyFill="1" applyAlignment="1" applyProtection="1">
      <alignment horizontal="center" vertical="top" wrapText="1" readingOrder="1"/>
      <protection locked="0"/>
    </xf>
    <xf numFmtId="0" fontId="30" fillId="34" borderId="0" xfId="0" applyFont="1" applyFill="1" applyBorder="1" applyAlignment="1" applyProtection="1">
      <alignment vertical="top" wrapText="1" readingOrder="1"/>
      <protection locked="0"/>
    </xf>
    <xf numFmtId="0" fontId="42" fillId="0" borderId="0" xfId="0" applyFont="1" applyFill="1" applyAlignment="1" applyProtection="1">
      <alignment vertical="top" wrapText="1" readingOrder="1"/>
      <protection locked="0"/>
    </xf>
    <xf numFmtId="0" fontId="42" fillId="0" borderId="0" xfId="0" applyFont="1" applyFill="1" applyAlignment="1" applyProtection="1">
      <alignment horizontal="left" vertical="top" wrapText="1" readingOrder="1"/>
      <protection locked="0"/>
    </xf>
    <xf numFmtId="0" fontId="42" fillId="0" borderId="0" xfId="0" applyFont="1" applyFill="1" applyAlignment="1" applyProtection="1">
      <alignment horizontal="center" vertical="top" wrapText="1" readingOrder="1"/>
      <protection locked="0"/>
    </xf>
    <xf numFmtId="0" fontId="34" fillId="0" borderId="0" xfId="34" applyFont="1" applyFill="1" applyAlignment="1" applyProtection="1">
      <alignment vertical="top" wrapText="1" readingOrder="1"/>
      <protection locked="0"/>
    </xf>
    <xf numFmtId="0" fontId="30" fillId="0" borderId="0" xfId="0" applyFont="1" applyFill="1" applyAlignment="1" applyProtection="1">
      <alignment horizontal="left" vertical="top" wrapText="1" readingOrder="1"/>
      <protection locked="0"/>
    </xf>
    <xf numFmtId="49" fontId="30" fillId="0" borderId="0" xfId="0" applyNumberFormat="1" applyFont="1" applyFill="1" applyAlignment="1" applyProtection="1">
      <alignment vertical="top" wrapText="1" readingOrder="1"/>
      <protection locked="0"/>
    </xf>
    <xf numFmtId="0" fontId="33" fillId="0" borderId="0" xfId="0" applyFont="1" applyFill="1" applyBorder="1" applyAlignment="1" applyProtection="1">
      <alignment vertical="top" wrapText="1" readingOrder="1"/>
      <protection locked="0"/>
    </xf>
    <xf numFmtId="0" fontId="33" fillId="0" borderId="0" xfId="0" applyFont="1" applyFill="1" applyAlignment="1" applyProtection="1">
      <alignment vertical="top" wrapText="1" readingOrder="1"/>
      <protection locked="0"/>
    </xf>
    <xf numFmtId="0" fontId="42" fillId="0" borderId="0" xfId="0" applyFont="1" applyFill="1" applyBorder="1" applyAlignment="1" applyProtection="1">
      <alignment vertical="top" wrapText="1" readingOrder="1"/>
      <protection locked="0"/>
    </xf>
    <xf numFmtId="0" fontId="42" fillId="0" borderId="0" xfId="0" applyFont="1" applyFill="1" applyBorder="1" applyAlignment="1" applyProtection="1">
      <alignment horizontal="left" vertical="top" wrapText="1" readingOrder="1"/>
      <protection locked="0"/>
    </xf>
    <xf numFmtId="0" fontId="42" fillId="0" borderId="0" xfId="0" applyFont="1" applyFill="1" applyBorder="1" applyAlignment="1" applyProtection="1">
      <alignment horizontal="center" vertical="top" wrapText="1" readingOrder="1"/>
      <protection locked="0"/>
    </xf>
    <xf numFmtId="0" fontId="34" fillId="34" borderId="0" xfId="34" applyFont="1" applyFill="1" applyAlignment="1" applyProtection="1">
      <alignment vertical="top" wrapText="1" readingOrder="1"/>
      <protection locked="0"/>
    </xf>
    <xf numFmtId="0" fontId="42" fillId="0" borderId="0" xfId="0" quotePrefix="1" applyFont="1" applyFill="1" applyAlignment="1" applyProtection="1">
      <alignment vertical="top" wrapText="1" readingOrder="1"/>
      <protection locked="0"/>
    </xf>
    <xf numFmtId="49" fontId="29" fillId="33" borderId="1" xfId="0" applyNumberFormat="1" applyFont="1" applyFill="1" applyBorder="1" applyAlignment="1" applyProtection="1">
      <alignment horizontal="center" vertical="top" wrapText="1" readingOrder="1"/>
      <protection locked="0"/>
    </xf>
    <xf numFmtId="49" fontId="42" fillId="0" borderId="0" xfId="0" applyNumberFormat="1" applyFont="1" applyFill="1" applyBorder="1" applyAlignment="1" applyProtection="1">
      <alignment horizontal="center" vertical="top" wrapText="1" readingOrder="1"/>
      <protection locked="0"/>
    </xf>
    <xf numFmtId="49" fontId="42" fillId="0" borderId="0" xfId="0" applyNumberFormat="1" applyFont="1" applyFill="1" applyBorder="1" applyAlignment="1" applyProtection="1">
      <alignment horizontal="left" vertical="top" wrapText="1" readingOrder="1"/>
      <protection locked="0"/>
    </xf>
    <xf numFmtId="49" fontId="42" fillId="0" borderId="0" xfId="0" applyNumberFormat="1" applyFont="1" applyFill="1" applyAlignment="1" applyProtection="1">
      <alignment horizontal="left" vertical="top" wrapText="1" readingOrder="1"/>
      <protection locked="0"/>
    </xf>
    <xf numFmtId="49" fontId="42" fillId="0" borderId="0" xfId="0" applyNumberFormat="1" applyFont="1" applyFill="1" applyBorder="1" applyAlignment="1" applyProtection="1">
      <alignment vertical="top" wrapText="1" readingOrder="1"/>
      <protection locked="0"/>
    </xf>
    <xf numFmtId="49" fontId="29" fillId="33" borderId="1" xfId="0" applyNumberFormat="1" applyFont="1" applyFill="1" applyBorder="1" applyAlignment="1" applyProtection="1">
      <alignment horizontal="left" vertical="top" wrapText="1" readingOrder="1"/>
      <protection locked="0"/>
    </xf>
    <xf numFmtId="0" fontId="42" fillId="0" borderId="0" xfId="0" quotePrefix="1" applyFont="1" applyFill="1" applyBorder="1" applyAlignment="1" applyProtection="1">
      <alignment vertical="top" wrapText="1" readingOrder="1"/>
      <protection locked="0"/>
    </xf>
    <xf numFmtId="16" fontId="30" fillId="0" borderId="0" xfId="0" quotePrefix="1" applyNumberFormat="1" applyFont="1" applyFill="1" applyAlignment="1" applyProtection="1">
      <alignment horizontal="center" vertical="top" wrapText="1" readingOrder="1"/>
      <protection locked="0"/>
    </xf>
    <xf numFmtId="0" fontId="30" fillId="0" borderId="0" xfId="0" applyFont="1" applyFill="1" applyBorder="1" applyAlignment="1" applyProtection="1">
      <alignment horizontal="left" vertical="top" wrapText="1" readingOrder="1"/>
      <protection locked="0"/>
    </xf>
    <xf numFmtId="49" fontId="42" fillId="0" borderId="0" xfId="0" applyNumberFormat="1" applyFont="1" applyFill="1" applyAlignment="1" applyProtection="1">
      <alignment horizontal="center" vertical="top" wrapText="1" readingOrder="1"/>
      <protection locked="0"/>
    </xf>
    <xf numFmtId="49" fontId="42" fillId="0" borderId="0" xfId="0" applyNumberFormat="1" applyFont="1" applyFill="1" applyAlignment="1" applyProtection="1">
      <alignment vertical="top" wrapText="1" readingOrder="1"/>
      <protection locked="0"/>
    </xf>
    <xf numFmtId="49" fontId="30" fillId="0" borderId="0" xfId="0" applyNumberFormat="1" applyFont="1" applyFill="1" applyBorder="1" applyAlignment="1" applyProtection="1">
      <alignment vertical="top" wrapText="1" readingOrder="1"/>
      <protection locked="0"/>
    </xf>
    <xf numFmtId="0" fontId="28" fillId="0" borderId="0" xfId="39" applyFont="1" applyAlignment="1"/>
    <xf numFmtId="0" fontId="28" fillId="0" borderId="0" xfId="39" applyFont="1" applyFill="1" applyAlignment="1"/>
    <xf numFmtId="0" fontId="32" fillId="37" borderId="0" xfId="0" applyFont="1" applyFill="1"/>
    <xf numFmtId="0" fontId="30" fillId="37" borderId="0" xfId="0" applyFont="1" applyFill="1"/>
    <xf numFmtId="0" fontId="28" fillId="0" borderId="0" xfId="0" applyFont="1" applyFill="1"/>
    <xf numFmtId="0" fontId="36" fillId="0" borderId="0" xfId="0" applyFont="1" applyFill="1"/>
    <xf numFmtId="0" fontId="41" fillId="0" borderId="0" xfId="0" applyFont="1" applyFill="1"/>
    <xf numFmtId="0" fontId="30" fillId="0" borderId="0" xfId="0" applyFont="1" applyAlignment="1">
      <alignment vertical="center" wrapText="1"/>
    </xf>
    <xf numFmtId="0" fontId="30" fillId="0" borderId="0" xfId="0" applyFont="1" applyFill="1" applyAlignment="1">
      <alignment vertical="center" wrapText="1"/>
    </xf>
    <xf numFmtId="0" fontId="32" fillId="35" borderId="0" xfId="0" applyFont="1" applyFill="1"/>
    <xf numFmtId="0" fontId="33" fillId="36" borderId="0" xfId="0" applyFont="1" applyFill="1"/>
    <xf numFmtId="0" fontId="30" fillId="0" borderId="0" xfId="39" applyFont="1" applyFill="1" applyAlignment="1" applyProtection="1">
      <alignment vertical="top" wrapText="1" readingOrder="1"/>
      <protection locked="0"/>
    </xf>
    <xf numFmtId="0" fontId="28" fillId="0" borderId="0" xfId="39" applyFont="1" applyFill="1" applyAlignment="1" applyProtection="1">
      <alignment vertical="top" wrapText="1" readingOrder="1"/>
      <protection locked="0"/>
    </xf>
    <xf numFmtId="0" fontId="30" fillId="0" borderId="0" xfId="39" applyFont="1" applyFill="1" applyAlignment="1">
      <alignment horizontal="left" vertical="center"/>
    </xf>
    <xf numFmtId="0" fontId="30" fillId="0" borderId="0" xfId="39" applyFont="1" applyFill="1" applyAlignment="1" applyProtection="1">
      <alignment horizontal="left" vertical="top" wrapText="1" readingOrder="1"/>
      <protection locked="0"/>
    </xf>
    <xf numFmtId="0" fontId="41" fillId="0" borderId="0" xfId="39" applyFont="1" applyFill="1" applyAlignment="1">
      <alignment vertical="center" wrapText="1"/>
    </xf>
    <xf numFmtId="0" fontId="41" fillId="0" borderId="0" xfId="39" applyFont="1" applyFill="1" applyAlignment="1" applyProtection="1">
      <alignment vertical="top" wrapText="1" readingOrder="1"/>
      <protection locked="0"/>
    </xf>
    <xf numFmtId="0" fontId="30" fillId="0" borderId="0" xfId="0" applyFont="1" applyFill="1" applyAlignment="1">
      <alignment horizontal="center" vertical="top"/>
    </xf>
    <xf numFmtId="0" fontId="30" fillId="0" borderId="0" xfId="0" applyFont="1" applyFill="1" applyAlignment="1" applyProtection="1">
      <alignment horizontal="center" vertical="center" wrapText="1" readingOrder="1"/>
      <protection locked="0"/>
    </xf>
    <xf numFmtId="164" fontId="35" fillId="0" borderId="0" xfId="0" applyNumberFormat="1" applyFont="1" applyFill="1" applyAlignment="1">
      <alignment horizontal="left"/>
    </xf>
    <xf numFmtId="0" fontId="30" fillId="0" borderId="11" xfId="0" applyFont="1" applyFill="1" applyBorder="1" applyAlignment="1"/>
    <xf numFmtId="0" fontId="34" fillId="0" borderId="11" xfId="34" applyFont="1" applyFill="1" applyBorder="1" applyAlignment="1"/>
    <xf numFmtId="0" fontId="37" fillId="0" borderId="0" xfId="0" applyFont="1" applyFill="1" applyAlignment="1">
      <alignment vertical="top" wrapText="1"/>
    </xf>
    <xf numFmtId="0" fontId="28" fillId="0" borderId="12" xfId="0" applyFont="1" applyFill="1" applyBorder="1" applyAlignment="1" applyProtection="1">
      <alignment wrapText="1" readingOrder="1"/>
      <protection locked="0"/>
    </xf>
    <xf numFmtId="0" fontId="29" fillId="33" borderId="13" xfId="0" applyFont="1" applyFill="1" applyBorder="1" applyAlignment="1" applyProtection="1">
      <alignment vertical="top" wrapText="1" readingOrder="1"/>
      <protection locked="0"/>
    </xf>
    <xf numFmtId="0" fontId="30" fillId="0" borderId="12" xfId="0" applyFont="1" applyFill="1" applyBorder="1" applyAlignment="1" applyProtection="1">
      <alignment vertical="top" wrapText="1" readingOrder="1"/>
      <protection locked="0"/>
    </xf>
    <xf numFmtId="0" fontId="42" fillId="0" borderId="12" xfId="0" applyFont="1" applyFill="1" applyBorder="1" applyAlignment="1" applyProtection="1">
      <alignment vertical="top" wrapText="1" readingOrder="1"/>
      <protection locked="0"/>
    </xf>
    <xf numFmtId="0" fontId="42" fillId="0" borderId="15" xfId="0" applyFont="1" applyFill="1" applyBorder="1" applyAlignment="1" applyProtection="1">
      <alignment vertical="top" wrapText="1" readingOrder="1"/>
      <protection locked="0"/>
    </xf>
    <xf numFmtId="0" fontId="41" fillId="0" borderId="15" xfId="0" applyFont="1" applyFill="1" applyBorder="1" applyAlignment="1" applyProtection="1">
      <alignment vertical="top" wrapText="1" readingOrder="1"/>
      <protection locked="0"/>
    </xf>
    <xf numFmtId="0" fontId="42" fillId="0" borderId="15" xfId="0" applyFont="1" applyFill="1" applyBorder="1" applyAlignment="1" applyProtection="1">
      <alignment horizontal="left" vertical="top" wrapText="1" readingOrder="1"/>
      <protection locked="0"/>
    </xf>
    <xf numFmtId="0" fontId="42" fillId="0" borderId="15" xfId="0" applyFont="1" applyFill="1" applyBorder="1" applyAlignment="1" applyProtection="1">
      <alignment horizontal="center" vertical="top" wrapText="1" readingOrder="1"/>
      <protection locked="0"/>
    </xf>
    <xf numFmtId="0" fontId="42" fillId="0" borderId="14" xfId="0" applyFont="1" applyFill="1" applyBorder="1" applyAlignment="1" applyProtection="1">
      <alignment vertical="top" wrapText="1" readingOrder="1"/>
      <protection locked="0"/>
    </xf>
    <xf numFmtId="0" fontId="45" fillId="0" borderId="0" xfId="0" applyFont="1" applyFill="1" applyBorder="1"/>
    <xf numFmtId="0" fontId="28" fillId="0" borderId="0" xfId="39" applyFont="1" applyFill="1" applyAlignment="1" applyProtection="1">
      <alignment horizontal="center" wrapText="1" readingOrder="1"/>
      <protection locked="0"/>
    </xf>
    <xf numFmtId="0" fontId="28" fillId="0" borderId="0" xfId="39" applyFont="1" applyFill="1" applyAlignment="1" applyProtection="1">
      <alignment horizontal="center" vertical="top" wrapText="1" readingOrder="1"/>
      <protection locked="0"/>
    </xf>
    <xf numFmtId="49" fontId="28" fillId="0" borderId="0" xfId="39" applyNumberFormat="1" applyFont="1" applyFill="1" applyAlignment="1" applyProtection="1">
      <alignment horizontal="center" vertical="top" wrapText="1" readingOrder="1"/>
      <protection locked="0"/>
    </xf>
    <xf numFmtId="0" fontId="47" fillId="0" borderId="0" xfId="39" applyFont="1" applyFill="1" applyAlignment="1">
      <alignment horizontal="center" vertical="center" wrapText="1"/>
    </xf>
    <xf numFmtId="0" fontId="48" fillId="0" borderId="0" xfId="0" applyFont="1" applyAlignment="1">
      <alignment horizontal="center" vertical="center"/>
    </xf>
    <xf numFmtId="0" fontId="28" fillId="0" borderId="0" xfId="0" applyFont="1" applyFill="1" applyAlignment="1">
      <alignment horizontal="center"/>
    </xf>
    <xf numFmtId="0" fontId="40" fillId="0" borderId="0" xfId="0" applyFont="1" applyAlignment="1">
      <alignment horizontal="left" vertical="center"/>
    </xf>
    <xf numFmtId="0" fontId="39" fillId="0" borderId="0" xfId="0" applyFont="1" applyAlignment="1">
      <alignment horizontal="left" vertical="center"/>
    </xf>
    <xf numFmtId="0" fontId="30" fillId="0" borderId="0" xfId="0" applyFont="1" applyAlignment="1">
      <alignment horizontal="left" vertical="center"/>
    </xf>
    <xf numFmtId="49" fontId="40" fillId="0" borderId="0" xfId="0" applyNumberFormat="1" applyFont="1" applyAlignment="1">
      <alignment horizontal="center" vertical="center"/>
    </xf>
    <xf numFmtId="49" fontId="30" fillId="0" borderId="0" xfId="0" applyNumberFormat="1" applyFont="1" applyFill="1" applyAlignment="1">
      <alignment horizontal="center" vertical="center"/>
    </xf>
    <xf numFmtId="0" fontId="30" fillId="0" borderId="0" xfId="0" applyFont="1" applyFill="1" applyAlignment="1">
      <alignment vertical="top" wrapText="1"/>
    </xf>
    <xf numFmtId="0" fontId="30" fillId="0" borderId="0" xfId="0" applyFont="1" applyAlignment="1">
      <alignment vertical="top" wrapText="1"/>
    </xf>
    <xf numFmtId="49" fontId="30" fillId="0" borderId="0" xfId="0" applyNumberFormat="1" applyFont="1" applyFill="1" applyAlignment="1">
      <alignment horizontal="center" vertical="top"/>
    </xf>
    <xf numFmtId="0" fontId="30" fillId="0" borderId="0" xfId="34" applyFont="1" applyFill="1"/>
    <xf numFmtId="0" fontId="46" fillId="0" borderId="0" xfId="39" applyFont="1" applyFill="1" applyAlignment="1" applyProtection="1">
      <alignment vertical="top" wrapText="1" readingOrder="1"/>
      <protection locked="0"/>
    </xf>
    <xf numFmtId="49" fontId="30" fillId="0" borderId="0" xfId="39" applyNumberFormat="1" applyFont="1" applyFill="1" applyAlignment="1">
      <alignment horizontal="center"/>
    </xf>
    <xf numFmtId="49" fontId="30" fillId="0" borderId="0" xfId="39" applyNumberFormat="1" applyFont="1" applyFill="1" applyAlignment="1">
      <alignment horizontal="left"/>
    </xf>
    <xf numFmtId="49" fontId="30" fillId="0" borderId="0" xfId="39" applyNumberFormat="1" applyFont="1" applyFill="1"/>
    <xf numFmtId="49" fontId="33" fillId="39" borderId="0" xfId="39" applyNumberFormat="1" applyFont="1" applyFill="1" applyAlignment="1">
      <alignment horizontal="center"/>
    </xf>
    <xf numFmtId="49" fontId="33" fillId="39" borderId="0" xfId="39" applyNumberFormat="1" applyFont="1" applyFill="1" applyAlignment="1">
      <alignment horizontal="left"/>
    </xf>
    <xf numFmtId="0" fontId="30" fillId="0" borderId="0" xfId="0" applyFont="1" applyBorder="1"/>
    <xf numFmtId="0" fontId="30" fillId="0" borderId="0" xfId="0" applyFont="1" applyFill="1" applyAlignment="1">
      <alignment horizontal="center" vertical="top" wrapText="1"/>
    </xf>
    <xf numFmtId="0" fontId="31" fillId="0" borderId="0" xfId="0" applyFont="1" applyFill="1" applyBorder="1" applyAlignment="1">
      <alignment horizontal="center"/>
    </xf>
    <xf numFmtId="0" fontId="45" fillId="0" borderId="0" xfId="0" applyFont="1" applyFill="1" applyBorder="1" applyAlignment="1">
      <alignment horizontal="center"/>
    </xf>
    <xf numFmtId="0" fontId="36" fillId="0" borderId="0" xfId="0" applyFont="1" applyFill="1" applyAlignment="1">
      <alignment horizontal="center"/>
    </xf>
    <xf numFmtId="0" fontId="29" fillId="33" borderId="16" xfId="0" applyFont="1" applyFill="1" applyBorder="1" applyAlignment="1" applyProtection="1">
      <alignment vertical="top" wrapText="1" readingOrder="1"/>
      <protection locked="0"/>
    </xf>
    <xf numFmtId="0" fontId="29" fillId="33" borderId="16" xfId="0" applyFont="1" applyFill="1" applyBorder="1" applyAlignment="1" applyProtection="1">
      <alignment horizontal="center" vertical="top" wrapText="1" readingOrder="1"/>
      <protection locked="0"/>
    </xf>
    <xf numFmtId="0" fontId="29" fillId="33" borderId="17" xfId="0" applyFont="1" applyFill="1" applyBorder="1" applyAlignment="1" applyProtection="1">
      <alignment vertical="top" wrapText="1" readingOrder="1"/>
      <protection locked="0"/>
    </xf>
    <xf numFmtId="0" fontId="37" fillId="0" borderId="0" xfId="0" applyFont="1" applyFill="1"/>
    <xf numFmtId="0" fontId="36" fillId="0" borderId="0" xfId="0" applyFont="1" applyFill="1" applyAlignment="1" applyProtection="1">
      <alignment vertical="top" wrapText="1" readingOrder="1"/>
      <protection locked="0"/>
    </xf>
    <xf numFmtId="0" fontId="33" fillId="34" borderId="0" xfId="39" applyFont="1" applyFill="1" applyAlignment="1" applyProtection="1">
      <alignment vertical="top" wrapText="1" readingOrder="1"/>
      <protection locked="0"/>
    </xf>
    <xf numFmtId="0" fontId="30" fillId="34" borderId="0" xfId="0" applyFont="1" applyFill="1" applyAlignment="1" applyProtection="1">
      <alignment vertical="top" wrapText="1" readingOrder="1"/>
      <protection locked="0"/>
    </xf>
    <xf numFmtId="49" fontId="32" fillId="38" borderId="0" xfId="0" applyNumberFormat="1" applyFont="1" applyFill="1" applyBorder="1" applyAlignment="1" applyProtection="1">
      <alignment horizontal="center" vertical="top" wrapText="1" readingOrder="1"/>
      <protection locked="0"/>
    </xf>
    <xf numFmtId="0" fontId="32" fillId="38" borderId="0" xfId="0" applyFont="1" applyFill="1" applyAlignment="1" applyProtection="1">
      <alignment vertical="top" wrapText="1" readingOrder="1"/>
      <protection locked="0"/>
    </xf>
    <xf numFmtId="0" fontId="32" fillId="38" borderId="0" xfId="0" applyFont="1" applyFill="1" applyAlignment="1" applyProtection="1">
      <alignment horizontal="left" vertical="top" wrapText="1" readingOrder="1"/>
      <protection locked="0"/>
    </xf>
    <xf numFmtId="0" fontId="32" fillId="38" borderId="0" xfId="0" applyFont="1" applyFill="1" applyAlignment="1" applyProtection="1">
      <alignment horizontal="center" vertical="top" wrapText="1" readingOrder="1"/>
      <protection locked="0"/>
    </xf>
    <xf numFmtId="0" fontId="49" fillId="38" borderId="0" xfId="34" applyFont="1" applyFill="1" applyAlignment="1" applyProtection="1">
      <alignment vertical="top" wrapText="1" readingOrder="1"/>
      <protection locked="0"/>
    </xf>
    <xf numFmtId="0" fontId="32" fillId="38" borderId="12" xfId="0" applyFont="1" applyFill="1" applyBorder="1" applyAlignment="1" applyProtection="1">
      <alignment vertical="top" wrapText="1" readingOrder="1"/>
      <protection locked="0"/>
    </xf>
    <xf numFmtId="0" fontId="30" fillId="0" borderId="0" xfId="0" applyFont="1" applyFill="1" applyAlignment="1">
      <alignment vertical="center"/>
    </xf>
    <xf numFmtId="0" fontId="34" fillId="0" borderId="0" xfId="34" applyFont="1" applyFill="1" applyAlignment="1" applyProtection="1">
      <alignment horizontal="left" vertical="center"/>
      <protection locked="0"/>
    </xf>
    <xf numFmtId="0" fontId="30" fillId="0" borderId="0" xfId="0" applyFont="1" applyFill="1" applyAlignment="1">
      <alignment horizontal="left" vertical="center"/>
    </xf>
    <xf numFmtId="0" fontId="33" fillId="0" borderId="0" xfId="0" applyFont="1" applyFill="1" applyAlignment="1">
      <alignment horizontal="left" vertical="center"/>
    </xf>
    <xf numFmtId="0" fontId="28" fillId="0" borderId="0" xfId="39" applyFont="1" applyFill="1" applyAlignment="1" applyProtection="1">
      <alignment vertical="center" wrapText="1" readingOrder="1"/>
      <protection locked="0"/>
    </xf>
    <xf numFmtId="0" fontId="30" fillId="0" borderId="0" xfId="39" applyFont="1" applyFill="1" applyAlignment="1" applyProtection="1">
      <alignment vertical="center" wrapText="1" readingOrder="1"/>
      <protection locked="0"/>
    </xf>
    <xf numFmtId="0" fontId="46" fillId="0" borderId="0" xfId="39" applyFont="1" applyFill="1" applyAlignment="1" applyProtection="1">
      <alignment vertical="center" wrapText="1" readingOrder="1"/>
      <protection locked="0"/>
    </xf>
    <xf numFmtId="0" fontId="30" fillId="0" borderId="0" xfId="39" applyFont="1" applyFill="1" applyAlignment="1" applyProtection="1">
      <alignment horizontal="left" vertical="center" wrapText="1" readingOrder="1"/>
      <protection locked="0"/>
    </xf>
    <xf numFmtId="0" fontId="41" fillId="0" borderId="0" xfId="39" applyFont="1" applyFill="1" applyAlignment="1" applyProtection="1">
      <alignment vertical="center" wrapText="1" readingOrder="1"/>
      <protection locked="0"/>
    </xf>
    <xf numFmtId="0" fontId="30" fillId="0" borderId="0" xfId="0" applyFont="1" applyAlignment="1">
      <alignment vertical="center"/>
    </xf>
    <xf numFmtId="0" fontId="30" fillId="0" borderId="0" xfId="200" applyFont="1" applyFill="1" applyBorder="1" applyAlignment="1" applyProtection="1">
      <alignment horizontal="left" vertical="top" wrapText="1"/>
      <protection locked="0"/>
    </xf>
    <xf numFmtId="0" fontId="51" fillId="0" borderId="0" xfId="201" applyFont="1" applyBorder="1" applyProtection="1"/>
    <xf numFmtId="0" fontId="41" fillId="0" borderId="0" xfId="0" applyFont="1" applyBorder="1"/>
    <xf numFmtId="0" fontId="30" fillId="0" borderId="0" xfId="201" applyFont="1" applyBorder="1" applyAlignment="1" applyProtection="1">
      <alignment horizontal="left"/>
    </xf>
    <xf numFmtId="0" fontId="51" fillId="0" borderId="0" xfId="201" applyFont="1" applyBorder="1" applyAlignment="1" applyProtection="1">
      <alignment horizontal="left"/>
    </xf>
    <xf numFmtId="0" fontId="30" fillId="0" borderId="0" xfId="201" applyFont="1" applyBorder="1"/>
    <xf numFmtId="0" fontId="28" fillId="0" borderId="0" xfId="201" applyFont="1" applyBorder="1" applyAlignment="1" applyProtection="1">
      <alignment horizontal="left"/>
    </xf>
    <xf numFmtId="0" fontId="28" fillId="0" borderId="11" xfId="0" applyFont="1" applyFill="1" applyBorder="1" applyAlignment="1"/>
    <xf numFmtId="49" fontId="28" fillId="0" borderId="0" xfId="39" applyNumberFormat="1" applyFont="1" applyFill="1" applyAlignment="1">
      <alignment horizontal="center"/>
    </xf>
    <xf numFmtId="49" fontId="30" fillId="0" borderId="0" xfId="0" applyNumberFormat="1" applyFont="1" applyFill="1"/>
    <xf numFmtId="49" fontId="30" fillId="34" borderId="0" xfId="39" applyNumberFormat="1" applyFont="1" applyFill="1" applyAlignment="1">
      <alignment horizontal="left"/>
    </xf>
    <xf numFmtId="49" fontId="30" fillId="34" borderId="0" xfId="39" applyNumberFormat="1" applyFont="1" applyFill="1" applyAlignment="1">
      <alignment horizontal="center"/>
    </xf>
    <xf numFmtId="0" fontId="29" fillId="0" borderId="11" xfId="0" applyFont="1" applyFill="1" applyBorder="1" applyAlignment="1" applyProtection="1">
      <alignment vertical="top"/>
      <protection locked="0"/>
    </xf>
    <xf numFmtId="0" fontId="36" fillId="0" borderId="12" xfId="0" applyFont="1" applyFill="1" applyBorder="1" applyAlignment="1" applyProtection="1">
      <alignment vertical="top" wrapText="1" readingOrder="1"/>
      <protection locked="0"/>
    </xf>
    <xf numFmtId="49" fontId="32" fillId="38" borderId="0" xfId="0" applyNumberFormat="1" applyFont="1" applyFill="1" applyBorder="1" applyAlignment="1" applyProtection="1">
      <alignment horizontal="left" vertical="top" wrapText="1" readingOrder="1"/>
      <protection locked="0"/>
    </xf>
    <xf numFmtId="0" fontId="29" fillId="0" borderId="0" xfId="39" applyFont="1" applyFill="1" applyAlignment="1" applyProtection="1">
      <alignment vertical="top" wrapText="1"/>
      <protection locked="0"/>
    </xf>
    <xf numFmtId="0" fontId="30" fillId="34" borderId="11" xfId="0" applyFont="1" applyFill="1" applyBorder="1"/>
    <xf numFmtId="0" fontId="42" fillId="0" borderId="35" xfId="0" applyFont="1" applyFill="1" applyBorder="1" applyAlignment="1" applyProtection="1">
      <alignment vertical="top" wrapText="1" readingOrder="1"/>
      <protection locked="0"/>
    </xf>
    <xf numFmtId="0" fontId="30" fillId="0" borderId="37" xfId="0" applyFont="1" applyFill="1" applyBorder="1" applyAlignment="1" applyProtection="1">
      <alignment vertical="top" wrapText="1" readingOrder="1"/>
      <protection locked="0"/>
    </xf>
    <xf numFmtId="49" fontId="42" fillId="0" borderId="37" xfId="0" applyNumberFormat="1" applyFont="1" applyFill="1" applyBorder="1" applyAlignment="1" applyProtection="1">
      <alignment horizontal="center" vertical="top" wrapText="1" readingOrder="1"/>
      <protection locked="0"/>
    </xf>
    <xf numFmtId="0" fontId="42" fillId="0" borderId="37" xfId="0" applyFont="1" applyFill="1" applyBorder="1" applyAlignment="1" applyProtection="1">
      <alignment vertical="top" wrapText="1" readingOrder="1"/>
      <protection locked="0"/>
    </xf>
    <xf numFmtId="49" fontId="42" fillId="0" borderId="37" xfId="0" applyNumberFormat="1" applyFont="1" applyFill="1" applyBorder="1" applyAlignment="1" applyProtection="1">
      <alignment horizontal="left" vertical="top" wrapText="1" readingOrder="1"/>
      <protection locked="0"/>
    </xf>
    <xf numFmtId="0" fontId="41" fillId="0" borderId="37" xfId="0" applyFont="1" applyBorder="1"/>
    <xf numFmtId="0" fontId="30" fillId="0" borderId="37" xfId="0" applyFont="1" applyBorder="1"/>
    <xf numFmtId="0" fontId="42" fillId="0" borderId="37" xfId="0" applyFont="1" applyFill="1" applyBorder="1" applyAlignment="1" applyProtection="1">
      <alignment horizontal="left" vertical="top" wrapText="1" readingOrder="1"/>
      <protection locked="0"/>
    </xf>
    <xf numFmtId="0" fontId="30" fillId="0" borderId="37" xfId="0" applyFont="1" applyBorder="1" applyAlignment="1">
      <alignment horizontal="left" vertical="top" wrapText="1"/>
    </xf>
    <xf numFmtId="0" fontId="41" fillId="0" borderId="37" xfId="0" applyFont="1" applyBorder="1" applyAlignment="1">
      <alignment horizontal="left" readingOrder="1"/>
    </xf>
    <xf numFmtId="0" fontId="41" fillId="0" borderId="37" xfId="0" applyFont="1" applyBorder="1" applyAlignment="1">
      <alignment horizontal="center"/>
    </xf>
    <xf numFmtId="0" fontId="41" fillId="0" borderId="37" xfId="0" applyFont="1" applyBorder="1" applyAlignment="1">
      <alignment horizontal="left"/>
    </xf>
    <xf numFmtId="0" fontId="41" fillId="0" borderId="36" xfId="0" applyFont="1" applyBorder="1" applyAlignment="1">
      <alignment horizontal="left" vertical="center"/>
    </xf>
    <xf numFmtId="0" fontId="41" fillId="0" borderId="0" xfId="0" applyFont="1" applyBorder="1" applyAlignment="1">
      <alignment horizontal="left" readingOrder="1"/>
    </xf>
    <xf numFmtId="0" fontId="41" fillId="0" borderId="0" xfId="0" applyFont="1" applyBorder="1" applyAlignment="1">
      <alignment horizontal="center"/>
    </xf>
    <xf numFmtId="0" fontId="41" fillId="0" borderId="0" xfId="0" applyFont="1" applyBorder="1" applyAlignment="1">
      <alignment horizontal="left"/>
    </xf>
    <xf numFmtId="0" fontId="41" fillId="0" borderId="12" xfId="0" applyFont="1" applyBorder="1" applyAlignment="1">
      <alignment horizontal="left" vertical="center"/>
    </xf>
    <xf numFmtId="0" fontId="41" fillId="0" borderId="12" xfId="0" applyFont="1" applyBorder="1" applyAlignment="1">
      <alignment horizontal="left" vertical="center" wrapText="1"/>
    </xf>
    <xf numFmtId="0" fontId="30" fillId="0" borderId="0" xfId="0" applyFont="1" applyBorder="1" applyAlignment="1">
      <alignment horizontal="left" vertical="top" wrapText="1"/>
    </xf>
    <xf numFmtId="0" fontId="41" fillId="0" borderId="0" xfId="0" applyFont="1" applyFill="1" applyBorder="1" applyAlignment="1">
      <alignment horizontal="left"/>
    </xf>
    <xf numFmtId="0" fontId="30" fillId="0" borderId="0" xfId="0" applyFont="1" applyFill="1" applyBorder="1" applyAlignment="1">
      <alignment horizontal="left" vertical="top" wrapText="1"/>
    </xf>
    <xf numFmtId="0" fontId="30" fillId="0" borderId="15" xfId="0" applyFont="1" applyFill="1" applyBorder="1" applyAlignment="1" applyProtection="1">
      <alignment vertical="top" wrapText="1" readingOrder="1"/>
      <protection locked="0"/>
    </xf>
    <xf numFmtId="49" fontId="42" fillId="0" borderId="15" xfId="0" applyNumberFormat="1" applyFont="1" applyFill="1" applyBorder="1" applyAlignment="1" applyProtection="1">
      <alignment horizontal="center" vertical="top" wrapText="1" readingOrder="1"/>
      <protection locked="0"/>
    </xf>
    <xf numFmtId="49" fontId="42" fillId="0" borderId="15" xfId="0" applyNumberFormat="1" applyFont="1" applyFill="1" applyBorder="1" applyAlignment="1" applyProtection="1">
      <alignment horizontal="left" vertical="top" wrapText="1" readingOrder="1"/>
      <protection locked="0"/>
    </xf>
    <xf numFmtId="0" fontId="41" fillId="0" borderId="15" xfId="0" applyFont="1" applyBorder="1"/>
    <xf numFmtId="0" fontId="30" fillId="0" borderId="15" xfId="0" applyFont="1" applyBorder="1"/>
    <xf numFmtId="0" fontId="30" fillId="0" borderId="15" xfId="0" applyFont="1" applyBorder="1" applyAlignment="1">
      <alignment horizontal="left" vertical="top" wrapText="1"/>
    </xf>
    <xf numFmtId="0" fontId="41" fillId="0" borderId="15" xfId="0" applyFont="1" applyBorder="1" applyAlignment="1">
      <alignment horizontal="left" readingOrder="1"/>
    </xf>
    <xf numFmtId="0" fontId="41" fillId="0" borderId="15" xfId="0" applyFont="1" applyBorder="1" applyAlignment="1">
      <alignment horizontal="center"/>
    </xf>
    <xf numFmtId="1" fontId="41" fillId="0" borderId="15" xfId="0" applyNumberFormat="1" applyFont="1" applyBorder="1" applyAlignment="1">
      <alignment horizontal="left"/>
    </xf>
    <xf numFmtId="0" fontId="41" fillId="0" borderId="15" xfId="0" applyFont="1" applyFill="1" applyBorder="1" applyAlignment="1">
      <alignment horizontal="left"/>
    </xf>
    <xf numFmtId="0" fontId="41" fillId="0" borderId="14" xfId="0" applyFont="1" applyBorder="1" applyAlignment="1">
      <alignment horizontal="left" vertical="center"/>
    </xf>
    <xf numFmtId="0" fontId="30" fillId="0" borderId="0" xfId="0" applyFont="1" applyFill="1" applyAlignment="1">
      <alignment wrapText="1"/>
    </xf>
    <xf numFmtId="0" fontId="53" fillId="0" borderId="0" xfId="0" applyFont="1" applyFill="1"/>
    <xf numFmtId="0" fontId="46" fillId="0" borderId="0" xfId="0" applyFont="1" applyFill="1"/>
    <xf numFmtId="0" fontId="33" fillId="39" borderId="0" xfId="39" applyFont="1" applyFill="1" applyAlignment="1" applyProtection="1">
      <alignment vertical="top" wrapText="1" readingOrder="1"/>
      <protection locked="0"/>
    </xf>
    <xf numFmtId="0" fontId="44" fillId="39" borderId="0" xfId="39" applyFont="1" applyFill="1" applyAlignment="1" applyProtection="1">
      <alignment horizontal="center" vertical="top" wrapText="1" readingOrder="1"/>
      <protection locked="0"/>
    </xf>
    <xf numFmtId="0" fontId="44" fillId="39" borderId="0" xfId="201" applyFont="1" applyFill="1" applyBorder="1" applyAlignment="1" applyProtection="1">
      <alignment horizontal="left"/>
    </xf>
    <xf numFmtId="0" fontId="30" fillId="34" borderId="0" xfId="0" applyFont="1" applyFill="1" applyAlignment="1">
      <alignment horizontal="left" vertical="center"/>
    </xf>
    <xf numFmtId="0" fontId="34" fillId="34" borderId="0" xfId="34" applyFont="1" applyFill="1" applyAlignment="1" applyProtection="1">
      <alignment horizontal="left" vertical="center"/>
      <protection locked="0"/>
    </xf>
    <xf numFmtId="0" fontId="33" fillId="39" borderId="0" xfId="39" applyFont="1" applyFill="1" applyAlignment="1" applyProtection="1">
      <alignment horizontal="left" vertical="top" wrapText="1" readingOrder="1"/>
      <protection locked="0"/>
    </xf>
    <xf numFmtId="0" fontId="29" fillId="0" borderId="11" xfId="0" applyFont="1" applyFill="1" applyBorder="1" applyAlignment="1" applyProtection="1">
      <alignment horizontal="center" vertical="top"/>
      <protection locked="0"/>
    </xf>
    <xf numFmtId="0" fontId="30" fillId="0" borderId="11" xfId="0" applyFont="1" applyFill="1" applyBorder="1" applyAlignment="1">
      <alignment horizontal="center"/>
    </xf>
    <xf numFmtId="0" fontId="30" fillId="34" borderId="11" xfId="0" applyFont="1" applyFill="1" applyBorder="1" applyAlignment="1">
      <alignment horizontal="center"/>
    </xf>
    <xf numFmtId="0" fontId="30" fillId="34" borderId="0" xfId="39" applyFont="1" applyFill="1" applyAlignment="1" applyProtection="1">
      <alignment vertical="top" wrapText="1" readingOrder="1"/>
      <protection locked="0"/>
    </xf>
    <xf numFmtId="0" fontId="30" fillId="34" borderId="0" xfId="39" applyFont="1" applyFill="1" applyAlignment="1" applyProtection="1">
      <alignment vertical="center" wrapText="1" readingOrder="1"/>
      <protection locked="0"/>
    </xf>
    <xf numFmtId="49" fontId="28" fillId="33" borderId="0" xfId="0" applyNumberFormat="1" applyFont="1" applyFill="1"/>
    <xf numFmtId="0" fontId="28" fillId="33" borderId="0" xfId="0" applyFont="1" applyFill="1"/>
    <xf numFmtId="0" fontId="28" fillId="0" borderId="11" xfId="0" applyFont="1" applyBorder="1"/>
    <xf numFmtId="0" fontId="30" fillId="0" borderId="0" xfId="0" applyFont="1" applyAlignment="1">
      <alignment horizontal="center"/>
    </xf>
    <xf numFmtId="0" fontId="44" fillId="39" borderId="11" xfId="0" applyFont="1" applyFill="1" applyBorder="1"/>
    <xf numFmtId="0" fontId="35" fillId="38" borderId="11" xfId="0" applyFont="1" applyFill="1" applyBorder="1"/>
    <xf numFmtId="0" fontId="28" fillId="34" borderId="11" xfId="0" applyFont="1" applyFill="1" applyBorder="1"/>
    <xf numFmtId="0" fontId="30" fillId="0" borderId="18" xfId="0" applyFont="1" applyFill="1" applyBorder="1" applyAlignment="1">
      <alignment vertical="top" wrapText="1"/>
    </xf>
    <xf numFmtId="0" fontId="30" fillId="0" borderId="19" xfId="0" applyFont="1" applyFill="1" applyBorder="1" applyAlignment="1">
      <alignment horizontal="center" wrapText="1"/>
    </xf>
    <xf numFmtId="0" fontId="30" fillId="0" borderId="19" xfId="0" applyFont="1" applyFill="1" applyBorder="1" applyAlignment="1">
      <alignment horizontal="center"/>
    </xf>
    <xf numFmtId="0" fontId="30" fillId="0" borderId="19" xfId="0" applyFont="1" applyFill="1" applyBorder="1"/>
    <xf numFmtId="0" fontId="30" fillId="0" borderId="20" xfId="0" applyFont="1" applyFill="1" applyBorder="1"/>
    <xf numFmtId="0" fontId="30" fillId="0" borderId="21" xfId="0" applyFont="1" applyFill="1" applyBorder="1" applyAlignment="1">
      <alignment vertical="top" wrapText="1"/>
    </xf>
    <xf numFmtId="0" fontId="30" fillId="0" borderId="22" xfId="0" applyFont="1" applyFill="1" applyBorder="1" applyAlignment="1">
      <alignment horizontal="center" wrapText="1"/>
    </xf>
    <xf numFmtId="0" fontId="30" fillId="0" borderId="22" xfId="0" applyFont="1" applyFill="1" applyBorder="1" applyAlignment="1">
      <alignment horizontal="center"/>
    </xf>
    <xf numFmtId="0" fontId="30" fillId="0" borderId="22" xfId="0" applyFont="1" applyFill="1" applyBorder="1"/>
    <xf numFmtId="0" fontId="30" fillId="0" borderId="23" xfId="0" applyFont="1" applyFill="1" applyBorder="1"/>
    <xf numFmtId="0" fontId="30" fillId="0" borderId="24" xfId="0" applyFont="1" applyFill="1" applyBorder="1" applyAlignment="1">
      <alignment vertical="top" wrapText="1"/>
    </xf>
    <xf numFmtId="0" fontId="30" fillId="0" borderId="25" xfId="0" applyFont="1" applyFill="1" applyBorder="1" applyAlignment="1">
      <alignment horizontal="center" wrapText="1"/>
    </xf>
    <xf numFmtId="0" fontId="30" fillId="0" borderId="25" xfId="0" applyFont="1" applyFill="1" applyBorder="1" applyAlignment="1">
      <alignment horizontal="center"/>
    </xf>
    <xf numFmtId="0" fontId="30" fillId="0" borderId="25" xfId="0" applyFont="1" applyFill="1" applyBorder="1"/>
    <xf numFmtId="0" fontId="30" fillId="0" borderId="26" xfId="0" applyFont="1" applyFill="1" applyBorder="1"/>
    <xf numFmtId="0" fontId="30" fillId="0" borderId="27" xfId="0" applyFont="1" applyFill="1" applyBorder="1" applyAlignment="1">
      <alignment horizontal="left" vertical="top" wrapText="1"/>
    </xf>
    <xf numFmtId="0" fontId="30" fillId="0" borderId="28" xfId="0" applyFont="1" applyFill="1" applyBorder="1" applyAlignment="1">
      <alignment horizontal="center" wrapText="1"/>
    </xf>
    <xf numFmtId="0" fontId="30" fillId="0" borderId="28" xfId="0" applyFont="1" applyFill="1" applyBorder="1" applyAlignment="1">
      <alignment horizontal="center"/>
    </xf>
    <xf numFmtId="0" fontId="30" fillId="0" borderId="28" xfId="0" applyFont="1" applyFill="1" applyBorder="1"/>
    <xf numFmtId="0" fontId="30" fillId="0" borderId="32" xfId="0" applyFont="1" applyFill="1" applyBorder="1"/>
    <xf numFmtId="0" fontId="30" fillId="0" borderId="29" xfId="0" applyFont="1" applyFill="1" applyBorder="1" applyAlignment="1">
      <alignment horizontal="left" vertical="top" wrapText="1"/>
    </xf>
    <xf numFmtId="0" fontId="34" fillId="0" borderId="0" xfId="34" applyFont="1" applyFill="1"/>
    <xf numFmtId="0" fontId="36" fillId="0" borderId="29" xfId="0" applyFont="1" applyFill="1" applyBorder="1" applyAlignment="1">
      <alignment horizontal="left" vertical="top" wrapText="1"/>
    </xf>
    <xf numFmtId="0" fontId="36" fillId="0" borderId="22" xfId="0" applyFont="1" applyFill="1" applyBorder="1" applyAlignment="1">
      <alignment horizontal="center" wrapText="1"/>
    </xf>
    <xf numFmtId="0" fontId="36" fillId="0" borderId="22" xfId="0" applyFont="1" applyFill="1" applyBorder="1" applyAlignment="1">
      <alignment horizontal="center"/>
    </xf>
    <xf numFmtId="0" fontId="36" fillId="0" borderId="22" xfId="0" applyFont="1" applyFill="1" applyBorder="1"/>
    <xf numFmtId="0" fontId="36" fillId="0" borderId="23" xfId="0" applyFont="1" applyFill="1" applyBorder="1"/>
    <xf numFmtId="0" fontId="30" fillId="0" borderId="27" xfId="0" applyFont="1" applyBorder="1" applyAlignment="1">
      <alignment horizontal="left" vertical="top" wrapText="1"/>
    </xf>
    <xf numFmtId="0" fontId="30" fillId="0" borderId="28" xfId="0" applyFont="1" applyBorder="1" applyAlignment="1">
      <alignment horizontal="center"/>
    </xf>
    <xf numFmtId="0" fontId="30" fillId="0" borderId="32" xfId="0" applyFont="1" applyBorder="1"/>
    <xf numFmtId="0" fontId="30" fillId="0" borderId="29" xfId="0" applyFont="1" applyBorder="1" applyAlignment="1">
      <alignment horizontal="left" vertical="top" wrapText="1"/>
    </xf>
    <xf numFmtId="0" fontId="30" fillId="0" borderId="22" xfId="0" applyFont="1" applyBorder="1" applyAlignment="1">
      <alignment horizontal="center"/>
    </xf>
    <xf numFmtId="0" fontId="30" fillId="0" borderId="23" xfId="0" applyFont="1" applyBorder="1"/>
    <xf numFmtId="0" fontId="30" fillId="0" borderId="30" xfId="0" applyFont="1" applyBorder="1" applyAlignment="1">
      <alignment horizontal="left" vertical="top" wrapText="1"/>
    </xf>
    <xf numFmtId="0" fontId="30" fillId="0" borderId="31" xfId="0" applyFont="1" applyFill="1" applyBorder="1" applyAlignment="1">
      <alignment horizontal="center" wrapText="1"/>
    </xf>
    <xf numFmtId="0" fontId="30" fillId="0" borderId="31" xfId="0" applyFont="1" applyBorder="1" applyAlignment="1">
      <alignment horizontal="center"/>
    </xf>
    <xf numFmtId="0" fontId="30" fillId="0" borderId="33" xfId="0" applyFont="1" applyBorder="1"/>
    <xf numFmtId="0" fontId="34" fillId="0" borderId="37" xfId="34" applyFont="1" applyFill="1" applyBorder="1" applyAlignment="1">
      <alignment horizontal="left"/>
    </xf>
    <xf numFmtId="0" fontId="34" fillId="0" borderId="0" xfId="34" applyFont="1" applyFill="1" applyBorder="1" applyAlignment="1">
      <alignment horizontal="left"/>
    </xf>
    <xf numFmtId="0" fontId="34" fillId="0" borderId="0" xfId="34" applyFont="1" applyFill="1" applyBorder="1"/>
    <xf numFmtId="0" fontId="46" fillId="0" borderId="0" xfId="39" applyFont="1" applyFill="1" applyAlignment="1" applyProtection="1">
      <alignment horizontal="center" wrapText="1" readingOrder="1"/>
      <protection locked="0"/>
    </xf>
    <xf numFmtId="0" fontId="33" fillId="0" borderId="0" xfId="0" applyFont="1" applyBorder="1"/>
    <xf numFmtId="0" fontId="30" fillId="0" borderId="0" xfId="201" applyFont="1" applyBorder="1" applyProtection="1"/>
    <xf numFmtId="0" fontId="30" fillId="0" borderId="0" xfId="201" applyFont="1" applyBorder="1" applyAlignment="1" applyProtection="1">
      <alignment horizontal="right"/>
    </xf>
    <xf numFmtId="0" fontId="51" fillId="0" borderId="0" xfId="201" applyFont="1" applyBorder="1" applyAlignment="1" applyProtection="1">
      <alignment horizontal="right"/>
    </xf>
    <xf numFmtId="0" fontId="51" fillId="0" borderId="0" xfId="201" applyFont="1" applyBorder="1" applyAlignment="1" applyProtection="1"/>
    <xf numFmtId="0" fontId="29" fillId="33" borderId="11" xfId="0" applyFont="1" applyFill="1" applyBorder="1" applyAlignment="1" applyProtection="1">
      <alignment vertical="top" wrapText="1" readingOrder="1"/>
      <protection locked="0"/>
    </xf>
    <xf numFmtId="164" fontId="28" fillId="33" borderId="11" xfId="0" applyNumberFormat="1" applyFont="1" applyFill="1" applyBorder="1" applyAlignment="1">
      <alignment horizontal="left"/>
    </xf>
    <xf numFmtId="49" fontId="54" fillId="0" borderId="11" xfId="0" applyNumberFormat="1" applyFont="1" applyBorder="1"/>
    <xf numFmtId="49" fontId="30" fillId="34" borderId="0" xfId="0" applyNumberFormat="1" applyFont="1" applyFill="1" applyAlignment="1">
      <alignment horizontal="center" vertical="top"/>
    </xf>
    <xf numFmtId="49" fontId="30" fillId="34" borderId="0" xfId="0" applyNumberFormat="1" applyFont="1" applyFill="1" applyBorder="1" applyAlignment="1">
      <alignment horizontal="left" vertical="top"/>
    </xf>
    <xf numFmtId="49" fontId="55" fillId="0" borderId="0" xfId="0" applyNumberFormat="1" applyFont="1" applyAlignment="1">
      <alignment horizontal="center" vertical="center"/>
    </xf>
    <xf numFmtId="49" fontId="30" fillId="0" borderId="0" xfId="0" applyNumberFormat="1" applyFont="1" applyFill="1" applyBorder="1" applyAlignment="1">
      <alignment horizontal="left" vertical="top"/>
    </xf>
    <xf numFmtId="49" fontId="33" fillId="39" borderId="0" xfId="0" applyNumberFormat="1" applyFont="1" applyFill="1" applyAlignment="1">
      <alignment horizontal="center" vertical="top"/>
    </xf>
    <xf numFmtId="49" fontId="33" fillId="39" borderId="0" xfId="0" applyNumberFormat="1" applyFont="1" applyFill="1" applyBorder="1" applyAlignment="1">
      <alignment horizontal="left" vertical="top"/>
    </xf>
    <xf numFmtId="0" fontId="30" fillId="34" borderId="0" xfId="0" applyFont="1" applyFill="1" applyBorder="1" applyAlignment="1">
      <alignment horizontal="left" vertical="top"/>
    </xf>
    <xf numFmtId="49" fontId="59" fillId="0" borderId="0" xfId="0" applyNumberFormat="1" applyFont="1" applyFill="1" applyBorder="1" applyAlignment="1">
      <alignment horizontal="center" vertical="top" wrapText="1"/>
    </xf>
    <xf numFmtId="49" fontId="59" fillId="0" borderId="0" xfId="0" applyNumberFormat="1" applyFont="1" applyFill="1" applyBorder="1" applyAlignment="1">
      <alignment horizontal="left" vertical="top" wrapText="1"/>
    </xf>
    <xf numFmtId="49" fontId="55" fillId="0" borderId="0" xfId="0" applyNumberFormat="1" applyFont="1" applyFill="1" applyBorder="1" applyAlignment="1">
      <alignment horizontal="center" vertical="center" wrapText="1"/>
    </xf>
    <xf numFmtId="0" fontId="59" fillId="0" borderId="0" xfId="0" applyFont="1" applyFill="1" applyBorder="1" applyAlignment="1">
      <alignment horizontal="left" vertical="top"/>
    </xf>
    <xf numFmtId="49" fontId="59" fillId="0" borderId="0" xfId="0" applyNumberFormat="1" applyFont="1" applyFill="1" applyAlignment="1">
      <alignment horizontal="center" vertical="top"/>
    </xf>
    <xf numFmtId="0" fontId="30" fillId="0" borderId="0" xfId="0" applyFont="1" applyFill="1" applyBorder="1" applyAlignment="1">
      <alignment horizontal="center" vertical="top"/>
    </xf>
    <xf numFmtId="0" fontId="30" fillId="0" borderId="0" xfId="0" applyFont="1" applyFill="1" applyBorder="1" applyAlignment="1">
      <alignment vertical="top"/>
    </xf>
    <xf numFmtId="49" fontId="32" fillId="38" borderId="0" xfId="0" applyNumberFormat="1" applyFont="1" applyFill="1" applyAlignment="1">
      <alignment horizontal="center" vertical="center"/>
    </xf>
    <xf numFmtId="49" fontId="32" fillId="38" borderId="0" xfId="0" applyNumberFormat="1" applyFont="1" applyFill="1" applyBorder="1" applyAlignment="1">
      <alignment horizontal="left" vertical="center" wrapText="1"/>
    </xf>
    <xf numFmtId="0" fontId="30" fillId="34" borderId="0" xfId="0" applyFont="1" applyFill="1" applyBorder="1" applyAlignment="1">
      <alignment horizontal="center" vertical="top"/>
    </xf>
    <xf numFmtId="0" fontId="30" fillId="34" borderId="0" xfId="0" applyFont="1" applyFill="1" applyBorder="1" applyAlignment="1">
      <alignment vertical="top"/>
    </xf>
    <xf numFmtId="0" fontId="33" fillId="39" borderId="0" xfId="0" applyFont="1" applyFill="1" applyBorder="1" applyAlignment="1">
      <alignment horizontal="center" vertical="top"/>
    </xf>
    <xf numFmtId="0" fontId="33" fillId="39" borderId="0" xfId="0" applyFont="1" applyFill="1" applyBorder="1" applyAlignment="1">
      <alignment vertical="top"/>
    </xf>
    <xf numFmtId="0" fontId="30" fillId="34" borderId="0" xfId="0" applyFont="1" applyFill="1" applyAlignment="1">
      <alignment horizontal="center"/>
    </xf>
    <xf numFmtId="49" fontId="30" fillId="0" borderId="0" xfId="0" applyNumberFormat="1" applyFont="1" applyAlignment="1">
      <alignment horizontal="center" vertical="center"/>
    </xf>
    <xf numFmtId="49" fontId="30" fillId="0" borderId="0" xfId="0" applyNumberFormat="1" applyFont="1" applyFill="1" applyBorder="1" applyAlignment="1">
      <alignment horizontal="left" vertical="center" wrapText="1"/>
    </xf>
    <xf numFmtId="49" fontId="55" fillId="0" borderId="0" xfId="0" applyNumberFormat="1" applyFont="1"/>
    <xf numFmtId="49" fontId="60" fillId="0" borderId="34" xfId="202" applyNumberFormat="1" applyFont="1" applyFill="1" applyBorder="1" applyAlignment="1">
      <alignment horizontal="center" vertical="center" wrapText="1"/>
    </xf>
    <xf numFmtId="0" fontId="60" fillId="0" borderId="34" xfId="202" applyFont="1" applyFill="1" applyBorder="1" applyAlignment="1">
      <alignment vertical="center"/>
    </xf>
    <xf numFmtId="49" fontId="30" fillId="0" borderId="0" xfId="0" applyNumberFormat="1" applyFont="1"/>
    <xf numFmtId="49" fontId="61" fillId="0" borderId="11" xfId="0" applyNumberFormat="1" applyFont="1" applyBorder="1"/>
    <xf numFmtId="0" fontId="61" fillId="0" borderId="11" xfId="0" applyFont="1" applyBorder="1"/>
    <xf numFmtId="49" fontId="62" fillId="0" borderId="0" xfId="0" applyNumberFormat="1" applyFont="1" applyAlignment="1">
      <alignment horizontal="center" vertical="center"/>
    </xf>
    <xf numFmtId="49" fontId="62" fillId="0" borderId="0" xfId="0" applyNumberFormat="1" applyFont="1" applyFill="1" applyBorder="1" applyAlignment="1">
      <alignment horizontal="left" vertical="center" wrapText="1"/>
    </xf>
    <xf numFmtId="49" fontId="62" fillId="0" borderId="0" xfId="0" applyNumberFormat="1" applyFont="1" applyFill="1" applyBorder="1" applyAlignment="1">
      <alignment horizontal="center" vertical="center" wrapText="1"/>
    </xf>
    <xf numFmtId="49" fontId="62" fillId="0" borderId="0" xfId="0" applyNumberFormat="1" applyFont="1"/>
    <xf numFmtId="0" fontId="62" fillId="0" borderId="0" xfId="0" applyFont="1"/>
    <xf numFmtId="0" fontId="47" fillId="0" borderId="0" xfId="0" applyFont="1" applyFill="1" applyBorder="1" applyAlignment="1">
      <alignment horizontal="left" vertical="center"/>
    </xf>
    <xf numFmtId="49" fontId="30" fillId="0" borderId="0" xfId="0" applyNumberFormat="1" applyFont="1" applyFill="1" applyBorder="1" applyAlignment="1">
      <alignment horizontal="left" vertical="top" wrapText="1"/>
    </xf>
    <xf numFmtId="49" fontId="30" fillId="0" borderId="0" xfId="0" quotePrefix="1" applyNumberFormat="1" applyFont="1" applyFill="1" applyBorder="1" applyAlignment="1">
      <alignment horizontal="center" vertical="top"/>
    </xf>
    <xf numFmtId="49" fontId="30" fillId="0" borderId="0" xfId="0" applyNumberFormat="1" applyFont="1" applyFill="1" applyBorder="1" applyAlignment="1">
      <alignment horizontal="center" vertical="top" wrapText="1"/>
    </xf>
    <xf numFmtId="0" fontId="30" fillId="0" borderId="0" xfId="0" applyFont="1" applyFill="1" applyBorder="1" applyAlignment="1">
      <alignment horizontal="left" vertical="top"/>
    </xf>
    <xf numFmtId="0" fontId="32" fillId="0" borderId="0" xfId="0" applyFont="1" applyFill="1" applyBorder="1" applyAlignment="1">
      <alignment horizontal="left" vertical="top"/>
    </xf>
    <xf numFmtId="49" fontId="30" fillId="0" borderId="0" xfId="0" applyNumberFormat="1" applyFont="1" applyFill="1" applyBorder="1" applyAlignment="1">
      <alignment horizontal="center" vertical="top"/>
    </xf>
    <xf numFmtId="0" fontId="35" fillId="0" borderId="0" xfId="0" applyFont="1" applyFill="1" applyBorder="1" applyAlignment="1">
      <alignment horizontal="center" vertical="top"/>
    </xf>
    <xf numFmtId="0" fontId="59" fillId="0" borderId="0" xfId="0" applyFont="1" applyFill="1" applyBorder="1" applyAlignment="1">
      <alignment horizontal="center" vertical="top"/>
    </xf>
    <xf numFmtId="49" fontId="59" fillId="0" borderId="0" xfId="0" applyNumberFormat="1" applyFont="1" applyFill="1" applyBorder="1" applyAlignment="1">
      <alignment horizontal="center" vertical="top"/>
    </xf>
    <xf numFmtId="49" fontId="59" fillId="0" borderId="0" xfId="0" applyNumberFormat="1" applyFont="1" applyFill="1" applyBorder="1" applyAlignment="1">
      <alignment horizontal="left" vertical="top"/>
    </xf>
    <xf numFmtId="0" fontId="59" fillId="0" borderId="0" xfId="0" applyFont="1" applyFill="1" applyBorder="1" applyAlignment="1">
      <alignment horizontal="left" vertical="top" wrapText="1"/>
    </xf>
    <xf numFmtId="0" fontId="61" fillId="0" borderId="0" xfId="0" applyFont="1" applyFill="1"/>
    <xf numFmtId="0" fontId="62" fillId="0" borderId="0" xfId="0" applyFont="1" applyFill="1" applyBorder="1" applyAlignment="1">
      <alignment horizontal="left" vertical="top"/>
    </xf>
    <xf numFmtId="0" fontId="62" fillId="0" borderId="0" xfId="0" applyFont="1" applyFill="1" applyBorder="1" applyAlignment="1">
      <alignment horizontal="left" vertical="top" wrapText="1"/>
    </xf>
    <xf numFmtId="0" fontId="30" fillId="0" borderId="0" xfId="0" applyFont="1" applyAlignment="1">
      <alignment horizontal="left" vertical="top"/>
    </xf>
    <xf numFmtId="0" fontId="63" fillId="40" borderId="11" xfId="0" applyFont="1" applyFill="1" applyBorder="1" applyAlignment="1">
      <alignment wrapText="1"/>
    </xf>
    <xf numFmtId="0" fontId="63" fillId="40" borderId="11" xfId="0" applyFont="1" applyFill="1" applyBorder="1" applyAlignment="1">
      <alignment horizontal="center" wrapText="1"/>
    </xf>
    <xf numFmtId="0" fontId="64" fillId="0" borderId="0" xfId="201" applyFont="1" applyBorder="1" applyAlignment="1" applyProtection="1">
      <alignment horizontal="left"/>
    </xf>
    <xf numFmtId="0" fontId="30" fillId="0" borderId="0" xfId="201" applyFont="1" applyBorder="1" applyAlignment="1">
      <alignment wrapText="1"/>
    </xf>
    <xf numFmtId="0" fontId="30" fillId="0" borderId="0" xfId="0" applyFont="1" applyFill="1" applyAlignment="1">
      <alignment horizontal="center" wrapText="1"/>
    </xf>
    <xf numFmtId="0" fontId="30" fillId="0" borderId="0" xfId="0" applyFont="1" applyFill="1" applyAlignment="1"/>
    <xf numFmtId="0" fontId="30" fillId="0" borderId="0" xfId="0" applyFont="1" applyFill="1" applyAlignment="1">
      <alignment horizontal="left" vertical="top" wrapText="1"/>
    </xf>
    <xf numFmtId="0" fontId="33" fillId="39" borderId="0" xfId="0" applyFont="1" applyFill="1" applyAlignment="1">
      <alignment wrapText="1"/>
    </xf>
    <xf numFmtId="0" fontId="33" fillId="39" borderId="0" xfId="0" applyFont="1" applyFill="1" applyAlignment="1">
      <alignment horizontal="center" wrapText="1"/>
    </xf>
    <xf numFmtId="0" fontId="33" fillId="39" borderId="0" xfId="0" applyFont="1" applyFill="1" applyAlignment="1"/>
    <xf numFmtId="0" fontId="33" fillId="39" borderId="0" xfId="0" applyFont="1" applyFill="1" applyAlignment="1">
      <alignment horizontal="left" vertical="top" wrapText="1"/>
    </xf>
    <xf numFmtId="0" fontId="33" fillId="0" borderId="0" xfId="0" applyFont="1" applyFill="1" applyAlignment="1">
      <alignment wrapText="1"/>
    </xf>
    <xf numFmtId="0" fontId="65" fillId="38" borderId="0" xfId="0" applyFont="1" applyFill="1" applyAlignment="1">
      <alignment wrapText="1"/>
    </xf>
    <xf numFmtId="0" fontId="65" fillId="38" borderId="0" xfId="0" applyFont="1" applyFill="1" applyAlignment="1">
      <alignment horizontal="center" wrapText="1"/>
    </xf>
    <xf numFmtId="0" fontId="65" fillId="38" borderId="0" xfId="0" applyFont="1" applyFill="1" applyAlignment="1"/>
    <xf numFmtId="0" fontId="66" fillId="38" borderId="0" xfId="0" applyFont="1" applyFill="1" applyAlignment="1">
      <alignment horizontal="left" vertical="top" wrapText="1"/>
    </xf>
    <xf numFmtId="0" fontId="32" fillId="0" borderId="0" xfId="0" applyFont="1" applyFill="1" applyAlignment="1">
      <alignment wrapText="1"/>
    </xf>
    <xf numFmtId="0" fontId="36" fillId="0" borderId="0" xfId="0" applyFont="1" applyFill="1" applyAlignment="1">
      <alignment wrapText="1"/>
    </xf>
    <xf numFmtId="0" fontId="34" fillId="34" borderId="0" xfId="34" applyFont="1" applyFill="1" applyBorder="1" applyAlignment="1">
      <alignment horizontal="left"/>
    </xf>
    <xf numFmtId="0" fontId="33" fillId="39" borderId="0" xfId="0" applyFont="1" applyFill="1" applyBorder="1"/>
    <xf numFmtId="0" fontId="30" fillId="34" borderId="0" xfId="201" applyFont="1" applyFill="1" applyBorder="1" applyAlignment="1" applyProtection="1">
      <alignment horizontal="left"/>
    </xf>
    <xf numFmtId="0" fontId="36" fillId="0" borderId="0" xfId="0" applyFont="1" applyFill="1" applyBorder="1" applyAlignment="1">
      <alignment horizontal="left" vertical="top"/>
    </xf>
    <xf numFmtId="0" fontId="32" fillId="38" borderId="0" xfId="0" applyFont="1" applyFill="1" applyBorder="1" applyAlignment="1">
      <alignment horizontal="center" vertical="top"/>
    </xf>
    <xf numFmtId="0" fontId="32" fillId="38" borderId="0" xfId="0" applyFont="1" applyFill="1" applyBorder="1" applyAlignment="1">
      <alignment vertical="top"/>
    </xf>
    <xf numFmtId="49" fontId="32" fillId="38" borderId="0" xfId="0" applyNumberFormat="1" applyFont="1" applyFill="1" applyBorder="1" applyAlignment="1">
      <alignment horizontal="center" vertical="top"/>
    </xf>
    <xf numFmtId="49" fontId="32" fillId="38" borderId="0" xfId="0" applyNumberFormat="1" applyFont="1" applyFill="1" applyBorder="1" applyAlignment="1">
      <alignment horizontal="left" vertical="top"/>
    </xf>
    <xf numFmtId="49" fontId="33" fillId="39" borderId="0" xfId="0" applyNumberFormat="1" applyFont="1" applyFill="1" applyBorder="1" applyAlignment="1">
      <alignment horizontal="center" vertical="top"/>
    </xf>
    <xf numFmtId="0" fontId="39" fillId="0" borderId="0" xfId="0" applyFont="1" applyAlignment="1">
      <alignment horizontal="center" vertical="center"/>
    </xf>
    <xf numFmtId="165" fontId="38" fillId="0" borderId="0" xfId="0" applyNumberFormat="1" applyFont="1" applyAlignment="1">
      <alignment horizontal="center" vertical="center"/>
    </xf>
    <xf numFmtId="14" fontId="30" fillId="0" borderId="0" xfId="0" applyNumberFormat="1" applyFont="1" applyFill="1" applyAlignment="1">
      <alignment horizontal="center"/>
    </xf>
    <xf numFmtId="165" fontId="38" fillId="0" borderId="0" xfId="0" applyNumberFormat="1" applyFont="1" applyAlignment="1">
      <alignment horizontal="center"/>
    </xf>
    <xf numFmtId="0" fontId="40" fillId="0" borderId="0" xfId="0" applyFont="1" applyAlignment="1">
      <alignment horizontal="center" vertical="top" wrapText="1"/>
    </xf>
    <xf numFmtId="49" fontId="32" fillId="38" borderId="0" xfId="39" applyNumberFormat="1" applyFont="1" applyFill="1" applyAlignment="1">
      <alignment horizontal="center"/>
    </xf>
    <xf numFmtId="49" fontId="32" fillId="38" borderId="0" xfId="39" applyNumberFormat="1" applyFont="1" applyFill="1" applyAlignment="1">
      <alignment horizontal="left"/>
    </xf>
    <xf numFmtId="49" fontId="33" fillId="34" borderId="0" xfId="0" applyNumberFormat="1" applyFont="1" applyFill="1" applyAlignment="1">
      <alignment horizontal="center" vertical="top"/>
    </xf>
    <xf numFmtId="49" fontId="32" fillId="34" borderId="0" xfId="0" applyNumberFormat="1" applyFont="1" applyFill="1" applyAlignment="1">
      <alignment horizontal="center" vertical="center"/>
    </xf>
    <xf numFmtId="0" fontId="33" fillId="34" borderId="0" xfId="0" applyFont="1" applyFill="1" applyBorder="1" applyAlignment="1">
      <alignment horizontal="center" vertical="top"/>
    </xf>
    <xf numFmtId="49" fontId="33" fillId="0" borderId="0" xfId="39" applyNumberFormat="1" applyFont="1" applyFill="1" applyAlignment="1">
      <alignment horizontal="center"/>
    </xf>
    <xf numFmtId="49" fontId="33" fillId="34" borderId="0" xfId="39" applyNumberFormat="1" applyFont="1" applyFill="1" applyAlignment="1">
      <alignment horizontal="center"/>
    </xf>
    <xf numFmtId="49" fontId="32" fillId="34" borderId="0" xfId="39" applyNumberFormat="1" applyFont="1" applyFill="1" applyAlignment="1">
      <alignment horizontal="center"/>
    </xf>
    <xf numFmtId="0" fontId="32" fillId="34" borderId="0" xfId="0" applyFont="1" applyFill="1" applyBorder="1" applyAlignment="1">
      <alignment horizontal="center" vertical="top"/>
    </xf>
    <xf numFmtId="0" fontId="32" fillId="34" borderId="0" xfId="0" applyFont="1" applyFill="1" applyBorder="1" applyAlignment="1" applyProtection="1">
      <alignment vertical="top" wrapText="1" readingOrder="1"/>
      <protection locked="0"/>
    </xf>
    <xf numFmtId="0" fontId="33" fillId="34" borderId="0" xfId="39" applyFont="1" applyFill="1" applyAlignment="1" applyProtection="1">
      <alignment horizontal="left" vertical="top" wrapText="1" readingOrder="1"/>
      <protection locked="0"/>
    </xf>
    <xf numFmtId="49" fontId="33" fillId="39" borderId="0" xfId="0" applyNumberFormat="1" applyFont="1" applyFill="1" applyAlignment="1">
      <alignment horizontal="center" vertical="center"/>
    </xf>
    <xf numFmtId="49" fontId="33" fillId="39" borderId="0" xfId="0" applyNumberFormat="1" applyFont="1" applyFill="1" applyBorder="1" applyAlignment="1">
      <alignment horizontal="left" vertical="center" wrapText="1"/>
    </xf>
    <xf numFmtId="49" fontId="33" fillId="34" borderId="0" xfId="0" applyNumberFormat="1" applyFont="1" applyFill="1" applyAlignment="1">
      <alignment horizontal="center" vertical="center"/>
    </xf>
    <xf numFmtId="0" fontId="33" fillId="0" borderId="0" xfId="0" applyFont="1" applyFill="1" applyBorder="1" applyAlignment="1">
      <alignment horizontal="left" vertical="top"/>
    </xf>
    <xf numFmtId="0" fontId="33" fillId="39" borderId="0" xfId="0" applyFont="1" applyFill="1" applyBorder="1" applyAlignment="1">
      <alignment horizontal="left" vertical="top"/>
    </xf>
    <xf numFmtId="0" fontId="33" fillId="39" borderId="34" xfId="202" applyFont="1" applyFill="1" applyBorder="1" applyAlignment="1">
      <alignment horizontal="center"/>
    </xf>
    <xf numFmtId="165" fontId="67" fillId="0" borderId="0" xfId="0" applyNumberFormat="1" applyFont="1" applyAlignment="1">
      <alignment horizontal="center" vertical="center"/>
    </xf>
    <xf numFmtId="0" fontId="68" fillId="0" borderId="0" xfId="0" applyFont="1" applyAlignment="1">
      <alignment horizontal="left" vertical="center"/>
    </xf>
    <xf numFmtId="0" fontId="68" fillId="0" borderId="0" xfId="0" applyFont="1" applyAlignment="1">
      <alignment horizontal="center" vertical="center"/>
    </xf>
    <xf numFmtId="0" fontId="69" fillId="0" borderId="0" xfId="0" applyFont="1" applyAlignment="1">
      <alignment horizontal="center" vertical="top" wrapText="1"/>
    </xf>
    <xf numFmtId="49" fontId="69" fillId="0" borderId="0" xfId="0" applyNumberFormat="1" applyFont="1" applyAlignment="1">
      <alignment horizontal="center" vertical="center"/>
    </xf>
    <xf numFmtId="0" fontId="69" fillId="0" borderId="0" xfId="0" applyFont="1" applyAlignment="1">
      <alignment horizontal="left" vertical="center"/>
    </xf>
    <xf numFmtId="0" fontId="28" fillId="0" borderId="0" xfId="0" applyFont="1" applyAlignment="1">
      <alignment horizontal="left" vertical="center"/>
    </xf>
    <xf numFmtId="0" fontId="33" fillId="0" borderId="0" xfId="0" applyFont="1" applyFill="1" applyBorder="1" applyAlignment="1">
      <alignment horizontal="center" vertical="top"/>
    </xf>
    <xf numFmtId="0" fontId="33" fillId="0" borderId="0" xfId="0" applyFont="1" applyFill="1" applyBorder="1" applyAlignment="1">
      <alignment vertical="top"/>
    </xf>
    <xf numFmtId="49" fontId="33" fillId="0" borderId="0" xfId="0" applyNumberFormat="1" applyFont="1" applyFill="1" applyBorder="1" applyAlignment="1">
      <alignment horizontal="center" vertical="top"/>
    </xf>
    <xf numFmtId="49" fontId="33" fillId="0" borderId="0" xfId="0" applyNumberFormat="1" applyFont="1" applyFill="1" applyBorder="1" applyAlignment="1">
      <alignment horizontal="left" vertical="top"/>
    </xf>
    <xf numFmtId="49" fontId="33" fillId="0" borderId="0" xfId="0" applyNumberFormat="1" applyFont="1" applyAlignment="1">
      <alignment horizontal="center" vertical="center"/>
    </xf>
    <xf numFmtId="49" fontId="33" fillId="0" borderId="0" xfId="0" applyNumberFormat="1" applyFont="1" applyFill="1" applyBorder="1" applyAlignment="1">
      <alignment horizontal="left" vertical="center" wrapText="1"/>
    </xf>
    <xf numFmtId="0" fontId="33" fillId="0" borderId="0" xfId="0" applyFont="1"/>
    <xf numFmtId="0" fontId="33" fillId="38" borderId="0" xfId="0" applyFont="1" applyFill="1" applyBorder="1" applyAlignment="1">
      <alignment horizontal="center" vertical="top"/>
    </xf>
    <xf numFmtId="0" fontId="33" fillId="38" borderId="0" xfId="0" applyFont="1" applyFill="1" applyBorder="1" applyAlignment="1">
      <alignment vertical="top" wrapText="1"/>
    </xf>
    <xf numFmtId="49" fontId="33" fillId="39" borderId="0" xfId="0" applyNumberFormat="1" applyFont="1" applyFill="1" applyBorder="1" applyAlignment="1">
      <alignment horizontal="left" vertical="top" wrapText="1"/>
    </xf>
    <xf numFmtId="49" fontId="33" fillId="39" borderId="0" xfId="0" quotePrefix="1" applyNumberFormat="1" applyFont="1" applyFill="1" applyBorder="1" applyAlignment="1">
      <alignment horizontal="center" vertical="top"/>
    </xf>
    <xf numFmtId="49" fontId="33" fillId="39" borderId="0" xfId="0" applyNumberFormat="1" applyFont="1" applyFill="1" applyBorder="1" applyAlignment="1">
      <alignment horizontal="center" vertical="top" wrapText="1"/>
    </xf>
    <xf numFmtId="0" fontId="70" fillId="0" borderId="0" xfId="0" applyFont="1" applyAlignment="1">
      <alignment wrapText="1"/>
    </xf>
    <xf numFmtId="0" fontId="30" fillId="34" borderId="0" xfId="39" applyFont="1" applyFill="1" applyAlignment="1" applyProtection="1">
      <alignment horizontal="left" vertical="top" wrapText="1" readingOrder="1"/>
      <protection locked="0"/>
    </xf>
  </cellXfs>
  <cellStyles count="204">
    <cellStyle name="20% - Accent1" xfId="1" builtinId="30" customBuiltin="1"/>
    <cellStyle name="20% - Accent1 2" xfId="143" xr:uid="{00000000-0005-0000-0000-000001000000}"/>
    <cellStyle name="20% - Accent1 3" xfId="178" xr:uid="{00000000-0005-0000-0000-000002000000}"/>
    <cellStyle name="20% - Accent2" xfId="2" builtinId="34" customBuiltin="1"/>
    <cellStyle name="20% - Accent2 2" xfId="144" xr:uid="{00000000-0005-0000-0000-000004000000}"/>
    <cellStyle name="20% - Accent2 3" xfId="179" xr:uid="{00000000-0005-0000-0000-000005000000}"/>
    <cellStyle name="20% - Accent3" xfId="3" builtinId="38" customBuiltin="1"/>
    <cellStyle name="20% - Accent3 2" xfId="145" xr:uid="{00000000-0005-0000-0000-000007000000}"/>
    <cellStyle name="20% - Accent3 3" xfId="180" xr:uid="{00000000-0005-0000-0000-000008000000}"/>
    <cellStyle name="20% - Accent4" xfId="4" builtinId="42" customBuiltin="1"/>
    <cellStyle name="20% - Accent4 2" xfId="146" xr:uid="{00000000-0005-0000-0000-00000A000000}"/>
    <cellStyle name="20% - Accent4 3" xfId="181" xr:uid="{00000000-0005-0000-0000-00000B000000}"/>
    <cellStyle name="20% - Accent5" xfId="5" builtinId="46" customBuiltin="1"/>
    <cellStyle name="20% - Accent5 2" xfId="147" xr:uid="{00000000-0005-0000-0000-00000D000000}"/>
    <cellStyle name="20% - Accent5 3" xfId="182" xr:uid="{00000000-0005-0000-0000-00000E000000}"/>
    <cellStyle name="20% - Accent6" xfId="6" builtinId="50" customBuiltin="1"/>
    <cellStyle name="20% - Accent6 2" xfId="148" xr:uid="{00000000-0005-0000-0000-000010000000}"/>
    <cellStyle name="20% - Accent6 3" xfId="183" xr:uid="{00000000-0005-0000-0000-000011000000}"/>
    <cellStyle name="40% - Accent1" xfId="7" builtinId="31" customBuiltin="1"/>
    <cellStyle name="40% - Accent1 2" xfId="149" xr:uid="{00000000-0005-0000-0000-000013000000}"/>
    <cellStyle name="40% - Accent1 3" xfId="184" xr:uid="{00000000-0005-0000-0000-000014000000}"/>
    <cellStyle name="40% - Accent2" xfId="8" builtinId="35" customBuiltin="1"/>
    <cellStyle name="40% - Accent2 2" xfId="150" xr:uid="{00000000-0005-0000-0000-000016000000}"/>
    <cellStyle name="40% - Accent2 3" xfId="185" xr:uid="{00000000-0005-0000-0000-000017000000}"/>
    <cellStyle name="40% - Accent3" xfId="9" builtinId="39" customBuiltin="1"/>
    <cellStyle name="40% - Accent3 2" xfId="151" xr:uid="{00000000-0005-0000-0000-000019000000}"/>
    <cellStyle name="40% - Accent3 3" xfId="186" xr:uid="{00000000-0005-0000-0000-00001A000000}"/>
    <cellStyle name="40% - Accent4" xfId="10" builtinId="43" customBuiltin="1"/>
    <cellStyle name="40% - Accent4 2" xfId="152" xr:uid="{00000000-0005-0000-0000-00001C000000}"/>
    <cellStyle name="40% - Accent4 3" xfId="187" xr:uid="{00000000-0005-0000-0000-00001D000000}"/>
    <cellStyle name="40% - Accent5" xfId="11" builtinId="47" customBuiltin="1"/>
    <cellStyle name="40% - Accent5 2" xfId="153" xr:uid="{00000000-0005-0000-0000-00001F000000}"/>
    <cellStyle name="40% - Accent5 3" xfId="188" xr:uid="{00000000-0005-0000-0000-000020000000}"/>
    <cellStyle name="40% - Accent6" xfId="12" builtinId="51" customBuiltin="1"/>
    <cellStyle name="40% - Accent6 2" xfId="154" xr:uid="{00000000-0005-0000-0000-000022000000}"/>
    <cellStyle name="40% - Accent6 3" xfId="189"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3A000000}"/>
    <cellStyle name="Input" xfId="36" builtinId="20" customBuiltin="1"/>
    <cellStyle name="Linked Cell" xfId="37" builtinId="24" customBuiltin="1"/>
    <cellStyle name="Neutral" xfId="38" builtinId="28" customBuiltin="1"/>
    <cellStyle name="Normal" xfId="0" builtinId="0"/>
    <cellStyle name="Normal 10" xfId="39" xr:uid="{00000000-0005-0000-0000-00003F000000}"/>
    <cellStyle name="Normal 10 2" xfId="40" xr:uid="{00000000-0005-0000-0000-000040000000}"/>
    <cellStyle name="Normal 10 3" xfId="41" xr:uid="{00000000-0005-0000-0000-000041000000}"/>
    <cellStyle name="Normal 11" xfId="177" xr:uid="{00000000-0005-0000-0000-000042000000}"/>
    <cellStyle name="Normal 12" xfId="200" xr:uid="{5F3AF86D-3A53-4BF7-ADC4-E75565F9AEC7}"/>
    <cellStyle name="Normal 13" xfId="203" xr:uid="{00000000-0005-0000-0000-0000D2000000}"/>
    <cellStyle name="Normal 14" xfId="42" xr:uid="{00000000-0005-0000-0000-000043000000}"/>
    <cellStyle name="Normal 14 2" xfId="43" xr:uid="{00000000-0005-0000-0000-000044000000}"/>
    <cellStyle name="Normal 14 3" xfId="44" xr:uid="{00000000-0005-0000-0000-000045000000}"/>
    <cellStyle name="Normal 2" xfId="45" xr:uid="{00000000-0005-0000-0000-000046000000}"/>
    <cellStyle name="Normal 2 10" xfId="46" xr:uid="{00000000-0005-0000-0000-000047000000}"/>
    <cellStyle name="Normal 2 10 2" xfId="155" xr:uid="{00000000-0005-0000-0000-000048000000}"/>
    <cellStyle name="Normal 2 10 3" xfId="199" xr:uid="{00000000-0005-0000-0000-000049000000}"/>
    <cellStyle name="Normal 2 11" xfId="47" xr:uid="{00000000-0005-0000-0000-00004A000000}"/>
    <cellStyle name="Normal 2 11 2" xfId="156" xr:uid="{00000000-0005-0000-0000-00004B000000}"/>
    <cellStyle name="Normal 2 12" xfId="48" xr:uid="{00000000-0005-0000-0000-00004C000000}"/>
    <cellStyle name="Normal 2 12 2" xfId="157" xr:uid="{00000000-0005-0000-0000-00004D000000}"/>
    <cellStyle name="Normal 2 13" xfId="49" xr:uid="{00000000-0005-0000-0000-00004E000000}"/>
    <cellStyle name="Normal 2 13 2" xfId="158" xr:uid="{00000000-0005-0000-0000-00004F000000}"/>
    <cellStyle name="Normal 2 14" xfId="50" xr:uid="{00000000-0005-0000-0000-000050000000}"/>
    <cellStyle name="Normal 2 14 2" xfId="159" xr:uid="{00000000-0005-0000-0000-000051000000}"/>
    <cellStyle name="Normal 2 15" xfId="51" xr:uid="{00000000-0005-0000-0000-000052000000}"/>
    <cellStyle name="Normal 2 15 2" xfId="160" xr:uid="{00000000-0005-0000-0000-000053000000}"/>
    <cellStyle name="Normal 2 16" xfId="52" xr:uid="{00000000-0005-0000-0000-000054000000}"/>
    <cellStyle name="Normal 2 16 2" xfId="161" xr:uid="{00000000-0005-0000-0000-000055000000}"/>
    <cellStyle name="Normal 2 17" xfId="53" xr:uid="{00000000-0005-0000-0000-000056000000}"/>
    <cellStyle name="Normal 2 17 2" xfId="162" xr:uid="{00000000-0005-0000-0000-000057000000}"/>
    <cellStyle name="Normal 2 18" xfId="54" xr:uid="{00000000-0005-0000-0000-000058000000}"/>
    <cellStyle name="Normal 2 18 2" xfId="163" xr:uid="{00000000-0005-0000-0000-000059000000}"/>
    <cellStyle name="Normal 2 19" xfId="55" xr:uid="{00000000-0005-0000-0000-00005A000000}"/>
    <cellStyle name="Normal 2 19 2" xfId="164" xr:uid="{00000000-0005-0000-0000-00005B000000}"/>
    <cellStyle name="Normal 2 2" xfId="56" xr:uid="{00000000-0005-0000-0000-00005C000000}"/>
    <cellStyle name="Normal 2 2 2" xfId="57" xr:uid="{00000000-0005-0000-0000-00005D000000}"/>
    <cellStyle name="Normal 2 2 3" xfId="58" xr:uid="{00000000-0005-0000-0000-00005E000000}"/>
    <cellStyle name="Normal 2 20" xfId="59" xr:uid="{00000000-0005-0000-0000-00005F000000}"/>
    <cellStyle name="Normal 2 20 2" xfId="165" xr:uid="{00000000-0005-0000-0000-000060000000}"/>
    <cellStyle name="Normal 2 3" xfId="60" xr:uid="{00000000-0005-0000-0000-000061000000}"/>
    <cellStyle name="Normal 2 3 2" xfId="61" xr:uid="{00000000-0005-0000-0000-000062000000}"/>
    <cellStyle name="Normal 2 3 3" xfId="62" xr:uid="{00000000-0005-0000-0000-000063000000}"/>
    <cellStyle name="Normal 2 4" xfId="63" xr:uid="{00000000-0005-0000-0000-000064000000}"/>
    <cellStyle name="Normal 2 4 2" xfId="64" xr:uid="{00000000-0005-0000-0000-000065000000}"/>
    <cellStyle name="Normal 2 4 3" xfId="65" xr:uid="{00000000-0005-0000-0000-000066000000}"/>
    <cellStyle name="Normal 2 5" xfId="66" xr:uid="{00000000-0005-0000-0000-000067000000}"/>
    <cellStyle name="Normal 2 6" xfId="67" xr:uid="{00000000-0005-0000-0000-000068000000}"/>
    <cellStyle name="Normal 2 7" xfId="68" xr:uid="{00000000-0005-0000-0000-000069000000}"/>
    <cellStyle name="Normal 2 7 2" xfId="69" xr:uid="{00000000-0005-0000-0000-00006A000000}"/>
    <cellStyle name="Normal 2 7 3" xfId="70" xr:uid="{00000000-0005-0000-0000-00006B000000}"/>
    <cellStyle name="Normal 2 7 3 2" xfId="71" xr:uid="{00000000-0005-0000-0000-00006C000000}"/>
    <cellStyle name="Normal 2 8" xfId="72" xr:uid="{00000000-0005-0000-0000-00006D000000}"/>
    <cellStyle name="Normal 2 9" xfId="73" xr:uid="{00000000-0005-0000-0000-00006E000000}"/>
    <cellStyle name="Normal 2 9 2" xfId="74" xr:uid="{00000000-0005-0000-0000-00006F000000}"/>
    <cellStyle name="Normal 3" xfId="75" xr:uid="{00000000-0005-0000-0000-000070000000}"/>
    <cellStyle name="Normal 3 2" xfId="76" xr:uid="{00000000-0005-0000-0000-000071000000}"/>
    <cellStyle name="Normal 3 2 2" xfId="167" xr:uid="{00000000-0005-0000-0000-000072000000}"/>
    <cellStyle name="Normal 3 2 3" xfId="191" xr:uid="{00000000-0005-0000-0000-000073000000}"/>
    <cellStyle name="Normal 3 3" xfId="77" xr:uid="{00000000-0005-0000-0000-000074000000}"/>
    <cellStyle name="Normal 3 3 2" xfId="168" xr:uid="{00000000-0005-0000-0000-000075000000}"/>
    <cellStyle name="Normal 3 3 3" xfId="192" xr:uid="{00000000-0005-0000-0000-000076000000}"/>
    <cellStyle name="Normal 3 4" xfId="78" xr:uid="{00000000-0005-0000-0000-000077000000}"/>
    <cellStyle name="Normal 3 4 2" xfId="169" xr:uid="{00000000-0005-0000-0000-000078000000}"/>
    <cellStyle name="Normal 3 4 3" xfId="193" xr:uid="{00000000-0005-0000-0000-000079000000}"/>
    <cellStyle name="Normal 3 5" xfId="79" xr:uid="{00000000-0005-0000-0000-00007A000000}"/>
    <cellStyle name="Normal 3 5 2" xfId="170" xr:uid="{00000000-0005-0000-0000-00007B000000}"/>
    <cellStyle name="Normal 3 5 3" xfId="194" xr:uid="{00000000-0005-0000-0000-00007C000000}"/>
    <cellStyle name="Normal 3 6" xfId="80" xr:uid="{00000000-0005-0000-0000-00007D000000}"/>
    <cellStyle name="Normal 3 6 2" xfId="171" xr:uid="{00000000-0005-0000-0000-00007E000000}"/>
    <cellStyle name="Normal 3 6 3" xfId="195" xr:uid="{00000000-0005-0000-0000-00007F000000}"/>
    <cellStyle name="Normal 3 7" xfId="81" xr:uid="{00000000-0005-0000-0000-000080000000}"/>
    <cellStyle name="Normal 3 7 2" xfId="172" xr:uid="{00000000-0005-0000-0000-000081000000}"/>
    <cellStyle name="Normal 3 7 3" xfId="196" xr:uid="{00000000-0005-0000-0000-000082000000}"/>
    <cellStyle name="Normal 3 8" xfId="166" xr:uid="{00000000-0005-0000-0000-000083000000}"/>
    <cellStyle name="Normal 3 9" xfId="190" xr:uid="{00000000-0005-0000-0000-000084000000}"/>
    <cellStyle name="Normal 4" xfId="82" xr:uid="{00000000-0005-0000-0000-000085000000}"/>
    <cellStyle name="Normal 5" xfId="83" xr:uid="{00000000-0005-0000-0000-000086000000}"/>
    <cellStyle name="Normal 6" xfId="84" xr:uid="{00000000-0005-0000-0000-000087000000}"/>
    <cellStyle name="Normal 7" xfId="85" xr:uid="{00000000-0005-0000-0000-000088000000}"/>
    <cellStyle name="Normal 7 2" xfId="86" xr:uid="{00000000-0005-0000-0000-000089000000}"/>
    <cellStyle name="Normal 7 3" xfId="87" xr:uid="{00000000-0005-0000-0000-00008A000000}"/>
    <cellStyle name="Normal 7 4" xfId="88" xr:uid="{00000000-0005-0000-0000-00008B000000}"/>
    <cellStyle name="Normal 7 5" xfId="89" xr:uid="{00000000-0005-0000-0000-00008C000000}"/>
    <cellStyle name="Normal 7 6" xfId="90" xr:uid="{00000000-0005-0000-0000-00008D000000}"/>
    <cellStyle name="Normal 7 7" xfId="91" xr:uid="{00000000-0005-0000-0000-00008E000000}"/>
    <cellStyle name="Normal 8" xfId="92" xr:uid="{00000000-0005-0000-0000-00008F000000}"/>
    <cellStyle name="Normal 8 2" xfId="93" xr:uid="{00000000-0005-0000-0000-000090000000}"/>
    <cellStyle name="Normal 8 2 2" xfId="94" xr:uid="{00000000-0005-0000-0000-000091000000}"/>
    <cellStyle name="Normal 8 2 3" xfId="95" xr:uid="{00000000-0005-0000-0000-000092000000}"/>
    <cellStyle name="Normal 8 3" xfId="96" xr:uid="{00000000-0005-0000-0000-000093000000}"/>
    <cellStyle name="Normal 8 3 2" xfId="97" xr:uid="{00000000-0005-0000-0000-000094000000}"/>
    <cellStyle name="Normal 8 3 3" xfId="98" xr:uid="{00000000-0005-0000-0000-000095000000}"/>
    <cellStyle name="Normal 8 4" xfId="99" xr:uid="{00000000-0005-0000-0000-000096000000}"/>
    <cellStyle name="Normal 8 4 2" xfId="100" xr:uid="{00000000-0005-0000-0000-000097000000}"/>
    <cellStyle name="Normal 8 4 3" xfId="101" xr:uid="{00000000-0005-0000-0000-000098000000}"/>
    <cellStyle name="Normal 8 5" xfId="173" xr:uid="{00000000-0005-0000-0000-000099000000}"/>
    <cellStyle name="Normal 8 6" xfId="197" xr:uid="{00000000-0005-0000-0000-00009A000000}"/>
    <cellStyle name="Normal 9" xfId="142" xr:uid="{00000000-0005-0000-0000-00009B000000}"/>
    <cellStyle name="Normal 9 2" xfId="102" xr:uid="{00000000-0005-0000-0000-00009C000000}"/>
    <cellStyle name="Normal 9 2 2" xfId="103" xr:uid="{00000000-0005-0000-0000-00009D000000}"/>
    <cellStyle name="Normal 9 2 3" xfId="104" xr:uid="{00000000-0005-0000-0000-00009E000000}"/>
    <cellStyle name="Normal 9 3" xfId="105" xr:uid="{00000000-0005-0000-0000-00009F000000}"/>
    <cellStyle name="Normal 9 3 2" xfId="106" xr:uid="{00000000-0005-0000-0000-0000A0000000}"/>
    <cellStyle name="Normal 9 3 3" xfId="107" xr:uid="{00000000-0005-0000-0000-0000A1000000}"/>
    <cellStyle name="Normal_2007-2008 Fund  Numbers - Fcn Prog Codes - Object Codes" xfId="201" xr:uid="{4CFB3DE6-951C-4E7F-9061-5FBDDE295E4B}"/>
    <cellStyle name="Normal_Sheet1" xfId="202" xr:uid="{8A5D961A-7299-42AB-A267-752E509D2574}"/>
    <cellStyle name="Note 10" xfId="108" xr:uid="{00000000-0005-0000-0000-0000A3000000}"/>
    <cellStyle name="Note 11" xfId="109" xr:uid="{00000000-0005-0000-0000-0000A4000000}"/>
    <cellStyle name="Note 11 2" xfId="174" xr:uid="{00000000-0005-0000-0000-0000A5000000}"/>
    <cellStyle name="Note 12" xfId="110" xr:uid="{00000000-0005-0000-0000-0000A6000000}"/>
    <cellStyle name="Note 2" xfId="111" xr:uid="{00000000-0005-0000-0000-0000A7000000}"/>
    <cellStyle name="Note 2 10" xfId="112" xr:uid="{00000000-0005-0000-0000-0000A8000000}"/>
    <cellStyle name="Note 2 11" xfId="113" xr:uid="{00000000-0005-0000-0000-0000A9000000}"/>
    <cellStyle name="Note 2 12" xfId="114" xr:uid="{00000000-0005-0000-0000-0000AA000000}"/>
    <cellStyle name="Note 2 13" xfId="115" xr:uid="{00000000-0005-0000-0000-0000AB000000}"/>
    <cellStyle name="Note 2 14" xfId="116" xr:uid="{00000000-0005-0000-0000-0000AC000000}"/>
    <cellStyle name="Note 2 15" xfId="117" xr:uid="{00000000-0005-0000-0000-0000AD000000}"/>
    <cellStyle name="Note 2 16" xfId="118" xr:uid="{00000000-0005-0000-0000-0000AE000000}"/>
    <cellStyle name="Note 2 17" xfId="119" xr:uid="{00000000-0005-0000-0000-0000AF000000}"/>
    <cellStyle name="Note 2 18" xfId="120" xr:uid="{00000000-0005-0000-0000-0000B0000000}"/>
    <cellStyle name="Note 2 19" xfId="121" xr:uid="{00000000-0005-0000-0000-0000B1000000}"/>
    <cellStyle name="Note 2 2" xfId="122" xr:uid="{00000000-0005-0000-0000-0000B2000000}"/>
    <cellStyle name="Note 2 2 2" xfId="176" xr:uid="{00000000-0005-0000-0000-0000B3000000}"/>
    <cellStyle name="Note 2 20" xfId="123" xr:uid="{00000000-0005-0000-0000-0000B4000000}"/>
    <cellStyle name="Note 2 21" xfId="175" xr:uid="{00000000-0005-0000-0000-0000B5000000}"/>
    <cellStyle name="Note 2 22" xfId="198" xr:uid="{00000000-0005-0000-0000-0000B6000000}"/>
    <cellStyle name="Note 2 3" xfId="124" xr:uid="{00000000-0005-0000-0000-0000B7000000}"/>
    <cellStyle name="Note 2 4" xfId="125" xr:uid="{00000000-0005-0000-0000-0000B8000000}"/>
    <cellStyle name="Note 2 5" xfId="126" xr:uid="{00000000-0005-0000-0000-0000B9000000}"/>
    <cellStyle name="Note 2 6" xfId="127" xr:uid="{00000000-0005-0000-0000-0000BA000000}"/>
    <cellStyle name="Note 2 7" xfId="128" xr:uid="{00000000-0005-0000-0000-0000BB000000}"/>
    <cellStyle name="Note 2 8" xfId="129" xr:uid="{00000000-0005-0000-0000-0000BC000000}"/>
    <cellStyle name="Note 2 9" xfId="130" xr:uid="{00000000-0005-0000-0000-0000BD000000}"/>
    <cellStyle name="Note 3" xfId="131" xr:uid="{00000000-0005-0000-0000-0000BE000000}"/>
    <cellStyle name="Note 4" xfId="132" xr:uid="{00000000-0005-0000-0000-0000BF000000}"/>
    <cellStyle name="Note 5" xfId="133" xr:uid="{00000000-0005-0000-0000-0000C0000000}"/>
    <cellStyle name="Note 6" xfId="134" xr:uid="{00000000-0005-0000-0000-0000C1000000}"/>
    <cellStyle name="Note 7" xfId="135" xr:uid="{00000000-0005-0000-0000-0000C2000000}"/>
    <cellStyle name="Note 8" xfId="136" xr:uid="{00000000-0005-0000-0000-0000C3000000}"/>
    <cellStyle name="Note 9" xfId="137" xr:uid="{00000000-0005-0000-0000-0000C4000000}"/>
    <cellStyle name="Output" xfId="138" builtinId="21" customBuiltin="1"/>
    <cellStyle name="Title" xfId="139" builtinId="15" customBuiltin="1"/>
    <cellStyle name="Total" xfId="140" builtinId="25" customBuiltin="1"/>
    <cellStyle name="Warning Text" xfId="141" builtinId="11" customBuiltin="1"/>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FF"/>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29AD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53"/>
  <sheetViews>
    <sheetView tabSelected="1" zoomScale="90" zoomScaleNormal="90" workbookViewId="0">
      <pane ySplit="1" topLeftCell="A2" activePane="bottomLeft" state="frozen"/>
      <selection pane="bottomLeft" activeCell="K2" sqref="K2"/>
    </sheetView>
  </sheetViews>
  <sheetFormatPr defaultColWidth="9.1796875" defaultRowHeight="13.5" customHeight="1" x14ac:dyDescent="0.35"/>
  <cols>
    <col min="1" max="1" width="17.453125" style="346" bestFit="1" customWidth="1"/>
    <col min="2" max="2" width="1.7265625" style="25" customWidth="1"/>
    <col min="3" max="3" width="19.1796875" style="26" bestFit="1" customWidth="1"/>
    <col min="4" max="4" width="1.7265625" style="25" customWidth="1"/>
    <col min="5" max="5" width="26.1796875" style="347" bestFit="1" customWidth="1"/>
    <col min="6" max="6" width="1.7265625" style="25" customWidth="1"/>
    <col min="7" max="7" width="14.26953125" style="347" bestFit="1" customWidth="1"/>
    <col min="8" max="8" width="1.7265625" style="25" customWidth="1"/>
    <col min="9" max="9" width="14.26953125" style="107" bestFit="1" customWidth="1"/>
    <col min="10" max="10" width="1.7265625" style="27" customWidth="1"/>
    <col min="11" max="11" width="49.26953125" style="14" bestFit="1" customWidth="1"/>
    <col min="12" max="12" width="1.7265625" style="27" customWidth="1"/>
    <col min="13" max="13" width="54.7265625" style="110" bestFit="1" customWidth="1"/>
    <col min="14" max="16384" width="9.1796875" style="14"/>
  </cols>
  <sheetData>
    <row r="1" spans="1:16" s="371" customFormat="1" ht="12.75" customHeight="1" x14ac:dyDescent="0.25">
      <c r="A1" s="365" t="s">
        <v>0</v>
      </c>
      <c r="B1" s="366"/>
      <c r="C1" s="367" t="s">
        <v>1</v>
      </c>
      <c r="D1" s="366"/>
      <c r="E1" s="368" t="s">
        <v>2</v>
      </c>
      <c r="F1" s="366"/>
      <c r="G1" s="368" t="s">
        <v>3</v>
      </c>
      <c r="H1" s="366"/>
      <c r="I1" s="369" t="s">
        <v>4</v>
      </c>
      <c r="J1" s="370"/>
      <c r="K1" s="370" t="s">
        <v>5</v>
      </c>
      <c r="L1" s="370"/>
      <c r="M1" s="370" t="s">
        <v>6</v>
      </c>
    </row>
    <row r="2" spans="1:16" s="371" customFormat="1" ht="12.75" customHeight="1" x14ac:dyDescent="0.25">
      <c r="A2" s="365">
        <v>44288</v>
      </c>
      <c r="B2" s="366"/>
      <c r="C2" s="367" t="s">
        <v>7</v>
      </c>
      <c r="D2" s="366"/>
      <c r="E2" s="368" t="s">
        <v>13642</v>
      </c>
      <c r="F2" s="366"/>
      <c r="G2" s="368" t="s">
        <v>13643</v>
      </c>
      <c r="H2" s="366"/>
      <c r="I2" s="369" t="s">
        <v>13644</v>
      </c>
      <c r="J2" s="370"/>
      <c r="K2" s="370" t="s">
        <v>13653</v>
      </c>
      <c r="L2" s="370"/>
      <c r="M2" s="370" t="s">
        <v>13645</v>
      </c>
    </row>
    <row r="3" spans="1:16" s="106" customFormat="1" ht="12.65" customHeight="1" x14ac:dyDescent="0.25">
      <c r="A3" s="344">
        <v>44167</v>
      </c>
      <c r="B3" s="105"/>
      <c r="C3" s="343" t="s">
        <v>7</v>
      </c>
      <c r="D3" s="105"/>
      <c r="E3" s="347" t="s">
        <v>8</v>
      </c>
      <c r="F3" s="105"/>
      <c r="G3" s="107" t="s">
        <v>9</v>
      </c>
      <c r="H3" s="105"/>
      <c r="I3" s="107" t="s">
        <v>9</v>
      </c>
      <c r="J3" s="104"/>
      <c r="K3" s="104" t="s">
        <v>10</v>
      </c>
      <c r="L3" s="104"/>
      <c r="M3" s="104" t="s">
        <v>11</v>
      </c>
    </row>
    <row r="4" spans="1:16" s="106" customFormat="1" ht="12.65" customHeight="1" x14ac:dyDescent="0.25">
      <c r="A4" s="344">
        <v>44130</v>
      </c>
      <c r="B4" s="105"/>
      <c r="C4" s="343" t="s">
        <v>7</v>
      </c>
      <c r="D4" s="105"/>
      <c r="E4" s="347" t="s">
        <v>8</v>
      </c>
      <c r="F4" s="105"/>
      <c r="G4" s="107" t="s">
        <v>9</v>
      </c>
      <c r="H4" s="105"/>
      <c r="I4" s="107" t="s">
        <v>9</v>
      </c>
      <c r="J4" s="104"/>
      <c r="K4" s="104" t="s">
        <v>12</v>
      </c>
      <c r="L4" s="104"/>
      <c r="M4" s="104" t="s">
        <v>13</v>
      </c>
    </row>
    <row r="5" spans="1:16" s="106" customFormat="1" ht="12.65" customHeight="1" x14ac:dyDescent="0.25">
      <c r="A5" s="344">
        <v>44091</v>
      </c>
      <c r="B5" s="105"/>
      <c r="C5" s="343" t="s">
        <v>14</v>
      </c>
      <c r="D5" s="105"/>
      <c r="E5" s="347" t="s">
        <v>15</v>
      </c>
      <c r="F5" s="105"/>
      <c r="G5" s="107" t="s">
        <v>9</v>
      </c>
      <c r="H5" s="105"/>
      <c r="I5" s="107" t="s">
        <v>9</v>
      </c>
      <c r="J5" s="104"/>
      <c r="K5" s="104" t="s">
        <v>16</v>
      </c>
      <c r="L5" s="104"/>
      <c r="M5" s="104" t="s">
        <v>17</v>
      </c>
    </row>
    <row r="6" spans="1:16" s="106" customFormat="1" ht="12.65" customHeight="1" x14ac:dyDescent="0.25">
      <c r="A6" s="344">
        <v>44090</v>
      </c>
      <c r="B6" s="105"/>
      <c r="C6" s="343" t="s">
        <v>1</v>
      </c>
      <c r="D6" s="105"/>
      <c r="E6" s="347" t="s">
        <v>18</v>
      </c>
      <c r="F6" s="105"/>
      <c r="G6" s="107" t="s">
        <v>9</v>
      </c>
      <c r="H6" s="105"/>
      <c r="I6" s="107" t="s">
        <v>9</v>
      </c>
      <c r="J6" s="104"/>
      <c r="K6" s="104" t="s">
        <v>19</v>
      </c>
      <c r="L6" s="104"/>
      <c r="M6" s="104" t="s">
        <v>11</v>
      </c>
    </row>
    <row r="7" spans="1:16" s="106" customFormat="1" ht="12.65" customHeight="1" x14ac:dyDescent="0.25">
      <c r="A7" s="344">
        <v>44090</v>
      </c>
      <c r="B7" s="105"/>
      <c r="C7" s="343" t="s">
        <v>1</v>
      </c>
      <c r="D7" s="105"/>
      <c r="E7" s="347" t="s">
        <v>8</v>
      </c>
      <c r="F7" s="105"/>
      <c r="G7" s="107" t="s">
        <v>9</v>
      </c>
      <c r="H7" s="105"/>
      <c r="I7" s="107" t="s">
        <v>9</v>
      </c>
      <c r="J7" s="104"/>
      <c r="K7" s="104" t="s">
        <v>20</v>
      </c>
      <c r="L7" s="104"/>
      <c r="M7" s="104" t="s">
        <v>11</v>
      </c>
    </row>
    <row r="8" spans="1:16" s="106" customFormat="1" ht="12.65" customHeight="1" x14ac:dyDescent="0.25">
      <c r="A8" s="344">
        <v>44082</v>
      </c>
      <c r="B8" s="105"/>
      <c r="C8" s="343" t="s">
        <v>14</v>
      </c>
      <c r="D8" s="105"/>
      <c r="E8" s="347" t="s">
        <v>21</v>
      </c>
      <c r="F8" s="105"/>
      <c r="G8" s="107" t="s">
        <v>22</v>
      </c>
      <c r="H8" s="105"/>
      <c r="I8" s="107" t="s">
        <v>23</v>
      </c>
      <c r="J8" s="104"/>
      <c r="K8" s="104" t="s">
        <v>24</v>
      </c>
      <c r="L8" s="104"/>
      <c r="M8" s="104" t="s">
        <v>25</v>
      </c>
    </row>
    <row r="9" spans="1:16" s="106" customFormat="1" ht="12.75" customHeight="1" x14ac:dyDescent="0.25">
      <c r="A9" s="344">
        <v>44082</v>
      </c>
      <c r="B9" s="105"/>
      <c r="C9" s="343" t="s">
        <v>14</v>
      </c>
      <c r="D9" s="105"/>
      <c r="E9" s="347" t="s">
        <v>21</v>
      </c>
      <c r="F9" s="105"/>
      <c r="G9" s="107" t="s">
        <v>22</v>
      </c>
      <c r="H9" s="105"/>
      <c r="I9" s="107" t="s">
        <v>26</v>
      </c>
      <c r="J9" s="104"/>
      <c r="K9" s="104" t="s">
        <v>24</v>
      </c>
      <c r="L9" s="104"/>
      <c r="M9" s="104" t="s">
        <v>25</v>
      </c>
    </row>
    <row r="10" spans="1:16" s="106" customFormat="1" ht="12.75" customHeight="1" x14ac:dyDescent="0.25">
      <c r="A10" s="344">
        <v>44080</v>
      </c>
      <c r="B10" s="105"/>
      <c r="C10" s="343" t="s">
        <v>1</v>
      </c>
      <c r="D10" s="105"/>
      <c r="E10" s="347" t="s">
        <v>15</v>
      </c>
      <c r="F10" s="105"/>
      <c r="G10" s="347" t="s">
        <v>9</v>
      </c>
      <c r="H10" s="105"/>
      <c r="I10" s="107" t="s">
        <v>9</v>
      </c>
      <c r="J10" s="104"/>
      <c r="K10" s="104" t="s">
        <v>27</v>
      </c>
      <c r="L10" s="104"/>
      <c r="M10" s="104" t="s">
        <v>28</v>
      </c>
    </row>
    <row r="11" spans="1:16" s="106" customFormat="1" ht="12.75" customHeight="1" x14ac:dyDescent="0.25">
      <c r="A11" s="344">
        <v>44077</v>
      </c>
      <c r="B11" s="105"/>
      <c r="C11" s="343" t="s">
        <v>14</v>
      </c>
      <c r="D11" s="105"/>
      <c r="E11" s="347" t="s">
        <v>8</v>
      </c>
      <c r="F11" s="105"/>
      <c r="G11" s="107"/>
      <c r="H11" s="105"/>
      <c r="I11" s="107" t="s">
        <v>29</v>
      </c>
      <c r="J11" s="104"/>
      <c r="K11" s="104" t="s">
        <v>30</v>
      </c>
      <c r="L11" s="104"/>
      <c r="M11" s="104" t="s">
        <v>11</v>
      </c>
    </row>
    <row r="12" spans="1:16" ht="13.5" customHeight="1" x14ac:dyDescent="0.35">
      <c r="A12" s="344">
        <v>44049</v>
      </c>
      <c r="C12" s="343" t="s">
        <v>14</v>
      </c>
      <c r="D12" s="5"/>
      <c r="E12" s="347" t="s">
        <v>8</v>
      </c>
      <c r="F12" s="5"/>
      <c r="G12" s="107"/>
      <c r="H12" s="5"/>
      <c r="I12" s="107" t="s">
        <v>31</v>
      </c>
      <c r="J12" s="5"/>
      <c r="K12" s="104" t="s">
        <v>32</v>
      </c>
      <c r="L12" s="5"/>
      <c r="M12" s="104" t="s">
        <v>33</v>
      </c>
      <c r="N12" s="5"/>
      <c r="O12" s="5"/>
      <c r="P12" s="5"/>
    </row>
    <row r="13" spans="1:16" s="106" customFormat="1" ht="12.75" customHeight="1" x14ac:dyDescent="0.25">
      <c r="A13" s="344">
        <v>44036</v>
      </c>
      <c r="B13" s="105"/>
      <c r="C13" s="343" t="s">
        <v>1</v>
      </c>
      <c r="D13" s="105"/>
      <c r="E13" s="347" t="s">
        <v>15</v>
      </c>
      <c r="F13" s="105"/>
      <c r="G13" s="107" t="s">
        <v>9</v>
      </c>
      <c r="H13" s="105"/>
      <c r="I13" s="107" t="s">
        <v>9</v>
      </c>
      <c r="J13" s="104"/>
      <c r="K13" s="104" t="s">
        <v>27</v>
      </c>
      <c r="L13" s="104"/>
      <c r="M13" s="104" t="s">
        <v>34</v>
      </c>
    </row>
    <row r="14" spans="1:16" s="106" customFormat="1" ht="12.75" customHeight="1" x14ac:dyDescent="0.25">
      <c r="A14" s="344">
        <v>44033</v>
      </c>
      <c r="B14" s="105"/>
      <c r="C14" s="343" t="s">
        <v>35</v>
      </c>
      <c r="D14" s="105"/>
      <c r="E14" s="347" t="s">
        <v>8</v>
      </c>
      <c r="F14" s="105"/>
      <c r="G14" s="107" t="s">
        <v>9</v>
      </c>
      <c r="H14" s="105"/>
      <c r="I14" s="107" t="s">
        <v>9</v>
      </c>
      <c r="J14" s="104"/>
      <c r="K14" s="104" t="s">
        <v>36</v>
      </c>
      <c r="L14" s="104"/>
      <c r="M14" s="104" t="s">
        <v>11</v>
      </c>
    </row>
    <row r="15" spans="1:16" s="106" customFormat="1" ht="12.75" customHeight="1" x14ac:dyDescent="0.25">
      <c r="A15" s="344">
        <v>44033</v>
      </c>
      <c r="B15" s="105"/>
      <c r="C15" s="343" t="s">
        <v>7</v>
      </c>
      <c r="D15" s="105"/>
      <c r="E15" s="347" t="s">
        <v>8</v>
      </c>
      <c r="F15" s="105"/>
      <c r="G15" s="107" t="s">
        <v>9</v>
      </c>
      <c r="H15" s="105"/>
      <c r="I15" s="107" t="s">
        <v>9</v>
      </c>
      <c r="J15" s="104"/>
      <c r="K15" s="104" t="s">
        <v>37</v>
      </c>
      <c r="L15" s="104"/>
      <c r="M15" s="104" t="s">
        <v>11</v>
      </c>
    </row>
    <row r="16" spans="1:16" s="106" customFormat="1" ht="12.75" customHeight="1" x14ac:dyDescent="0.25">
      <c r="A16" s="344">
        <v>44033</v>
      </c>
      <c r="B16" s="105"/>
      <c r="C16" s="343" t="s">
        <v>14</v>
      </c>
      <c r="D16" s="105"/>
      <c r="E16" s="347" t="s">
        <v>18</v>
      </c>
      <c r="F16" s="105"/>
      <c r="G16" s="107" t="s">
        <v>9</v>
      </c>
      <c r="H16" s="105"/>
      <c r="I16" s="107" t="s">
        <v>9</v>
      </c>
      <c r="J16" s="104"/>
      <c r="K16" s="104" t="s">
        <v>38</v>
      </c>
      <c r="L16" s="104"/>
      <c r="M16" s="104" t="s">
        <v>11</v>
      </c>
    </row>
    <row r="20" spans="1:16" ht="13.5" customHeight="1" x14ac:dyDescent="0.35">
      <c r="A20" s="345"/>
      <c r="C20" s="82"/>
      <c r="D20" s="5"/>
      <c r="E20" s="120"/>
      <c r="F20" s="5"/>
      <c r="G20" s="120"/>
      <c r="H20" s="5"/>
      <c r="I20" s="14"/>
      <c r="J20" s="5"/>
      <c r="K20" s="5"/>
      <c r="L20" s="5"/>
      <c r="M20" s="109"/>
      <c r="N20" s="5"/>
      <c r="O20" s="5"/>
      <c r="P20" s="5"/>
    </row>
    <row r="21" spans="1:16" ht="13.5" customHeight="1" x14ac:dyDescent="0.35">
      <c r="A21" s="345"/>
      <c r="C21" s="82"/>
      <c r="D21" s="5"/>
      <c r="E21" s="120"/>
      <c r="F21" s="5"/>
      <c r="G21" s="120"/>
      <c r="H21" s="5"/>
      <c r="I21" s="14"/>
      <c r="J21" s="5"/>
      <c r="K21" s="5"/>
      <c r="L21" s="5"/>
      <c r="M21" s="109"/>
      <c r="N21" s="5"/>
      <c r="O21" s="5"/>
      <c r="P21" s="5"/>
    </row>
    <row r="22" spans="1:16" ht="13.5" customHeight="1" x14ac:dyDescent="0.35">
      <c r="A22" s="345"/>
      <c r="C22" s="82"/>
      <c r="D22" s="5"/>
      <c r="E22" s="120"/>
      <c r="F22" s="5"/>
      <c r="G22" s="120"/>
      <c r="H22" s="5"/>
      <c r="I22" s="14"/>
      <c r="J22" s="5"/>
      <c r="K22" s="109"/>
      <c r="L22" s="5"/>
      <c r="M22" s="109"/>
      <c r="N22" s="5"/>
      <c r="O22" s="5"/>
      <c r="P22" s="5"/>
    </row>
    <row r="23" spans="1:16" ht="13.5" customHeight="1" x14ac:dyDescent="0.35">
      <c r="A23" s="345"/>
      <c r="C23" s="82"/>
      <c r="D23" s="5"/>
      <c r="E23" s="120"/>
      <c r="F23" s="5"/>
      <c r="G23" s="120"/>
      <c r="H23" s="5"/>
      <c r="I23" s="14"/>
      <c r="J23" s="5"/>
      <c r="K23" s="109"/>
      <c r="L23" s="5"/>
      <c r="M23" s="109"/>
      <c r="N23" s="5"/>
      <c r="O23" s="5"/>
      <c r="P23" s="5"/>
    </row>
    <row r="24" spans="1:16" ht="13.5" customHeight="1" x14ac:dyDescent="0.35">
      <c r="A24" s="345"/>
      <c r="C24" s="82"/>
      <c r="D24" s="5"/>
      <c r="E24" s="120"/>
      <c r="F24" s="5"/>
      <c r="G24" s="120"/>
      <c r="H24" s="5"/>
      <c r="I24" s="108"/>
      <c r="J24" s="5"/>
      <c r="K24" s="5"/>
      <c r="L24" s="5"/>
      <c r="M24" s="109"/>
      <c r="N24" s="5"/>
      <c r="O24" s="5"/>
      <c r="P24" s="5"/>
    </row>
    <row r="25" spans="1:16" ht="13.5" customHeight="1" x14ac:dyDescent="0.35">
      <c r="A25" s="345"/>
      <c r="C25" s="82"/>
      <c r="D25" s="5"/>
      <c r="E25" s="120"/>
      <c r="F25" s="5"/>
      <c r="G25" s="120"/>
      <c r="H25" s="5"/>
      <c r="I25" s="108"/>
      <c r="J25" s="5"/>
      <c r="K25" s="5"/>
      <c r="L25" s="5"/>
      <c r="M25" s="109"/>
      <c r="N25" s="5"/>
      <c r="O25" s="5"/>
      <c r="P25" s="5"/>
    </row>
    <row r="26" spans="1:16" ht="13.5" customHeight="1" x14ac:dyDescent="0.35">
      <c r="A26" s="345"/>
      <c r="C26" s="82"/>
      <c r="D26" s="5"/>
      <c r="E26" s="120"/>
      <c r="F26" s="5"/>
      <c r="G26" s="120"/>
      <c r="H26" s="5"/>
      <c r="I26" s="108"/>
      <c r="J26" s="5"/>
      <c r="K26" s="5"/>
      <c r="L26" s="5"/>
      <c r="M26" s="109"/>
      <c r="N26" s="5"/>
      <c r="O26" s="5"/>
      <c r="P26" s="5"/>
    </row>
    <row r="27" spans="1:16" ht="13.5" customHeight="1" x14ac:dyDescent="0.35">
      <c r="A27" s="345"/>
      <c r="C27" s="82"/>
      <c r="D27" s="5"/>
      <c r="E27" s="120"/>
      <c r="F27" s="5"/>
      <c r="G27" s="120"/>
      <c r="H27" s="5"/>
      <c r="I27" s="108"/>
      <c r="J27" s="5"/>
      <c r="K27" s="5"/>
      <c r="L27" s="5"/>
      <c r="N27" s="5"/>
      <c r="O27" s="5"/>
      <c r="P27" s="5"/>
    </row>
    <row r="28" spans="1:16" ht="13.5" customHeight="1" x14ac:dyDescent="0.35">
      <c r="A28" s="345"/>
      <c r="C28" s="82"/>
      <c r="D28" s="5"/>
      <c r="E28" s="120"/>
      <c r="F28" s="5"/>
      <c r="G28" s="120"/>
      <c r="H28" s="5"/>
      <c r="I28" s="108"/>
      <c r="J28" s="5"/>
      <c r="K28" s="5"/>
      <c r="L28" s="5"/>
      <c r="M28" s="109"/>
      <c r="N28" s="5"/>
      <c r="O28" s="5"/>
      <c r="P28" s="5"/>
    </row>
    <row r="29" spans="1:16" ht="13.5" customHeight="1" x14ac:dyDescent="0.35">
      <c r="A29" s="345"/>
      <c r="C29" s="82"/>
      <c r="D29" s="5"/>
      <c r="E29" s="120"/>
      <c r="F29" s="5"/>
      <c r="G29" s="120"/>
      <c r="H29" s="5"/>
      <c r="I29" s="108"/>
      <c r="J29" s="5"/>
      <c r="K29" s="5"/>
      <c r="L29" s="5"/>
      <c r="M29" s="109"/>
      <c r="N29" s="5"/>
      <c r="O29" s="5"/>
      <c r="P29" s="5"/>
    </row>
    <row r="30" spans="1:16" ht="13.5" customHeight="1" x14ac:dyDescent="0.35">
      <c r="A30" s="345"/>
      <c r="C30" s="82"/>
      <c r="D30" s="5"/>
      <c r="E30" s="120"/>
      <c r="F30" s="5"/>
      <c r="G30" s="120"/>
      <c r="H30" s="5"/>
      <c r="I30" s="108"/>
      <c r="J30" s="5"/>
      <c r="K30" s="5"/>
      <c r="L30" s="5"/>
      <c r="M30" s="109"/>
      <c r="N30" s="5"/>
      <c r="O30" s="5"/>
      <c r="P30" s="5"/>
    </row>
    <row r="31" spans="1:16" ht="13.5" customHeight="1" x14ac:dyDescent="0.35">
      <c r="A31" s="345"/>
      <c r="C31" s="82"/>
      <c r="D31" s="5"/>
      <c r="E31" s="120"/>
      <c r="F31" s="5"/>
      <c r="G31" s="120"/>
      <c r="H31" s="5"/>
      <c r="I31" s="108"/>
      <c r="J31" s="5"/>
      <c r="K31" s="5"/>
      <c r="L31" s="5"/>
      <c r="M31" s="109"/>
      <c r="N31" s="5"/>
      <c r="O31" s="5"/>
      <c r="P31" s="5"/>
    </row>
    <row r="32" spans="1:16" ht="13.5" customHeight="1" x14ac:dyDescent="0.35">
      <c r="A32" s="345"/>
      <c r="C32" s="82"/>
      <c r="D32" s="5"/>
      <c r="E32" s="120"/>
      <c r="F32" s="5"/>
      <c r="G32" s="120"/>
      <c r="H32" s="5"/>
      <c r="I32" s="108"/>
      <c r="J32" s="5"/>
      <c r="K32" s="5"/>
      <c r="L32" s="5"/>
      <c r="M32" s="109"/>
      <c r="N32" s="5"/>
      <c r="O32" s="5"/>
      <c r="P32" s="5"/>
    </row>
    <row r="33" spans="1:16" ht="13.5" customHeight="1" x14ac:dyDescent="0.35">
      <c r="A33" s="345"/>
      <c r="C33" s="82"/>
      <c r="D33" s="5"/>
      <c r="E33" s="120"/>
      <c r="F33" s="5"/>
      <c r="G33" s="120"/>
      <c r="H33" s="5"/>
      <c r="I33" s="108"/>
      <c r="J33" s="5"/>
      <c r="K33" s="5"/>
      <c r="L33" s="5"/>
      <c r="N33" s="5"/>
      <c r="O33" s="5"/>
      <c r="P33" s="5"/>
    </row>
    <row r="34" spans="1:16" ht="13.5" customHeight="1" x14ac:dyDescent="0.35">
      <c r="A34" s="345"/>
      <c r="C34" s="82"/>
      <c r="D34" s="5"/>
      <c r="E34" s="120"/>
      <c r="F34" s="5"/>
      <c r="G34" s="120"/>
      <c r="H34" s="5"/>
      <c r="I34" s="108"/>
      <c r="J34" s="5"/>
      <c r="K34" s="5"/>
      <c r="L34" s="5"/>
      <c r="M34" s="109"/>
      <c r="N34" s="5"/>
      <c r="O34" s="5"/>
      <c r="P34" s="5"/>
    </row>
    <row r="35" spans="1:16" ht="13.5" customHeight="1" x14ac:dyDescent="0.35">
      <c r="A35" s="345"/>
      <c r="C35" s="82"/>
      <c r="D35" s="5"/>
      <c r="E35" s="120"/>
      <c r="F35" s="5"/>
      <c r="G35" s="120"/>
      <c r="H35" s="5"/>
      <c r="I35" s="108"/>
      <c r="J35" s="5"/>
      <c r="K35" s="5"/>
      <c r="L35" s="5"/>
      <c r="M35" s="109"/>
      <c r="N35" s="5"/>
      <c r="O35" s="5"/>
      <c r="P35" s="5"/>
    </row>
    <row r="36" spans="1:16" ht="12.75" customHeight="1" x14ac:dyDescent="0.35">
      <c r="A36" s="345"/>
      <c r="C36" s="82"/>
      <c r="D36" s="5"/>
      <c r="E36" s="120"/>
      <c r="F36" s="5"/>
      <c r="G36" s="120"/>
      <c r="H36" s="5"/>
      <c r="I36" s="108"/>
      <c r="J36" s="5"/>
      <c r="K36" s="5"/>
      <c r="L36" s="5"/>
      <c r="M36" s="109"/>
      <c r="N36" s="5"/>
      <c r="O36" s="5"/>
      <c r="P36" s="5"/>
    </row>
    <row r="37" spans="1:16" ht="13.5" customHeight="1" x14ac:dyDescent="0.35">
      <c r="A37" s="345"/>
      <c r="C37" s="82"/>
      <c r="D37" s="5"/>
      <c r="E37" s="120"/>
      <c r="F37" s="5"/>
      <c r="G37" s="120"/>
      <c r="H37" s="5"/>
      <c r="I37" s="108"/>
      <c r="J37" s="5"/>
      <c r="K37" s="5"/>
      <c r="L37" s="5"/>
      <c r="M37" s="109"/>
      <c r="N37" s="5"/>
      <c r="O37" s="5"/>
      <c r="P37" s="5"/>
    </row>
    <row r="38" spans="1:16" ht="13.5" customHeight="1" x14ac:dyDescent="0.35">
      <c r="A38" s="345"/>
      <c r="C38" s="82"/>
      <c r="D38" s="5"/>
      <c r="E38" s="120"/>
      <c r="F38" s="5"/>
      <c r="G38" s="120"/>
      <c r="H38" s="5"/>
      <c r="I38" s="108"/>
      <c r="J38" s="5"/>
      <c r="K38" s="5"/>
      <c r="L38" s="5"/>
      <c r="M38" s="109"/>
      <c r="N38" s="5"/>
      <c r="O38" s="5"/>
      <c r="P38" s="5"/>
    </row>
    <row r="39" spans="1:16" ht="12.75" customHeight="1" x14ac:dyDescent="0.35">
      <c r="A39" s="345"/>
      <c r="C39" s="82"/>
      <c r="D39" s="5"/>
      <c r="E39" s="120"/>
      <c r="F39" s="5"/>
      <c r="G39" s="120"/>
      <c r="H39" s="5"/>
      <c r="I39" s="108"/>
      <c r="J39" s="5"/>
      <c r="K39" s="5"/>
      <c r="L39" s="5"/>
      <c r="M39" s="109"/>
      <c r="N39" s="5"/>
      <c r="O39" s="5"/>
      <c r="P39" s="5"/>
    </row>
    <row r="40" spans="1:16" ht="12.75" customHeight="1" x14ac:dyDescent="0.35">
      <c r="A40" s="345"/>
      <c r="C40" s="82"/>
      <c r="D40" s="5"/>
      <c r="E40" s="120"/>
      <c r="F40" s="5"/>
      <c r="G40" s="120"/>
      <c r="H40" s="5"/>
      <c r="I40" s="108"/>
      <c r="J40" s="5"/>
      <c r="K40" s="5"/>
      <c r="L40" s="5"/>
      <c r="M40" s="109"/>
      <c r="N40" s="5"/>
      <c r="O40" s="5"/>
      <c r="P40" s="5"/>
    </row>
    <row r="41" spans="1:16" ht="12.75" customHeight="1" x14ac:dyDescent="0.35">
      <c r="A41" s="345"/>
      <c r="C41" s="82"/>
      <c r="D41" s="5"/>
      <c r="E41" s="120"/>
      <c r="F41" s="5"/>
      <c r="G41" s="120"/>
      <c r="H41" s="5"/>
      <c r="I41" s="108"/>
      <c r="J41" s="5"/>
      <c r="K41" s="5"/>
      <c r="L41" s="5"/>
      <c r="M41" s="109"/>
      <c r="N41" s="5"/>
      <c r="O41" s="5"/>
      <c r="P41" s="5"/>
    </row>
    <row r="42" spans="1:16" ht="12.75" customHeight="1" x14ac:dyDescent="0.35">
      <c r="A42" s="345"/>
      <c r="C42" s="82"/>
      <c r="D42" s="5"/>
      <c r="E42" s="120"/>
      <c r="F42" s="5"/>
      <c r="G42" s="120"/>
      <c r="H42" s="5"/>
      <c r="I42" s="108"/>
      <c r="J42" s="5"/>
      <c r="K42" s="5"/>
      <c r="L42" s="5"/>
      <c r="M42" s="109"/>
      <c r="N42" s="5"/>
      <c r="O42" s="5"/>
      <c r="P42" s="5"/>
    </row>
    <row r="43" spans="1:16" ht="12.75" customHeight="1" x14ac:dyDescent="0.35">
      <c r="A43" s="345"/>
      <c r="C43" s="82"/>
      <c r="D43" s="5"/>
      <c r="E43" s="120"/>
      <c r="F43" s="5"/>
      <c r="G43" s="120"/>
      <c r="H43" s="5"/>
      <c r="I43" s="108"/>
      <c r="J43" s="5"/>
      <c r="K43" s="5"/>
      <c r="L43" s="5"/>
      <c r="M43" s="109"/>
      <c r="N43" s="5"/>
      <c r="O43" s="5"/>
      <c r="P43" s="5"/>
    </row>
    <row r="44" spans="1:16" ht="12.75" customHeight="1" x14ac:dyDescent="0.35">
      <c r="A44" s="345"/>
      <c r="C44" s="82"/>
      <c r="D44" s="5"/>
      <c r="E44" s="120"/>
      <c r="F44" s="5"/>
      <c r="G44" s="120"/>
      <c r="H44" s="5"/>
      <c r="I44" s="108"/>
      <c r="J44" s="5"/>
      <c r="K44" s="5"/>
      <c r="L44" s="5"/>
      <c r="M44" s="109"/>
      <c r="N44" s="5"/>
      <c r="O44" s="5"/>
      <c r="P44" s="5"/>
    </row>
    <row r="45" spans="1:16" ht="12.75" customHeight="1" x14ac:dyDescent="0.35">
      <c r="A45" s="345"/>
      <c r="C45" s="82"/>
      <c r="D45" s="5"/>
      <c r="E45" s="120"/>
      <c r="F45" s="5"/>
      <c r="G45" s="120"/>
      <c r="H45" s="5"/>
      <c r="I45" s="108"/>
      <c r="J45" s="5"/>
      <c r="K45" s="5"/>
      <c r="L45" s="5"/>
      <c r="M45" s="109"/>
      <c r="N45" s="5"/>
      <c r="O45" s="5"/>
      <c r="P45" s="5"/>
    </row>
    <row r="46" spans="1:16" ht="12.75" customHeight="1" x14ac:dyDescent="0.35">
      <c r="A46" s="345"/>
      <c r="C46" s="82"/>
      <c r="D46" s="5"/>
      <c r="E46" s="120"/>
      <c r="F46" s="5"/>
      <c r="G46" s="120"/>
      <c r="H46" s="5"/>
      <c r="I46" s="108"/>
      <c r="J46" s="5"/>
      <c r="K46" s="5"/>
      <c r="L46" s="5"/>
      <c r="M46" s="109"/>
      <c r="N46" s="5"/>
      <c r="O46" s="5"/>
      <c r="P46" s="5"/>
    </row>
    <row r="47" spans="1:16" ht="12.75" customHeight="1" x14ac:dyDescent="0.35">
      <c r="A47" s="345"/>
      <c r="C47" s="82"/>
      <c r="D47" s="5"/>
      <c r="E47" s="120"/>
      <c r="F47" s="5"/>
      <c r="G47" s="120"/>
      <c r="H47" s="5"/>
      <c r="I47" s="108"/>
      <c r="J47" s="5"/>
      <c r="K47" s="5"/>
      <c r="L47" s="5"/>
      <c r="M47" s="109"/>
      <c r="N47" s="5"/>
      <c r="O47" s="5"/>
      <c r="P47" s="5"/>
    </row>
    <row r="48" spans="1:16" ht="12.75" customHeight="1" x14ac:dyDescent="0.35">
      <c r="A48" s="345"/>
      <c r="C48" s="82"/>
      <c r="D48" s="5"/>
      <c r="E48" s="120"/>
      <c r="F48" s="5"/>
      <c r="G48" s="120"/>
      <c r="H48" s="5"/>
      <c r="I48" s="108"/>
      <c r="J48" s="5"/>
      <c r="K48" s="5"/>
      <c r="L48" s="5"/>
      <c r="M48" s="109"/>
      <c r="N48" s="5"/>
      <c r="O48" s="5"/>
      <c r="P48" s="5"/>
    </row>
    <row r="49" spans="1:16" ht="13.5" customHeight="1" x14ac:dyDescent="0.35">
      <c r="A49" s="345"/>
      <c r="C49" s="83"/>
      <c r="D49" s="5"/>
      <c r="E49" s="120"/>
      <c r="F49" s="5"/>
      <c r="G49" s="120"/>
      <c r="H49" s="5"/>
      <c r="I49" s="108"/>
      <c r="J49" s="5"/>
      <c r="K49" s="112"/>
      <c r="L49" s="5"/>
      <c r="N49" s="5"/>
      <c r="O49" s="5"/>
      <c r="P49" s="5"/>
    </row>
    <row r="50" spans="1:16" ht="13.5" customHeight="1" x14ac:dyDescent="0.35">
      <c r="A50" s="345"/>
      <c r="C50" s="83"/>
      <c r="D50" s="5"/>
      <c r="E50" s="120"/>
      <c r="F50" s="5"/>
      <c r="G50" s="120"/>
      <c r="H50" s="5"/>
      <c r="I50" s="108"/>
      <c r="J50" s="5"/>
      <c r="K50" s="112"/>
      <c r="L50" s="5"/>
      <c r="N50" s="5"/>
      <c r="O50" s="5"/>
      <c r="P50" s="5"/>
    </row>
    <row r="51" spans="1:16" ht="13.5" customHeight="1" x14ac:dyDescent="0.35">
      <c r="A51" s="345"/>
      <c r="C51" s="82"/>
      <c r="D51" s="5"/>
      <c r="E51" s="120"/>
      <c r="F51" s="5"/>
      <c r="G51" s="120"/>
      <c r="H51" s="5"/>
      <c r="I51" s="108"/>
      <c r="J51" s="5"/>
      <c r="K51" s="5"/>
      <c r="L51" s="5"/>
      <c r="M51" s="109"/>
      <c r="N51" s="5"/>
      <c r="O51" s="5"/>
      <c r="P51" s="5"/>
    </row>
    <row r="52" spans="1:16" ht="13.5" customHeight="1" x14ac:dyDescent="0.35">
      <c r="A52" s="345"/>
      <c r="C52" s="82"/>
      <c r="D52" s="5"/>
      <c r="E52" s="120"/>
      <c r="F52" s="5"/>
      <c r="G52" s="120"/>
      <c r="H52" s="5"/>
      <c r="I52" s="108"/>
      <c r="J52" s="5"/>
      <c r="K52" s="5"/>
      <c r="L52" s="5"/>
      <c r="M52" s="109"/>
      <c r="N52" s="5"/>
      <c r="O52" s="5"/>
      <c r="P52" s="5"/>
    </row>
    <row r="53" spans="1:16" ht="13.5" customHeight="1" x14ac:dyDescent="0.35">
      <c r="A53" s="345"/>
      <c r="C53" s="82"/>
      <c r="D53" s="5"/>
      <c r="E53" s="120"/>
      <c r="F53" s="5"/>
      <c r="G53" s="120"/>
      <c r="H53" s="5"/>
      <c r="I53" s="108"/>
      <c r="J53" s="5"/>
      <c r="K53" s="5"/>
      <c r="L53" s="5"/>
      <c r="M53" s="109"/>
      <c r="N53" s="5"/>
      <c r="O53" s="5"/>
      <c r="P53" s="5"/>
    </row>
    <row r="54" spans="1:16" ht="13.5" customHeight="1" x14ac:dyDescent="0.35">
      <c r="A54" s="345"/>
      <c r="C54" s="82"/>
      <c r="D54" s="5"/>
      <c r="E54" s="120"/>
      <c r="F54" s="5"/>
      <c r="G54" s="120"/>
      <c r="H54" s="5"/>
      <c r="I54" s="108"/>
      <c r="J54" s="5"/>
      <c r="K54" s="5"/>
      <c r="L54" s="5"/>
      <c r="M54" s="109"/>
      <c r="N54" s="5"/>
      <c r="O54" s="5"/>
      <c r="P54" s="5"/>
    </row>
    <row r="55" spans="1:16" ht="13.5" customHeight="1" x14ac:dyDescent="0.35">
      <c r="A55" s="345"/>
      <c r="C55" s="82"/>
      <c r="D55" s="5"/>
      <c r="E55" s="120"/>
      <c r="F55" s="5"/>
      <c r="G55" s="120"/>
      <c r="H55" s="5"/>
      <c r="I55" s="108"/>
      <c r="J55" s="5"/>
      <c r="K55" s="5"/>
      <c r="L55" s="5"/>
      <c r="M55" s="109"/>
      <c r="N55" s="5"/>
      <c r="O55" s="5"/>
      <c r="P55" s="5"/>
    </row>
    <row r="56" spans="1:16" ht="13.5" customHeight="1" x14ac:dyDescent="0.35">
      <c r="A56" s="345"/>
      <c r="C56" s="82"/>
      <c r="D56" s="5"/>
      <c r="E56" s="120"/>
      <c r="F56" s="5"/>
      <c r="G56" s="120"/>
      <c r="H56" s="5"/>
      <c r="I56" s="108"/>
      <c r="J56" s="5"/>
      <c r="K56" s="5"/>
      <c r="L56" s="5"/>
      <c r="M56" s="109"/>
      <c r="N56" s="5"/>
      <c r="O56" s="5"/>
      <c r="P56" s="5"/>
    </row>
    <row r="57" spans="1:16" ht="13.5" customHeight="1" x14ac:dyDescent="0.35">
      <c r="A57" s="345"/>
      <c r="C57" s="82"/>
      <c r="D57" s="5"/>
      <c r="E57" s="120"/>
      <c r="F57" s="5"/>
      <c r="G57" s="120"/>
      <c r="H57" s="5"/>
      <c r="I57" s="108"/>
      <c r="J57" s="5"/>
      <c r="K57" s="5"/>
      <c r="L57" s="5"/>
      <c r="M57" s="109"/>
      <c r="N57" s="5"/>
      <c r="O57" s="5"/>
      <c r="P57" s="5"/>
    </row>
    <row r="58" spans="1:16" ht="13.5" customHeight="1" x14ac:dyDescent="0.35">
      <c r="A58" s="345"/>
      <c r="C58" s="82"/>
      <c r="D58" s="5"/>
      <c r="E58" s="120"/>
      <c r="F58" s="5"/>
      <c r="G58" s="120"/>
      <c r="H58" s="5"/>
      <c r="I58" s="108"/>
      <c r="J58" s="5"/>
      <c r="K58" s="5"/>
      <c r="L58" s="5"/>
      <c r="M58" s="109"/>
      <c r="N58" s="5"/>
      <c r="O58" s="5"/>
      <c r="P58" s="5"/>
    </row>
    <row r="59" spans="1:16" ht="13.5" customHeight="1" x14ac:dyDescent="0.35">
      <c r="A59" s="345"/>
      <c r="C59" s="82"/>
      <c r="D59" s="5"/>
      <c r="E59" s="120"/>
      <c r="F59" s="5"/>
      <c r="G59" s="120"/>
      <c r="H59" s="5"/>
      <c r="I59" s="108"/>
      <c r="J59" s="5"/>
      <c r="K59" s="5"/>
      <c r="L59" s="5"/>
      <c r="N59" s="5"/>
      <c r="O59" s="5"/>
      <c r="P59" s="5"/>
    </row>
    <row r="60" spans="1:16" ht="13.5" customHeight="1" x14ac:dyDescent="0.35">
      <c r="A60" s="345"/>
      <c r="C60" s="82"/>
      <c r="D60" s="5"/>
      <c r="E60" s="120"/>
      <c r="F60" s="5"/>
      <c r="G60" s="120"/>
      <c r="H60" s="5"/>
      <c r="I60" s="108"/>
      <c r="J60" s="5"/>
      <c r="K60" s="5"/>
      <c r="L60" s="5"/>
      <c r="N60" s="5"/>
      <c r="O60" s="5"/>
      <c r="P60" s="5"/>
    </row>
    <row r="61" spans="1:16" ht="13.5" customHeight="1" x14ac:dyDescent="0.35">
      <c r="A61" s="345"/>
      <c r="C61" s="82"/>
      <c r="D61" s="5"/>
      <c r="E61" s="120"/>
      <c r="F61" s="5"/>
      <c r="G61" s="120"/>
      <c r="H61" s="5"/>
      <c r="I61" s="108"/>
      <c r="J61" s="5"/>
      <c r="K61" s="112"/>
      <c r="L61" s="5"/>
      <c r="M61" s="109"/>
      <c r="N61" s="5"/>
      <c r="O61" s="5"/>
      <c r="P61" s="5"/>
    </row>
    <row r="62" spans="1:16" ht="12" customHeight="1" x14ac:dyDescent="0.35">
      <c r="A62" s="345"/>
      <c r="C62" s="82"/>
      <c r="D62" s="5"/>
      <c r="E62" s="120"/>
      <c r="F62" s="5"/>
      <c r="G62" s="120"/>
      <c r="H62" s="5"/>
      <c r="I62" s="108"/>
      <c r="J62" s="5"/>
      <c r="K62" s="112"/>
      <c r="L62" s="5"/>
      <c r="M62" s="109"/>
      <c r="N62" s="5"/>
      <c r="O62" s="5"/>
      <c r="P62" s="5"/>
    </row>
    <row r="63" spans="1:16" ht="12" customHeight="1" x14ac:dyDescent="0.35">
      <c r="A63" s="345"/>
      <c r="C63" s="82"/>
      <c r="D63" s="5"/>
      <c r="E63" s="120"/>
      <c r="F63" s="5"/>
      <c r="G63" s="120"/>
      <c r="H63" s="5"/>
      <c r="I63" s="108"/>
      <c r="J63" s="5"/>
      <c r="K63" s="112"/>
      <c r="L63" s="5"/>
      <c r="M63" s="109"/>
      <c r="N63" s="5"/>
      <c r="O63" s="5"/>
      <c r="P63" s="5"/>
    </row>
    <row r="64" spans="1:16" ht="12" customHeight="1" x14ac:dyDescent="0.35">
      <c r="A64" s="345"/>
      <c r="C64" s="82"/>
      <c r="D64" s="5"/>
      <c r="E64" s="120"/>
      <c r="F64" s="5"/>
      <c r="G64" s="120"/>
      <c r="H64" s="5"/>
      <c r="I64" s="108"/>
      <c r="J64" s="5"/>
      <c r="K64" s="5"/>
      <c r="L64" s="5"/>
      <c r="N64" s="5"/>
      <c r="O64" s="5"/>
      <c r="P64" s="5"/>
    </row>
    <row r="65" spans="1:16" ht="12" customHeight="1" x14ac:dyDescent="0.35">
      <c r="A65" s="345"/>
      <c r="C65" s="82"/>
      <c r="D65" s="5"/>
      <c r="E65" s="120"/>
      <c r="F65" s="5"/>
      <c r="G65" s="120"/>
      <c r="H65" s="5"/>
      <c r="I65" s="108"/>
      <c r="J65" s="5"/>
      <c r="K65" s="5"/>
      <c r="L65" s="5"/>
      <c r="M65" s="109"/>
      <c r="N65" s="5"/>
      <c r="O65" s="5"/>
      <c r="P65" s="5"/>
    </row>
    <row r="66" spans="1:16" ht="12" customHeight="1" x14ac:dyDescent="0.35">
      <c r="A66" s="345"/>
      <c r="C66" s="82"/>
      <c r="D66" s="5"/>
      <c r="E66" s="120"/>
      <c r="F66" s="5"/>
      <c r="G66" s="120"/>
      <c r="H66" s="5"/>
      <c r="I66" s="108"/>
      <c r="J66" s="5"/>
      <c r="K66" s="5"/>
      <c r="L66" s="5"/>
      <c r="M66" s="109"/>
      <c r="N66" s="5"/>
      <c r="O66" s="5"/>
      <c r="P66" s="5"/>
    </row>
    <row r="67" spans="1:16" ht="12.75" customHeight="1" x14ac:dyDescent="0.35">
      <c r="A67" s="345"/>
      <c r="C67" s="82"/>
      <c r="D67" s="5"/>
      <c r="E67" s="120"/>
      <c r="F67" s="5"/>
      <c r="G67" s="120"/>
      <c r="H67" s="5"/>
      <c r="I67" s="108"/>
      <c r="J67" s="5"/>
      <c r="K67" s="5"/>
      <c r="L67" s="5"/>
      <c r="M67" s="109"/>
      <c r="N67" s="5"/>
      <c r="O67" s="5"/>
      <c r="P67" s="5"/>
    </row>
    <row r="68" spans="1:16" ht="12" customHeight="1" x14ac:dyDescent="0.35">
      <c r="A68" s="345"/>
      <c r="C68" s="82"/>
      <c r="D68" s="5"/>
      <c r="E68" s="120"/>
      <c r="F68" s="5"/>
      <c r="G68" s="120"/>
      <c r="H68" s="5"/>
      <c r="I68" s="108"/>
      <c r="J68" s="5"/>
      <c r="K68" s="5"/>
      <c r="L68" s="5"/>
      <c r="M68" s="109"/>
      <c r="N68" s="5"/>
      <c r="O68" s="5"/>
      <c r="P68" s="5"/>
    </row>
    <row r="69" spans="1:16" ht="12.75" customHeight="1" x14ac:dyDescent="0.35">
      <c r="A69" s="345"/>
      <c r="C69" s="82"/>
      <c r="D69" s="5"/>
      <c r="E69" s="120"/>
      <c r="F69" s="5"/>
      <c r="G69" s="120"/>
      <c r="H69" s="5"/>
      <c r="I69" s="108"/>
      <c r="J69" s="5"/>
      <c r="K69" s="5"/>
      <c r="L69" s="5"/>
      <c r="M69" s="109"/>
      <c r="N69" s="5"/>
      <c r="O69" s="5"/>
      <c r="P69" s="5"/>
    </row>
    <row r="70" spans="1:16" ht="12.75" customHeight="1" x14ac:dyDescent="0.35">
      <c r="A70" s="345"/>
      <c r="C70" s="82"/>
      <c r="D70" s="5"/>
      <c r="E70" s="120"/>
      <c r="F70" s="5"/>
      <c r="G70" s="120"/>
      <c r="H70" s="5"/>
      <c r="I70" s="108"/>
      <c r="J70" s="5"/>
      <c r="K70" s="5"/>
      <c r="L70" s="5"/>
      <c r="M70" s="109"/>
      <c r="N70" s="5"/>
      <c r="O70" s="5"/>
      <c r="P70" s="5"/>
    </row>
    <row r="71" spans="1:16" ht="12.75" customHeight="1" x14ac:dyDescent="0.35">
      <c r="A71" s="345"/>
      <c r="C71" s="82"/>
      <c r="D71" s="5"/>
      <c r="E71" s="120"/>
      <c r="F71" s="5"/>
      <c r="G71" s="120"/>
      <c r="H71" s="5"/>
      <c r="I71" s="108"/>
      <c r="J71" s="5"/>
      <c r="K71" s="5"/>
      <c r="L71" s="5"/>
      <c r="M71" s="109"/>
      <c r="N71" s="5"/>
      <c r="O71" s="5"/>
      <c r="P71" s="5"/>
    </row>
    <row r="72" spans="1:16" ht="12" customHeight="1" x14ac:dyDescent="0.35">
      <c r="A72" s="345"/>
      <c r="C72" s="82"/>
      <c r="D72" s="5"/>
      <c r="E72" s="120"/>
      <c r="F72" s="5"/>
      <c r="G72" s="120"/>
      <c r="H72" s="5"/>
      <c r="I72" s="108"/>
      <c r="J72" s="5"/>
      <c r="K72" s="5"/>
      <c r="L72" s="5"/>
      <c r="M72" s="109"/>
      <c r="N72" s="5"/>
      <c r="O72" s="5"/>
      <c r="P72" s="5"/>
    </row>
    <row r="73" spans="1:16" ht="12.75" customHeight="1" x14ac:dyDescent="0.35">
      <c r="A73" s="345"/>
      <c r="C73" s="82"/>
      <c r="D73" s="5"/>
      <c r="E73" s="120"/>
      <c r="F73" s="5"/>
      <c r="G73" s="120"/>
      <c r="H73" s="5"/>
      <c r="I73" s="108"/>
      <c r="J73" s="5"/>
      <c r="K73" s="5"/>
      <c r="L73" s="5"/>
      <c r="N73" s="5"/>
      <c r="O73" s="5"/>
      <c r="P73" s="5"/>
    </row>
    <row r="74" spans="1:16" ht="12.75" customHeight="1" x14ac:dyDescent="0.35">
      <c r="A74" s="345"/>
      <c r="C74" s="82"/>
      <c r="D74" s="5"/>
      <c r="E74" s="120"/>
      <c r="F74" s="5"/>
      <c r="G74" s="120"/>
      <c r="H74" s="5"/>
      <c r="I74" s="108"/>
      <c r="J74" s="5"/>
      <c r="K74" s="5"/>
      <c r="L74" s="5"/>
      <c r="M74" s="109"/>
      <c r="N74" s="5"/>
      <c r="O74" s="5"/>
      <c r="P74" s="5"/>
    </row>
    <row r="75" spans="1:16" ht="12.75" customHeight="1" x14ac:dyDescent="0.35">
      <c r="A75" s="345"/>
      <c r="C75" s="82"/>
      <c r="D75" s="5"/>
      <c r="E75" s="120"/>
      <c r="F75" s="5"/>
      <c r="G75" s="120"/>
      <c r="H75" s="5"/>
      <c r="I75" s="108"/>
      <c r="J75" s="5"/>
      <c r="K75" s="5"/>
      <c r="L75" s="5"/>
      <c r="M75" s="109"/>
      <c r="N75" s="5"/>
      <c r="O75" s="5"/>
      <c r="P75" s="5"/>
    </row>
    <row r="76" spans="1:16" ht="12.75" customHeight="1" x14ac:dyDescent="0.35">
      <c r="A76" s="345"/>
      <c r="C76" s="82"/>
      <c r="D76" s="5"/>
      <c r="E76" s="120"/>
      <c r="F76" s="5"/>
      <c r="G76" s="120"/>
      <c r="H76" s="5"/>
      <c r="I76" s="108"/>
      <c r="J76" s="5"/>
      <c r="K76" s="5"/>
      <c r="L76" s="5"/>
      <c r="M76" s="109"/>
      <c r="N76" s="5"/>
      <c r="O76" s="5"/>
      <c r="P76" s="5"/>
    </row>
    <row r="77" spans="1:16" ht="12.75" customHeight="1" x14ac:dyDescent="0.35">
      <c r="A77" s="345"/>
      <c r="C77" s="82"/>
      <c r="D77" s="5"/>
      <c r="E77" s="120"/>
      <c r="F77" s="5"/>
      <c r="G77" s="120"/>
      <c r="H77" s="5"/>
      <c r="I77" s="108"/>
      <c r="J77" s="5"/>
      <c r="K77" s="5"/>
      <c r="L77" s="5"/>
      <c r="M77" s="109"/>
      <c r="N77" s="5"/>
      <c r="O77" s="5"/>
      <c r="P77" s="5"/>
    </row>
    <row r="78" spans="1:16" ht="12.75" customHeight="1" x14ac:dyDescent="0.35">
      <c r="A78" s="345"/>
      <c r="C78" s="82"/>
      <c r="D78" s="5"/>
      <c r="E78" s="120"/>
      <c r="F78" s="5"/>
      <c r="G78" s="120"/>
      <c r="H78" s="5"/>
      <c r="I78" s="108"/>
      <c r="J78" s="5"/>
      <c r="K78" s="5"/>
      <c r="L78" s="5"/>
      <c r="M78" s="109"/>
      <c r="N78" s="5"/>
      <c r="O78" s="5"/>
      <c r="P78" s="5"/>
    </row>
    <row r="79" spans="1:16" ht="13.5" customHeight="1" x14ac:dyDescent="0.35">
      <c r="A79" s="345"/>
      <c r="C79" s="82"/>
      <c r="D79" s="5"/>
      <c r="E79" s="120"/>
      <c r="F79" s="5"/>
      <c r="G79" s="120"/>
      <c r="H79" s="5"/>
      <c r="I79" s="108"/>
      <c r="J79" s="5"/>
      <c r="K79" s="5"/>
      <c r="L79" s="5"/>
      <c r="N79" s="5"/>
      <c r="O79" s="5"/>
      <c r="P79" s="5"/>
    </row>
    <row r="80" spans="1:16" ht="13.5" customHeight="1" x14ac:dyDescent="0.35">
      <c r="A80" s="345"/>
      <c r="C80" s="82"/>
      <c r="D80" s="5"/>
      <c r="E80" s="120"/>
      <c r="F80" s="5"/>
      <c r="G80" s="120"/>
      <c r="H80" s="5"/>
      <c r="I80" s="108"/>
      <c r="J80" s="5"/>
      <c r="K80" s="5"/>
      <c r="L80" s="5"/>
      <c r="M80" s="109"/>
      <c r="N80" s="5"/>
      <c r="O80" s="5"/>
      <c r="P80" s="5"/>
    </row>
    <row r="81" spans="1:16" ht="12.75" customHeight="1" x14ac:dyDescent="0.35">
      <c r="A81" s="345"/>
      <c r="C81" s="82"/>
      <c r="D81" s="5"/>
      <c r="E81" s="120"/>
      <c r="F81" s="5"/>
      <c r="G81" s="120"/>
      <c r="H81" s="5"/>
      <c r="I81" s="108"/>
      <c r="J81" s="5"/>
      <c r="K81" s="5"/>
      <c r="L81" s="5"/>
      <c r="N81" s="5"/>
      <c r="O81" s="5"/>
      <c r="P81" s="5"/>
    </row>
    <row r="82" spans="1:16" ht="12.75" customHeight="1" x14ac:dyDescent="0.35">
      <c r="C82" s="82"/>
      <c r="D82" s="5"/>
      <c r="E82" s="120"/>
      <c r="F82" s="5"/>
      <c r="G82" s="120"/>
      <c r="H82" s="5"/>
      <c r="I82" s="108"/>
      <c r="J82" s="5"/>
      <c r="K82" s="5"/>
      <c r="L82" s="5"/>
      <c r="M82" s="109"/>
      <c r="N82" s="5"/>
      <c r="O82" s="5"/>
      <c r="P82" s="5"/>
    </row>
    <row r="83" spans="1:16" ht="12.75" customHeight="1" x14ac:dyDescent="0.35">
      <c r="C83" s="82"/>
      <c r="D83" s="5"/>
      <c r="E83" s="120"/>
      <c r="F83" s="5"/>
      <c r="G83" s="120"/>
      <c r="H83" s="5"/>
      <c r="I83" s="108"/>
      <c r="J83" s="5"/>
      <c r="K83" s="5"/>
      <c r="L83" s="5"/>
      <c r="M83" s="109"/>
      <c r="N83" s="5"/>
      <c r="O83" s="5"/>
      <c r="P83" s="5"/>
    </row>
    <row r="84" spans="1:16" ht="12.75" customHeight="1" x14ac:dyDescent="0.35">
      <c r="C84" s="82"/>
      <c r="D84" s="5"/>
      <c r="E84" s="120"/>
      <c r="F84" s="5"/>
      <c r="G84" s="120"/>
      <c r="H84" s="5"/>
      <c r="I84" s="108"/>
      <c r="J84" s="5"/>
      <c r="K84" s="5"/>
      <c r="L84" s="5"/>
      <c r="M84" s="109"/>
      <c r="N84" s="5"/>
      <c r="O84" s="5"/>
      <c r="P84" s="5"/>
    </row>
    <row r="85" spans="1:16" ht="12.75" customHeight="1" x14ac:dyDescent="0.35">
      <c r="C85" s="82"/>
      <c r="D85" s="5"/>
      <c r="E85" s="120"/>
      <c r="F85" s="5"/>
      <c r="G85" s="120"/>
      <c r="H85" s="5"/>
      <c r="I85" s="108"/>
      <c r="J85" s="5"/>
      <c r="K85" s="5"/>
      <c r="L85" s="5"/>
      <c r="M85" s="109"/>
      <c r="N85" s="5"/>
      <c r="O85" s="5"/>
      <c r="P85" s="5"/>
    </row>
    <row r="86" spans="1:16" ht="12.75" customHeight="1" x14ac:dyDescent="0.35">
      <c r="C86" s="82"/>
      <c r="D86" s="5"/>
      <c r="E86" s="120"/>
      <c r="F86" s="5"/>
      <c r="G86" s="120"/>
      <c r="H86" s="5"/>
      <c r="I86" s="108"/>
      <c r="J86" s="5"/>
      <c r="K86" s="5"/>
      <c r="L86" s="5"/>
      <c r="M86" s="109"/>
      <c r="N86" s="5"/>
      <c r="O86" s="5"/>
      <c r="P86" s="5"/>
    </row>
    <row r="87" spans="1:16" ht="12.75" customHeight="1" x14ac:dyDescent="0.35">
      <c r="C87" s="82"/>
      <c r="D87" s="5"/>
      <c r="E87" s="120"/>
      <c r="F87" s="5"/>
      <c r="G87" s="120"/>
      <c r="H87" s="5"/>
      <c r="I87" s="108"/>
      <c r="J87" s="5"/>
      <c r="K87" s="5"/>
      <c r="L87" s="5"/>
      <c r="M87" s="109"/>
      <c r="N87" s="5"/>
      <c r="O87" s="5"/>
      <c r="P87" s="5"/>
    </row>
    <row r="88" spans="1:16" ht="12.75" customHeight="1" x14ac:dyDescent="0.35">
      <c r="C88" s="82"/>
      <c r="D88" s="5"/>
      <c r="E88" s="120"/>
      <c r="F88" s="5"/>
      <c r="G88" s="120"/>
      <c r="H88" s="5"/>
      <c r="I88" s="108"/>
      <c r="J88" s="5"/>
      <c r="K88" s="5"/>
      <c r="L88" s="5"/>
      <c r="M88" s="109"/>
      <c r="N88" s="5"/>
      <c r="O88" s="5"/>
      <c r="P88" s="5"/>
    </row>
    <row r="89" spans="1:16" ht="12.75" customHeight="1" x14ac:dyDescent="0.35">
      <c r="C89" s="82"/>
      <c r="D89" s="5"/>
      <c r="E89" s="120"/>
      <c r="F89" s="5"/>
      <c r="G89" s="120"/>
      <c r="H89" s="5"/>
      <c r="I89" s="108"/>
      <c r="J89" s="5"/>
      <c r="K89" s="5"/>
      <c r="L89" s="5"/>
      <c r="M89" s="109"/>
      <c r="N89" s="5"/>
      <c r="O89" s="5"/>
      <c r="P89" s="5"/>
    </row>
    <row r="90" spans="1:16" ht="12.75" customHeight="1" x14ac:dyDescent="0.35">
      <c r="C90" s="82"/>
      <c r="D90" s="5"/>
      <c r="E90" s="120"/>
      <c r="F90" s="5"/>
      <c r="G90" s="120"/>
      <c r="H90" s="5"/>
      <c r="I90" s="108"/>
      <c r="J90" s="5"/>
      <c r="K90" s="5"/>
      <c r="L90" s="5"/>
      <c r="M90" s="109"/>
      <c r="N90" s="5"/>
      <c r="O90" s="5"/>
      <c r="P90" s="5"/>
    </row>
    <row r="91" spans="1:16" ht="12.75" customHeight="1" x14ac:dyDescent="0.35">
      <c r="C91" s="82"/>
      <c r="D91" s="5"/>
      <c r="E91" s="120"/>
      <c r="F91" s="5"/>
      <c r="G91" s="120"/>
      <c r="H91" s="5"/>
      <c r="I91" s="108"/>
      <c r="J91" s="5"/>
      <c r="K91" s="5"/>
      <c r="L91" s="5"/>
      <c r="M91" s="109"/>
      <c r="N91" s="5"/>
      <c r="O91" s="5"/>
      <c r="P91" s="5"/>
    </row>
    <row r="92" spans="1:16" ht="12.75" customHeight="1" x14ac:dyDescent="0.35">
      <c r="C92" s="82"/>
      <c r="D92" s="5"/>
      <c r="E92" s="120"/>
      <c r="F92" s="5"/>
      <c r="G92" s="120"/>
      <c r="H92" s="5"/>
      <c r="I92" s="108"/>
      <c r="J92" s="5"/>
      <c r="K92" s="5"/>
      <c r="L92" s="5"/>
      <c r="M92" s="109"/>
      <c r="N92" s="5"/>
      <c r="O92" s="5"/>
      <c r="P92" s="5"/>
    </row>
    <row r="93" spans="1:16" ht="12.75" customHeight="1" x14ac:dyDescent="0.35">
      <c r="C93" s="82"/>
      <c r="D93" s="5"/>
      <c r="E93" s="120"/>
      <c r="F93" s="5"/>
      <c r="G93" s="120"/>
      <c r="H93" s="5"/>
      <c r="I93" s="108"/>
      <c r="J93" s="5"/>
      <c r="K93" s="5"/>
      <c r="L93" s="5"/>
      <c r="M93" s="109"/>
      <c r="N93" s="5"/>
      <c r="O93" s="5"/>
      <c r="P93" s="5"/>
    </row>
    <row r="94" spans="1:16" ht="12.75" customHeight="1" x14ac:dyDescent="0.35">
      <c r="C94" s="82"/>
      <c r="D94" s="5"/>
      <c r="E94" s="120"/>
      <c r="F94" s="5"/>
      <c r="G94" s="120"/>
      <c r="H94" s="5"/>
      <c r="I94" s="108"/>
      <c r="J94" s="5"/>
      <c r="K94" s="5"/>
      <c r="L94" s="5"/>
      <c r="M94" s="109"/>
      <c r="N94" s="5"/>
      <c r="O94" s="5"/>
      <c r="P94" s="5"/>
    </row>
    <row r="95" spans="1:16" ht="13.5" customHeight="1" x14ac:dyDescent="0.35">
      <c r="C95" s="82"/>
      <c r="D95" s="5"/>
      <c r="E95" s="120"/>
      <c r="F95" s="5"/>
      <c r="G95" s="120"/>
      <c r="H95" s="5"/>
      <c r="I95" s="108"/>
      <c r="J95" s="5"/>
      <c r="K95" s="5"/>
      <c r="L95" s="5"/>
      <c r="M95" s="109"/>
      <c r="N95" s="5"/>
      <c r="O95" s="5"/>
      <c r="P95" s="5"/>
    </row>
    <row r="96" spans="1:16" ht="13.5" customHeight="1" x14ac:dyDescent="0.35">
      <c r="C96" s="82"/>
      <c r="D96" s="5"/>
      <c r="E96" s="120"/>
      <c r="F96" s="5"/>
      <c r="G96" s="120"/>
      <c r="H96" s="5"/>
      <c r="I96" s="108"/>
      <c r="J96" s="5"/>
      <c r="K96" s="5"/>
      <c r="L96" s="5"/>
      <c r="M96" s="109"/>
      <c r="N96" s="5"/>
      <c r="O96" s="5"/>
      <c r="P96" s="5"/>
    </row>
    <row r="97" spans="3:16" ht="13.5" customHeight="1" x14ac:dyDescent="0.35">
      <c r="C97" s="82"/>
      <c r="D97" s="5"/>
      <c r="E97" s="120"/>
      <c r="F97" s="5"/>
      <c r="G97" s="120"/>
      <c r="H97" s="5"/>
      <c r="I97" s="108"/>
      <c r="J97" s="5"/>
      <c r="K97" s="5"/>
      <c r="L97" s="5"/>
      <c r="M97" s="109"/>
      <c r="N97" s="5"/>
      <c r="O97" s="5"/>
      <c r="P97" s="5"/>
    </row>
    <row r="98" spans="3:16" ht="13.5" customHeight="1" x14ac:dyDescent="0.35">
      <c r="C98" s="82"/>
      <c r="D98" s="5"/>
      <c r="E98" s="120"/>
      <c r="F98" s="5"/>
      <c r="G98" s="120"/>
      <c r="H98" s="5"/>
      <c r="I98" s="108"/>
      <c r="J98" s="5"/>
      <c r="K98" s="5"/>
      <c r="L98" s="5"/>
      <c r="M98" s="109"/>
      <c r="N98" s="5"/>
      <c r="O98" s="5"/>
      <c r="P98" s="5"/>
    </row>
    <row r="99" spans="3:16" ht="13.5" customHeight="1" x14ac:dyDescent="0.35">
      <c r="C99" s="82"/>
      <c r="D99" s="5"/>
      <c r="E99" s="120"/>
      <c r="F99" s="5"/>
      <c r="G99" s="120"/>
      <c r="H99" s="5"/>
      <c r="I99" s="108"/>
      <c r="J99" s="5"/>
      <c r="K99" s="5"/>
      <c r="L99" s="5"/>
      <c r="M99" s="109"/>
      <c r="N99" s="5"/>
      <c r="O99" s="5"/>
      <c r="P99" s="5"/>
    </row>
    <row r="100" spans="3:16" ht="13.5" customHeight="1" x14ac:dyDescent="0.35">
      <c r="C100" s="82"/>
      <c r="D100" s="5"/>
      <c r="E100" s="120"/>
      <c r="F100" s="5"/>
      <c r="G100" s="120"/>
      <c r="H100" s="5"/>
      <c r="I100" s="108"/>
      <c r="J100" s="5"/>
      <c r="K100" s="5"/>
      <c r="L100" s="5"/>
      <c r="M100" s="109"/>
      <c r="N100" s="5"/>
      <c r="O100" s="5"/>
      <c r="P100" s="5"/>
    </row>
    <row r="101" spans="3:16" ht="13.5" customHeight="1" x14ac:dyDescent="0.35">
      <c r="C101" s="82"/>
      <c r="D101" s="5"/>
      <c r="E101" s="120"/>
      <c r="F101" s="5"/>
      <c r="G101" s="120"/>
      <c r="H101" s="5"/>
      <c r="I101" s="108"/>
      <c r="J101" s="5"/>
      <c r="K101" s="5"/>
      <c r="L101" s="5"/>
      <c r="M101" s="109"/>
      <c r="N101" s="5"/>
      <c r="O101" s="5"/>
      <c r="P101" s="5"/>
    </row>
    <row r="102" spans="3:16" ht="13.5" customHeight="1" x14ac:dyDescent="0.35">
      <c r="C102" s="82"/>
      <c r="D102" s="5"/>
      <c r="E102" s="120"/>
      <c r="F102" s="5"/>
      <c r="G102" s="120"/>
      <c r="H102" s="5"/>
      <c r="I102" s="108"/>
      <c r="J102" s="5"/>
      <c r="K102" s="5"/>
      <c r="L102" s="5"/>
      <c r="M102" s="109"/>
      <c r="N102" s="5"/>
      <c r="O102" s="5"/>
      <c r="P102" s="5"/>
    </row>
    <row r="103" spans="3:16" ht="13.5" customHeight="1" x14ac:dyDescent="0.35">
      <c r="C103" s="82"/>
      <c r="D103" s="5"/>
      <c r="E103" s="120"/>
      <c r="F103" s="5"/>
      <c r="G103" s="120"/>
      <c r="H103" s="5"/>
      <c r="I103" s="108"/>
      <c r="J103" s="5"/>
      <c r="K103" s="5"/>
      <c r="L103" s="5"/>
      <c r="M103" s="109"/>
      <c r="N103" s="5"/>
      <c r="O103" s="5"/>
      <c r="P103" s="5"/>
    </row>
    <row r="104" spans="3:16" ht="13.5" customHeight="1" x14ac:dyDescent="0.35">
      <c r="C104" s="82"/>
      <c r="D104" s="5"/>
      <c r="E104" s="120"/>
      <c r="F104" s="5"/>
      <c r="G104" s="120"/>
      <c r="H104" s="5"/>
      <c r="I104" s="108"/>
      <c r="J104" s="5"/>
      <c r="K104" s="5"/>
      <c r="L104" s="5"/>
      <c r="M104" s="109"/>
      <c r="N104" s="5"/>
      <c r="O104" s="5"/>
      <c r="P104" s="5"/>
    </row>
    <row r="105" spans="3:16" ht="13.5" customHeight="1" x14ac:dyDescent="0.35">
      <c r="C105" s="82"/>
      <c r="D105" s="5"/>
      <c r="E105" s="120"/>
      <c r="F105" s="5"/>
      <c r="G105" s="120"/>
      <c r="H105" s="5"/>
      <c r="I105" s="108"/>
      <c r="J105" s="5"/>
      <c r="K105" s="5"/>
      <c r="L105" s="5"/>
      <c r="M105" s="109"/>
      <c r="N105" s="5"/>
      <c r="O105" s="5"/>
      <c r="P105" s="5"/>
    </row>
    <row r="106" spans="3:16" ht="13.5" customHeight="1" x14ac:dyDescent="0.35">
      <c r="C106" s="82"/>
      <c r="D106" s="5"/>
      <c r="E106" s="120"/>
      <c r="F106" s="5"/>
      <c r="G106" s="120"/>
      <c r="H106" s="5"/>
      <c r="I106" s="108"/>
      <c r="J106" s="5"/>
      <c r="K106" s="5"/>
      <c r="L106" s="5"/>
      <c r="M106" s="109"/>
      <c r="N106" s="5"/>
      <c r="O106" s="5"/>
      <c r="P106" s="5"/>
    </row>
    <row r="107" spans="3:16" ht="13.5" customHeight="1" x14ac:dyDescent="0.35">
      <c r="C107" s="82"/>
      <c r="D107" s="5"/>
      <c r="E107" s="120"/>
      <c r="F107" s="5"/>
      <c r="G107" s="120"/>
      <c r="H107" s="5"/>
      <c r="I107" s="108"/>
      <c r="J107" s="5"/>
      <c r="K107" s="5"/>
      <c r="L107" s="5"/>
      <c r="M107" s="109"/>
      <c r="N107" s="5"/>
      <c r="O107" s="5"/>
      <c r="P107" s="5"/>
    </row>
    <row r="108" spans="3:16" ht="13.5" customHeight="1" x14ac:dyDescent="0.35">
      <c r="C108" s="82"/>
      <c r="D108" s="5"/>
      <c r="E108" s="120"/>
      <c r="F108" s="5"/>
      <c r="G108" s="120"/>
      <c r="H108" s="5"/>
      <c r="I108" s="108"/>
      <c r="J108" s="5"/>
      <c r="K108" s="5"/>
      <c r="L108" s="5"/>
      <c r="M108" s="109"/>
      <c r="N108" s="5"/>
      <c r="O108" s="5"/>
      <c r="P108" s="5"/>
    </row>
    <row r="109" spans="3:16" ht="13.5" customHeight="1" x14ac:dyDescent="0.35">
      <c r="C109" s="82"/>
      <c r="D109" s="5"/>
      <c r="E109" s="120"/>
      <c r="F109" s="5"/>
      <c r="G109" s="120"/>
      <c r="H109" s="5"/>
      <c r="I109" s="108"/>
      <c r="J109" s="5"/>
      <c r="K109" s="5"/>
      <c r="L109" s="5"/>
      <c r="M109" s="109"/>
      <c r="N109" s="5"/>
      <c r="O109" s="5"/>
      <c r="P109" s="5"/>
    </row>
    <row r="110" spans="3:16" ht="13.5" customHeight="1" x14ac:dyDescent="0.35">
      <c r="C110" s="82"/>
      <c r="D110" s="5"/>
      <c r="E110" s="120"/>
      <c r="F110" s="5"/>
      <c r="G110" s="120"/>
      <c r="H110" s="5"/>
      <c r="I110" s="108"/>
      <c r="J110" s="5"/>
      <c r="K110" s="5"/>
      <c r="L110" s="5"/>
      <c r="M110" s="109"/>
      <c r="N110" s="5"/>
      <c r="O110" s="5"/>
      <c r="P110" s="5"/>
    </row>
    <row r="111" spans="3:16" ht="13.5" customHeight="1" x14ac:dyDescent="0.35">
      <c r="C111" s="82"/>
      <c r="D111" s="5"/>
      <c r="E111" s="120"/>
      <c r="F111" s="5"/>
      <c r="G111" s="120"/>
      <c r="H111" s="5"/>
      <c r="I111" s="108"/>
      <c r="J111" s="5"/>
      <c r="K111" s="5"/>
      <c r="L111" s="5"/>
      <c r="M111" s="109"/>
      <c r="N111" s="5"/>
      <c r="O111" s="5"/>
      <c r="P111" s="5"/>
    </row>
    <row r="112" spans="3:16" ht="13.5" customHeight="1" x14ac:dyDescent="0.35">
      <c r="C112" s="82"/>
      <c r="D112" s="5"/>
      <c r="E112" s="120"/>
      <c r="F112" s="5"/>
      <c r="G112" s="120"/>
      <c r="H112" s="5"/>
      <c r="I112" s="108"/>
      <c r="J112" s="5"/>
      <c r="K112" s="5"/>
      <c r="L112" s="5"/>
      <c r="M112" s="109"/>
      <c r="N112" s="5"/>
      <c r="O112" s="5"/>
      <c r="P112" s="5"/>
    </row>
    <row r="113" spans="3:16" ht="13.5" customHeight="1" x14ac:dyDescent="0.35">
      <c r="C113" s="82"/>
      <c r="D113" s="5"/>
      <c r="E113" s="120"/>
      <c r="F113" s="5"/>
      <c r="G113" s="120"/>
      <c r="H113" s="5"/>
      <c r="I113" s="108"/>
      <c r="J113" s="5"/>
      <c r="K113" s="5"/>
      <c r="L113" s="5"/>
      <c r="M113" s="109"/>
      <c r="N113" s="5"/>
      <c r="O113" s="5"/>
      <c r="P113" s="5"/>
    </row>
    <row r="114" spans="3:16" ht="13.5" customHeight="1" x14ac:dyDescent="0.35">
      <c r="C114" s="82"/>
      <c r="D114" s="5"/>
      <c r="E114" s="120"/>
      <c r="F114" s="5"/>
      <c r="G114" s="120"/>
      <c r="H114" s="5"/>
      <c r="I114" s="108"/>
      <c r="J114" s="5"/>
      <c r="K114" s="5"/>
      <c r="L114" s="5"/>
      <c r="M114" s="109"/>
      <c r="N114" s="5"/>
      <c r="O114" s="5"/>
      <c r="P114" s="5"/>
    </row>
    <row r="115" spans="3:16" ht="13.5" customHeight="1" x14ac:dyDescent="0.35">
      <c r="C115" s="82"/>
      <c r="D115" s="5"/>
      <c r="E115" s="120"/>
      <c r="F115" s="5"/>
      <c r="G115" s="120"/>
      <c r="H115" s="5"/>
      <c r="I115" s="108"/>
      <c r="J115" s="5"/>
      <c r="K115" s="5"/>
      <c r="L115" s="5"/>
      <c r="M115" s="109"/>
      <c r="N115" s="5"/>
      <c r="O115" s="5"/>
      <c r="P115" s="5"/>
    </row>
    <row r="116" spans="3:16" ht="13.5" customHeight="1" x14ac:dyDescent="0.35">
      <c r="C116" s="82"/>
      <c r="D116" s="5"/>
      <c r="E116" s="120"/>
      <c r="F116" s="5"/>
      <c r="G116" s="120"/>
      <c r="H116" s="5"/>
      <c r="I116" s="108"/>
      <c r="J116" s="5"/>
      <c r="K116" s="5"/>
      <c r="L116" s="5"/>
      <c r="M116" s="109"/>
      <c r="N116" s="5"/>
      <c r="O116" s="5"/>
      <c r="P116" s="5"/>
    </row>
    <row r="117" spans="3:16" ht="13.5" customHeight="1" x14ac:dyDescent="0.35">
      <c r="C117" s="82"/>
      <c r="D117" s="5"/>
      <c r="E117" s="120"/>
      <c r="F117" s="5"/>
      <c r="G117" s="120"/>
      <c r="H117" s="5"/>
      <c r="I117" s="108"/>
      <c r="J117" s="5"/>
      <c r="K117" s="5"/>
      <c r="L117" s="5"/>
      <c r="M117" s="109"/>
      <c r="N117" s="5"/>
      <c r="O117" s="5"/>
      <c r="P117" s="5"/>
    </row>
    <row r="118" spans="3:16" ht="13.5" customHeight="1" x14ac:dyDescent="0.35">
      <c r="C118" s="82"/>
      <c r="D118" s="5"/>
      <c r="E118" s="120"/>
      <c r="F118" s="5"/>
      <c r="G118" s="120"/>
      <c r="H118" s="5"/>
      <c r="I118" s="108"/>
      <c r="J118" s="5"/>
      <c r="K118" s="5"/>
      <c r="L118" s="5"/>
      <c r="M118" s="109"/>
      <c r="N118" s="5"/>
      <c r="O118" s="5"/>
      <c r="P118" s="5"/>
    </row>
    <row r="119" spans="3:16" ht="13.5" customHeight="1" x14ac:dyDescent="0.35">
      <c r="C119" s="82"/>
      <c r="D119" s="5"/>
      <c r="E119" s="120"/>
      <c r="F119" s="5"/>
      <c r="G119" s="120"/>
      <c r="H119" s="5"/>
      <c r="I119" s="108"/>
      <c r="J119" s="5"/>
      <c r="K119" s="5"/>
      <c r="L119" s="5"/>
      <c r="M119" s="109"/>
      <c r="N119" s="5"/>
      <c r="O119" s="5"/>
      <c r="P119" s="5"/>
    </row>
    <row r="120" spans="3:16" ht="13.5" customHeight="1" x14ac:dyDescent="0.35">
      <c r="C120" s="82"/>
      <c r="D120" s="5"/>
      <c r="E120" s="120"/>
      <c r="F120" s="5"/>
      <c r="G120" s="120"/>
      <c r="H120" s="5"/>
      <c r="I120" s="108"/>
      <c r="J120" s="5"/>
      <c r="K120" s="5"/>
      <c r="L120" s="5"/>
      <c r="M120" s="109"/>
      <c r="N120" s="5"/>
      <c r="O120" s="5"/>
      <c r="P120" s="5"/>
    </row>
    <row r="121" spans="3:16" ht="13.5" customHeight="1" x14ac:dyDescent="0.35">
      <c r="C121" s="82"/>
      <c r="D121" s="5"/>
      <c r="E121" s="120"/>
      <c r="F121" s="5"/>
      <c r="G121" s="120"/>
      <c r="H121" s="5"/>
      <c r="I121" s="108"/>
      <c r="J121" s="5"/>
      <c r="K121" s="5"/>
      <c r="L121" s="5"/>
      <c r="M121" s="109"/>
      <c r="N121" s="5"/>
      <c r="O121" s="5"/>
      <c r="P121" s="5"/>
    </row>
    <row r="122" spans="3:16" ht="13.5" customHeight="1" x14ac:dyDescent="0.35">
      <c r="C122" s="82"/>
      <c r="D122" s="5"/>
      <c r="E122" s="120"/>
      <c r="F122" s="5"/>
      <c r="G122" s="120"/>
      <c r="H122" s="5"/>
      <c r="I122" s="108"/>
      <c r="J122" s="5"/>
      <c r="K122" s="5"/>
      <c r="L122" s="5"/>
      <c r="M122" s="109"/>
      <c r="N122" s="5"/>
      <c r="O122" s="5"/>
      <c r="P122" s="5"/>
    </row>
    <row r="123" spans="3:16" ht="13.5" customHeight="1" x14ac:dyDescent="0.35">
      <c r="C123" s="82"/>
      <c r="D123" s="5"/>
      <c r="E123" s="120"/>
      <c r="F123" s="5"/>
      <c r="G123" s="120"/>
      <c r="H123" s="5"/>
      <c r="I123" s="108"/>
      <c r="J123" s="5"/>
      <c r="K123" s="5"/>
      <c r="L123" s="5"/>
      <c r="M123" s="109"/>
      <c r="N123" s="5"/>
      <c r="O123" s="5"/>
      <c r="P123" s="5"/>
    </row>
    <row r="124" spans="3:16" ht="13.5" customHeight="1" x14ac:dyDescent="0.35">
      <c r="C124" s="82"/>
      <c r="D124" s="5"/>
      <c r="E124" s="120"/>
      <c r="F124" s="5"/>
      <c r="G124" s="120"/>
      <c r="H124" s="5"/>
      <c r="I124" s="108"/>
      <c r="J124" s="5"/>
      <c r="K124" s="5"/>
      <c r="L124" s="5"/>
      <c r="M124" s="109"/>
      <c r="N124" s="5"/>
      <c r="O124" s="5"/>
      <c r="P124" s="5"/>
    </row>
    <row r="125" spans="3:16" ht="13.5" customHeight="1" x14ac:dyDescent="0.35">
      <c r="C125" s="82"/>
      <c r="D125" s="5"/>
      <c r="E125" s="120"/>
      <c r="F125" s="5"/>
      <c r="G125" s="120"/>
      <c r="H125" s="5"/>
      <c r="I125" s="108"/>
      <c r="J125" s="5"/>
      <c r="K125" s="5"/>
      <c r="L125" s="5"/>
      <c r="M125" s="109"/>
      <c r="N125" s="5"/>
      <c r="O125" s="5"/>
      <c r="P125" s="5"/>
    </row>
    <row r="126" spans="3:16" ht="13.5" customHeight="1" x14ac:dyDescent="0.35">
      <c r="C126" s="82"/>
      <c r="D126" s="5"/>
      <c r="E126" s="120"/>
      <c r="F126" s="5"/>
      <c r="G126" s="120"/>
      <c r="H126" s="5"/>
      <c r="I126" s="108"/>
      <c r="J126" s="5"/>
      <c r="K126" s="5"/>
      <c r="L126" s="5"/>
      <c r="M126" s="109"/>
      <c r="N126" s="5"/>
      <c r="O126" s="5"/>
      <c r="P126" s="5"/>
    </row>
    <row r="127" spans="3:16" ht="13.5" customHeight="1" x14ac:dyDescent="0.35">
      <c r="C127" s="82"/>
      <c r="D127" s="5"/>
      <c r="E127" s="120"/>
      <c r="F127" s="5"/>
      <c r="G127" s="120"/>
      <c r="H127" s="5"/>
      <c r="I127" s="108"/>
      <c r="J127" s="5"/>
      <c r="K127" s="5"/>
      <c r="L127" s="5"/>
      <c r="M127" s="109"/>
      <c r="N127" s="5"/>
      <c r="O127" s="5"/>
      <c r="P127" s="5"/>
    </row>
    <row r="128" spans="3:16" ht="13.5" customHeight="1" x14ac:dyDescent="0.35">
      <c r="C128" s="82"/>
      <c r="D128" s="5"/>
      <c r="E128" s="120"/>
      <c r="F128" s="5"/>
      <c r="G128" s="120"/>
      <c r="H128" s="5"/>
      <c r="I128" s="108"/>
      <c r="J128" s="5"/>
      <c r="K128" s="5"/>
      <c r="L128" s="5"/>
      <c r="M128" s="109"/>
      <c r="N128" s="5"/>
      <c r="O128" s="5"/>
      <c r="P128" s="5"/>
    </row>
    <row r="129" spans="3:16" ht="13.5" customHeight="1" x14ac:dyDescent="0.35">
      <c r="C129" s="82"/>
      <c r="D129" s="5"/>
      <c r="E129" s="120"/>
      <c r="F129" s="5"/>
      <c r="G129" s="120"/>
      <c r="H129" s="5"/>
      <c r="I129" s="108"/>
      <c r="J129" s="5"/>
      <c r="K129" s="5"/>
      <c r="L129" s="5"/>
      <c r="M129" s="109"/>
      <c r="N129" s="5"/>
      <c r="O129" s="5"/>
      <c r="P129" s="5"/>
    </row>
    <row r="130" spans="3:16" ht="13.5" customHeight="1" x14ac:dyDescent="0.35">
      <c r="C130" s="82"/>
      <c r="D130" s="5"/>
      <c r="E130" s="120"/>
      <c r="F130" s="5"/>
      <c r="G130" s="120"/>
      <c r="H130" s="5"/>
      <c r="I130" s="108"/>
      <c r="J130" s="5"/>
      <c r="K130" s="5"/>
      <c r="L130" s="5"/>
      <c r="M130" s="109"/>
      <c r="N130" s="5"/>
      <c r="O130" s="5"/>
      <c r="P130" s="5"/>
    </row>
    <row r="131" spans="3:16" ht="13.5" customHeight="1" x14ac:dyDescent="0.35">
      <c r="C131" s="82"/>
      <c r="D131" s="5"/>
      <c r="E131" s="120"/>
      <c r="F131" s="5"/>
      <c r="G131" s="120"/>
      <c r="H131" s="5"/>
      <c r="I131" s="108"/>
      <c r="J131" s="5"/>
      <c r="K131" s="5"/>
      <c r="L131" s="5"/>
      <c r="M131" s="109"/>
      <c r="N131" s="5"/>
      <c r="O131" s="5"/>
      <c r="P131" s="5"/>
    </row>
    <row r="132" spans="3:16" ht="13.5" customHeight="1" x14ac:dyDescent="0.35">
      <c r="C132" s="82"/>
      <c r="D132" s="5"/>
      <c r="E132" s="120"/>
      <c r="F132" s="5"/>
      <c r="G132" s="120"/>
      <c r="H132" s="5"/>
      <c r="I132" s="108"/>
      <c r="J132" s="5"/>
      <c r="K132" s="5"/>
      <c r="L132" s="5"/>
      <c r="M132" s="109"/>
      <c r="N132" s="5"/>
      <c r="O132" s="5"/>
      <c r="P132" s="5"/>
    </row>
    <row r="133" spans="3:16" ht="13.5" customHeight="1" x14ac:dyDescent="0.35">
      <c r="C133" s="82"/>
      <c r="D133" s="5"/>
      <c r="E133" s="120"/>
      <c r="F133" s="5"/>
      <c r="G133" s="120"/>
      <c r="H133" s="5"/>
      <c r="I133" s="108"/>
      <c r="J133" s="5"/>
      <c r="K133" s="5"/>
      <c r="L133" s="5"/>
      <c r="M133" s="109"/>
      <c r="N133" s="5"/>
      <c r="O133" s="5"/>
      <c r="P133" s="5"/>
    </row>
    <row r="134" spans="3:16" ht="13.5" customHeight="1" x14ac:dyDescent="0.35">
      <c r="C134" s="82"/>
      <c r="D134" s="5"/>
      <c r="E134" s="120"/>
      <c r="F134" s="5"/>
      <c r="G134" s="120"/>
      <c r="H134" s="5"/>
      <c r="I134" s="108"/>
      <c r="J134" s="5"/>
      <c r="K134" s="5"/>
      <c r="L134" s="5"/>
      <c r="M134" s="109"/>
      <c r="N134" s="5"/>
      <c r="O134" s="5"/>
      <c r="P134" s="5"/>
    </row>
    <row r="135" spans="3:16" ht="13.5" customHeight="1" x14ac:dyDescent="0.35">
      <c r="C135" s="82"/>
      <c r="D135" s="5"/>
      <c r="E135" s="120"/>
      <c r="F135" s="5"/>
      <c r="G135" s="120"/>
      <c r="H135" s="5"/>
      <c r="I135" s="108"/>
      <c r="J135" s="5"/>
      <c r="K135" s="5"/>
      <c r="L135" s="5"/>
      <c r="M135" s="109"/>
      <c r="N135" s="5"/>
      <c r="O135" s="5"/>
      <c r="P135" s="5"/>
    </row>
    <row r="136" spans="3:16" ht="13.5" customHeight="1" x14ac:dyDescent="0.35">
      <c r="C136" s="82"/>
      <c r="D136" s="5"/>
      <c r="E136" s="120"/>
      <c r="F136" s="5"/>
      <c r="G136" s="120"/>
      <c r="H136" s="5"/>
      <c r="I136" s="108"/>
      <c r="J136" s="5"/>
      <c r="K136" s="5"/>
      <c r="L136" s="5"/>
      <c r="M136" s="109"/>
      <c r="N136" s="5"/>
      <c r="O136" s="5"/>
      <c r="P136" s="5"/>
    </row>
    <row r="137" spans="3:16" ht="13.5" customHeight="1" x14ac:dyDescent="0.35">
      <c r="C137" s="82"/>
      <c r="D137" s="5"/>
      <c r="E137" s="120"/>
      <c r="F137" s="5"/>
      <c r="G137" s="120"/>
      <c r="H137" s="5"/>
      <c r="I137" s="108"/>
      <c r="J137" s="5"/>
      <c r="K137" s="5"/>
      <c r="L137" s="5"/>
      <c r="M137" s="109"/>
      <c r="N137" s="5"/>
      <c r="O137" s="5"/>
      <c r="P137" s="5"/>
    </row>
    <row r="138" spans="3:16" ht="13.5" customHeight="1" x14ac:dyDescent="0.35">
      <c r="C138" s="82"/>
      <c r="D138" s="5"/>
      <c r="E138" s="120"/>
      <c r="F138" s="5"/>
      <c r="G138" s="120"/>
      <c r="H138" s="5"/>
      <c r="I138" s="108"/>
      <c r="J138" s="5"/>
      <c r="K138" s="5"/>
      <c r="L138" s="5"/>
      <c r="M138" s="109"/>
      <c r="N138" s="5"/>
      <c r="O138" s="5"/>
      <c r="P138" s="5"/>
    </row>
    <row r="139" spans="3:16" ht="13.5" customHeight="1" x14ac:dyDescent="0.35">
      <c r="C139" s="82"/>
      <c r="D139" s="5"/>
      <c r="E139" s="120"/>
      <c r="F139" s="5"/>
      <c r="G139" s="120"/>
      <c r="H139" s="5"/>
      <c r="I139" s="108"/>
      <c r="J139" s="5"/>
      <c r="K139" s="5"/>
      <c r="L139" s="5"/>
      <c r="M139" s="109"/>
      <c r="N139" s="5"/>
      <c r="O139" s="5"/>
      <c r="P139" s="5"/>
    </row>
    <row r="140" spans="3:16" ht="13.5" customHeight="1" x14ac:dyDescent="0.35">
      <c r="C140" s="82"/>
      <c r="D140" s="5"/>
      <c r="E140" s="120"/>
      <c r="F140" s="5"/>
      <c r="G140" s="120"/>
      <c r="H140" s="5"/>
      <c r="I140" s="108"/>
      <c r="J140" s="5"/>
      <c r="K140" s="5"/>
      <c r="L140" s="5"/>
      <c r="M140" s="109"/>
      <c r="N140" s="5"/>
      <c r="O140" s="5"/>
      <c r="P140" s="5"/>
    </row>
    <row r="141" spans="3:16" ht="13.5" customHeight="1" x14ac:dyDescent="0.35">
      <c r="C141" s="82"/>
      <c r="D141" s="5"/>
      <c r="E141" s="120"/>
      <c r="F141" s="5"/>
      <c r="G141" s="120"/>
      <c r="H141" s="5"/>
      <c r="I141" s="108"/>
      <c r="J141" s="5"/>
      <c r="K141" s="5"/>
      <c r="L141" s="5"/>
      <c r="M141" s="109"/>
      <c r="N141" s="5"/>
      <c r="O141" s="5"/>
      <c r="P141" s="5"/>
    </row>
    <row r="142" spans="3:16" ht="13.5" customHeight="1" x14ac:dyDescent="0.35">
      <c r="C142" s="82"/>
      <c r="D142" s="5"/>
      <c r="E142" s="120"/>
      <c r="F142" s="5"/>
      <c r="G142" s="120"/>
      <c r="H142" s="5"/>
      <c r="I142" s="108"/>
      <c r="J142" s="5"/>
      <c r="K142" s="5"/>
      <c r="L142" s="5"/>
      <c r="M142" s="109"/>
      <c r="N142" s="5"/>
      <c r="O142" s="5"/>
      <c r="P142" s="5"/>
    </row>
    <row r="143" spans="3:16" ht="13.5" customHeight="1" x14ac:dyDescent="0.35">
      <c r="C143" s="82"/>
      <c r="D143" s="5"/>
      <c r="E143" s="120"/>
      <c r="F143" s="5"/>
      <c r="G143" s="120"/>
      <c r="H143" s="5"/>
      <c r="I143" s="108"/>
      <c r="J143" s="5"/>
      <c r="K143" s="5"/>
      <c r="L143" s="5"/>
      <c r="M143" s="109"/>
      <c r="N143" s="5"/>
      <c r="O143" s="5"/>
      <c r="P143" s="5"/>
    </row>
    <row r="144" spans="3:16" ht="13.5" customHeight="1" x14ac:dyDescent="0.35">
      <c r="C144" s="82"/>
      <c r="D144" s="5"/>
      <c r="E144" s="120"/>
      <c r="F144" s="5"/>
      <c r="G144" s="120"/>
      <c r="H144" s="5"/>
      <c r="I144" s="108"/>
      <c r="J144" s="5"/>
      <c r="K144" s="5"/>
      <c r="L144" s="5"/>
      <c r="M144" s="109"/>
      <c r="N144" s="5"/>
      <c r="O144" s="5"/>
      <c r="P144" s="5"/>
    </row>
    <row r="145" spans="3:16" ht="13.5" customHeight="1" x14ac:dyDescent="0.35">
      <c r="C145" s="82"/>
      <c r="D145" s="5"/>
      <c r="E145" s="120"/>
      <c r="F145" s="5"/>
      <c r="G145" s="120"/>
      <c r="H145" s="5"/>
      <c r="I145" s="108"/>
      <c r="J145" s="5"/>
      <c r="K145" s="5"/>
      <c r="L145" s="5"/>
      <c r="M145" s="109"/>
      <c r="N145" s="5"/>
      <c r="O145" s="5"/>
      <c r="P145" s="5"/>
    </row>
    <row r="146" spans="3:16" ht="13.5" customHeight="1" x14ac:dyDescent="0.35">
      <c r="C146" s="82"/>
      <c r="D146" s="5"/>
      <c r="E146" s="120"/>
      <c r="F146" s="5"/>
      <c r="G146" s="120"/>
      <c r="H146" s="5"/>
      <c r="I146" s="108"/>
      <c r="J146" s="5"/>
      <c r="K146" s="5"/>
      <c r="L146" s="5"/>
      <c r="M146" s="109"/>
      <c r="N146" s="5"/>
      <c r="O146" s="5"/>
      <c r="P146" s="5"/>
    </row>
    <row r="147" spans="3:16" ht="13.5" customHeight="1" x14ac:dyDescent="0.35">
      <c r="C147" s="82"/>
      <c r="D147" s="5"/>
      <c r="E147" s="120"/>
      <c r="F147" s="5"/>
      <c r="G147" s="120"/>
      <c r="H147" s="5"/>
      <c r="I147" s="108"/>
      <c r="J147" s="5"/>
      <c r="K147" s="5"/>
      <c r="L147" s="5"/>
      <c r="M147" s="109"/>
      <c r="N147" s="5"/>
      <c r="O147" s="5"/>
      <c r="P147" s="5"/>
    </row>
    <row r="148" spans="3:16" ht="13.5" customHeight="1" x14ac:dyDescent="0.35">
      <c r="C148" s="82"/>
      <c r="D148" s="5"/>
      <c r="E148" s="120"/>
      <c r="F148" s="5"/>
      <c r="G148" s="120"/>
      <c r="H148" s="5"/>
      <c r="I148" s="108"/>
      <c r="J148" s="5"/>
      <c r="K148" s="5"/>
      <c r="L148" s="5"/>
      <c r="M148" s="109"/>
      <c r="N148" s="5"/>
      <c r="O148" s="5"/>
      <c r="P148" s="5"/>
    </row>
    <row r="149" spans="3:16" ht="13.5" customHeight="1" x14ac:dyDescent="0.35">
      <c r="C149" s="82"/>
      <c r="D149" s="5"/>
      <c r="E149" s="120"/>
      <c r="F149" s="5"/>
      <c r="G149" s="120"/>
      <c r="H149" s="5"/>
      <c r="I149" s="108"/>
      <c r="J149" s="5"/>
      <c r="K149" s="5"/>
      <c r="L149" s="5"/>
      <c r="M149" s="109"/>
      <c r="N149" s="5"/>
      <c r="O149" s="5"/>
      <c r="P149" s="5"/>
    </row>
    <row r="150" spans="3:16" ht="13.5" customHeight="1" x14ac:dyDescent="0.35">
      <c r="C150" s="82"/>
      <c r="D150" s="5"/>
      <c r="E150" s="120"/>
      <c r="F150" s="5"/>
      <c r="G150" s="120"/>
      <c r="H150" s="5"/>
      <c r="I150" s="108"/>
      <c r="J150" s="5"/>
      <c r="K150" s="5"/>
      <c r="L150" s="5"/>
      <c r="M150" s="109"/>
      <c r="N150" s="5"/>
      <c r="O150" s="5"/>
      <c r="P150" s="5"/>
    </row>
    <row r="151" spans="3:16" ht="13.5" customHeight="1" x14ac:dyDescent="0.35">
      <c r="C151" s="82"/>
      <c r="D151" s="5"/>
      <c r="E151" s="120"/>
      <c r="F151" s="5"/>
      <c r="G151" s="120"/>
      <c r="H151" s="5"/>
      <c r="I151" s="108"/>
      <c r="J151" s="5"/>
      <c r="K151" s="5"/>
      <c r="L151" s="5"/>
      <c r="M151" s="109"/>
      <c r="N151" s="5"/>
      <c r="O151" s="5"/>
      <c r="P151" s="5"/>
    </row>
    <row r="152" spans="3:16" ht="13.5" customHeight="1" x14ac:dyDescent="0.35">
      <c r="C152" s="82"/>
      <c r="D152" s="5"/>
      <c r="E152" s="120"/>
      <c r="F152" s="5"/>
      <c r="G152" s="120"/>
      <c r="H152" s="5"/>
      <c r="I152" s="108"/>
      <c r="J152" s="5"/>
      <c r="K152" s="5"/>
      <c r="L152" s="5"/>
      <c r="M152" s="109"/>
      <c r="N152" s="5"/>
      <c r="O152" s="5"/>
      <c r="P152" s="5"/>
    </row>
    <row r="153" spans="3:16" ht="13.5" customHeight="1" x14ac:dyDescent="0.35">
      <c r="C153" s="82"/>
      <c r="D153" s="5"/>
      <c r="E153" s="120"/>
      <c r="F153" s="5"/>
      <c r="G153" s="120"/>
      <c r="H153" s="5"/>
      <c r="I153" s="108"/>
      <c r="J153" s="5"/>
      <c r="K153" s="5"/>
      <c r="L153" s="5"/>
      <c r="M153" s="109"/>
      <c r="N153" s="5"/>
      <c r="O153" s="5"/>
      <c r="P153" s="5"/>
    </row>
    <row r="154" spans="3:16" ht="13.5" customHeight="1" x14ac:dyDescent="0.35">
      <c r="C154" s="82"/>
      <c r="D154" s="5"/>
      <c r="E154" s="120"/>
      <c r="F154" s="5"/>
      <c r="G154" s="120"/>
      <c r="H154" s="5"/>
      <c r="I154" s="108"/>
      <c r="J154" s="5"/>
      <c r="K154" s="5"/>
      <c r="L154" s="5"/>
      <c r="M154" s="109"/>
      <c r="N154" s="5"/>
      <c r="O154" s="5"/>
      <c r="P154" s="5"/>
    </row>
    <row r="155" spans="3:16" ht="13.5" customHeight="1" x14ac:dyDescent="0.35">
      <c r="C155" s="82"/>
      <c r="D155" s="5"/>
      <c r="E155" s="120"/>
      <c r="F155" s="5"/>
      <c r="G155" s="120"/>
      <c r="H155" s="5"/>
      <c r="I155" s="108"/>
      <c r="J155" s="5"/>
      <c r="K155" s="5"/>
      <c r="L155" s="5"/>
      <c r="M155" s="109"/>
      <c r="N155" s="5"/>
      <c r="O155" s="5"/>
      <c r="P155" s="5"/>
    </row>
    <row r="156" spans="3:16" ht="13.5" customHeight="1" x14ac:dyDescent="0.35">
      <c r="C156" s="82"/>
      <c r="D156" s="5"/>
      <c r="E156" s="120"/>
      <c r="F156" s="5"/>
      <c r="G156" s="120"/>
      <c r="H156" s="5"/>
      <c r="I156" s="108"/>
      <c r="J156" s="5"/>
      <c r="K156" s="5"/>
      <c r="L156" s="5"/>
      <c r="M156" s="109"/>
      <c r="N156" s="5"/>
      <c r="O156" s="5"/>
      <c r="P156" s="5"/>
    </row>
    <row r="157" spans="3:16" ht="13.5" customHeight="1" x14ac:dyDescent="0.35">
      <c r="C157" s="82"/>
      <c r="D157" s="5"/>
      <c r="E157" s="120"/>
      <c r="F157" s="5"/>
      <c r="G157" s="120"/>
      <c r="H157" s="5"/>
      <c r="I157" s="108"/>
      <c r="J157" s="5"/>
      <c r="K157" s="5"/>
      <c r="L157" s="5"/>
      <c r="M157" s="109"/>
      <c r="N157" s="5"/>
      <c r="O157" s="5"/>
      <c r="P157" s="5"/>
    </row>
    <row r="158" spans="3:16" ht="13.5" customHeight="1" x14ac:dyDescent="0.35">
      <c r="C158" s="82"/>
      <c r="D158" s="5"/>
      <c r="E158" s="120"/>
      <c r="F158" s="5"/>
      <c r="G158" s="120"/>
      <c r="H158" s="5"/>
      <c r="I158" s="108"/>
      <c r="J158" s="5"/>
      <c r="K158" s="5"/>
      <c r="L158" s="5"/>
      <c r="M158" s="109"/>
      <c r="N158" s="5"/>
      <c r="O158" s="5"/>
      <c r="P158" s="5"/>
    </row>
    <row r="159" spans="3:16" ht="13.5" customHeight="1" x14ac:dyDescent="0.35">
      <c r="C159" s="82"/>
      <c r="D159" s="5"/>
      <c r="E159" s="120"/>
      <c r="F159" s="5"/>
      <c r="G159" s="120"/>
      <c r="H159" s="5"/>
      <c r="I159" s="108"/>
      <c r="J159" s="5"/>
      <c r="K159" s="5"/>
      <c r="L159" s="5"/>
      <c r="M159" s="109"/>
      <c r="N159" s="5"/>
      <c r="O159" s="5"/>
      <c r="P159" s="5"/>
    </row>
    <row r="160" spans="3:16" ht="13.5" customHeight="1" x14ac:dyDescent="0.35">
      <c r="C160" s="82"/>
      <c r="D160" s="5"/>
      <c r="E160" s="120"/>
      <c r="F160" s="5"/>
      <c r="G160" s="120"/>
      <c r="H160" s="5"/>
      <c r="I160" s="108"/>
      <c r="J160" s="5"/>
      <c r="K160" s="5"/>
      <c r="L160" s="5"/>
      <c r="M160" s="109"/>
      <c r="N160" s="5"/>
      <c r="O160" s="5"/>
      <c r="P160" s="5"/>
    </row>
    <row r="161" spans="3:16" ht="13.5" customHeight="1" x14ac:dyDescent="0.35">
      <c r="C161" s="82"/>
      <c r="D161" s="5"/>
      <c r="E161" s="120"/>
      <c r="F161" s="5"/>
      <c r="G161" s="120"/>
      <c r="H161" s="5"/>
      <c r="I161" s="108"/>
      <c r="J161" s="5"/>
      <c r="K161" s="5"/>
      <c r="L161" s="5"/>
      <c r="M161" s="109"/>
      <c r="N161" s="5"/>
      <c r="O161" s="5"/>
      <c r="P161" s="5"/>
    </row>
    <row r="162" spans="3:16" ht="13.5" customHeight="1" x14ac:dyDescent="0.35">
      <c r="C162" s="82"/>
      <c r="D162" s="5"/>
      <c r="E162" s="120"/>
      <c r="F162" s="5"/>
      <c r="G162" s="120"/>
      <c r="H162" s="5"/>
      <c r="I162" s="108"/>
      <c r="J162" s="5"/>
      <c r="K162" s="5"/>
      <c r="L162" s="5"/>
      <c r="M162" s="109"/>
      <c r="N162" s="5"/>
      <c r="O162" s="5"/>
      <c r="P162" s="5"/>
    </row>
    <row r="163" spans="3:16" ht="13.5" customHeight="1" x14ac:dyDescent="0.35">
      <c r="C163" s="82"/>
      <c r="D163" s="5"/>
      <c r="E163" s="120"/>
      <c r="F163" s="5"/>
      <c r="G163" s="120"/>
      <c r="H163" s="5"/>
      <c r="I163" s="108"/>
      <c r="J163" s="5"/>
      <c r="K163" s="5"/>
      <c r="L163" s="5"/>
      <c r="M163" s="109"/>
      <c r="N163" s="5"/>
      <c r="O163" s="5"/>
      <c r="P163" s="5"/>
    </row>
    <row r="164" spans="3:16" ht="13.5" customHeight="1" x14ac:dyDescent="0.35">
      <c r="C164" s="82"/>
      <c r="D164" s="5"/>
      <c r="E164" s="120"/>
      <c r="F164" s="5"/>
      <c r="G164" s="120"/>
      <c r="H164" s="5"/>
      <c r="I164" s="108"/>
      <c r="J164" s="5"/>
      <c r="K164" s="5"/>
      <c r="L164" s="5"/>
      <c r="M164" s="109"/>
      <c r="N164" s="5"/>
      <c r="O164" s="5"/>
      <c r="P164" s="5"/>
    </row>
    <row r="165" spans="3:16" ht="13.5" customHeight="1" x14ac:dyDescent="0.35">
      <c r="C165" s="82"/>
      <c r="D165" s="5"/>
      <c r="E165" s="120"/>
      <c r="F165" s="5"/>
      <c r="G165" s="120"/>
      <c r="H165" s="5"/>
      <c r="I165" s="108"/>
      <c r="J165" s="5"/>
      <c r="K165" s="5"/>
      <c r="L165" s="5"/>
      <c r="M165" s="109"/>
      <c r="N165" s="5"/>
      <c r="O165" s="5"/>
      <c r="P165" s="5"/>
    </row>
    <row r="166" spans="3:16" ht="13.5" customHeight="1" x14ac:dyDescent="0.35">
      <c r="C166" s="82"/>
      <c r="D166" s="5"/>
      <c r="E166" s="120"/>
      <c r="F166" s="5"/>
      <c r="G166" s="120"/>
      <c r="H166" s="5"/>
      <c r="I166" s="108"/>
      <c r="J166" s="5"/>
      <c r="K166" s="5"/>
      <c r="L166" s="5"/>
      <c r="M166" s="109"/>
      <c r="N166" s="5"/>
      <c r="O166" s="5"/>
      <c r="P166" s="5"/>
    </row>
    <row r="167" spans="3:16" ht="13.5" customHeight="1" x14ac:dyDescent="0.35">
      <c r="C167" s="82"/>
      <c r="D167" s="5"/>
      <c r="E167" s="120"/>
      <c r="F167" s="5"/>
      <c r="G167" s="120"/>
      <c r="H167" s="5"/>
      <c r="I167" s="108"/>
      <c r="J167" s="5"/>
      <c r="K167" s="5"/>
      <c r="L167" s="5"/>
      <c r="M167" s="109"/>
      <c r="N167" s="5"/>
      <c r="O167" s="5"/>
      <c r="P167" s="5"/>
    </row>
    <row r="168" spans="3:16" ht="13.5" customHeight="1" x14ac:dyDescent="0.35">
      <c r="C168" s="82"/>
      <c r="D168" s="5"/>
      <c r="E168" s="120"/>
      <c r="F168" s="5"/>
      <c r="G168" s="120"/>
      <c r="H168" s="5"/>
      <c r="I168" s="108"/>
      <c r="J168" s="5"/>
      <c r="K168" s="5"/>
      <c r="L168" s="5"/>
      <c r="M168" s="109"/>
      <c r="N168" s="5"/>
      <c r="O168" s="5"/>
      <c r="P168" s="5"/>
    </row>
    <row r="169" spans="3:16" ht="13.5" customHeight="1" x14ac:dyDescent="0.35">
      <c r="C169" s="82"/>
      <c r="D169" s="5"/>
      <c r="E169" s="120"/>
      <c r="F169" s="5"/>
      <c r="G169" s="120"/>
      <c r="H169" s="5"/>
      <c r="I169" s="108"/>
      <c r="J169" s="5"/>
      <c r="K169" s="5"/>
      <c r="L169" s="5"/>
      <c r="M169" s="109"/>
      <c r="N169" s="5"/>
      <c r="O169" s="5"/>
      <c r="P169" s="5"/>
    </row>
    <row r="170" spans="3:16" ht="13.5" customHeight="1" x14ac:dyDescent="0.35">
      <c r="C170" s="82"/>
      <c r="D170" s="5"/>
      <c r="E170" s="120"/>
      <c r="F170" s="5"/>
      <c r="G170" s="120"/>
      <c r="H170" s="5"/>
      <c r="I170" s="108"/>
      <c r="J170" s="5"/>
      <c r="K170" s="5"/>
      <c r="L170" s="5"/>
      <c r="M170" s="109"/>
      <c r="N170" s="5"/>
      <c r="O170" s="5"/>
      <c r="P170" s="5"/>
    </row>
    <row r="171" spans="3:16" ht="13.5" customHeight="1" x14ac:dyDescent="0.35">
      <c r="C171" s="82"/>
      <c r="D171" s="5"/>
      <c r="E171" s="120"/>
      <c r="F171" s="5"/>
      <c r="G171" s="120"/>
      <c r="H171" s="5"/>
      <c r="I171" s="108"/>
      <c r="J171" s="5"/>
      <c r="K171" s="5"/>
      <c r="L171" s="5"/>
      <c r="M171" s="109"/>
      <c r="N171" s="5"/>
      <c r="O171" s="5"/>
      <c r="P171" s="5"/>
    </row>
    <row r="172" spans="3:16" ht="13.5" customHeight="1" x14ac:dyDescent="0.35">
      <c r="C172" s="82"/>
      <c r="D172" s="5"/>
      <c r="E172" s="120"/>
      <c r="F172" s="5"/>
      <c r="G172" s="120"/>
      <c r="H172" s="5"/>
      <c r="I172" s="108"/>
      <c r="J172" s="5"/>
      <c r="K172" s="5"/>
      <c r="L172" s="5"/>
      <c r="M172" s="109"/>
      <c r="N172" s="5"/>
      <c r="O172" s="5"/>
      <c r="P172" s="5"/>
    </row>
    <row r="173" spans="3:16" ht="13.5" customHeight="1" x14ac:dyDescent="0.35">
      <c r="C173" s="82"/>
      <c r="D173" s="5"/>
      <c r="E173" s="120"/>
      <c r="F173" s="5"/>
      <c r="G173" s="120"/>
      <c r="H173" s="5"/>
      <c r="I173" s="108"/>
      <c r="J173" s="5"/>
      <c r="K173" s="5"/>
      <c r="L173" s="5"/>
      <c r="M173" s="109"/>
      <c r="N173" s="5"/>
      <c r="O173" s="5"/>
      <c r="P173" s="5"/>
    </row>
    <row r="174" spans="3:16" ht="13.5" customHeight="1" x14ac:dyDescent="0.35">
      <c r="C174" s="82"/>
      <c r="D174" s="5"/>
      <c r="E174" s="120"/>
      <c r="F174" s="5"/>
      <c r="G174" s="120"/>
      <c r="H174" s="5"/>
      <c r="I174" s="108"/>
      <c r="J174" s="5"/>
      <c r="K174" s="5"/>
      <c r="L174" s="5"/>
      <c r="M174" s="109"/>
      <c r="N174" s="5"/>
      <c r="O174" s="5"/>
      <c r="P174" s="5"/>
    </row>
    <row r="175" spans="3:16" ht="13.5" customHeight="1" x14ac:dyDescent="0.35">
      <c r="C175" s="82"/>
      <c r="D175" s="5"/>
      <c r="E175" s="120"/>
      <c r="F175" s="5"/>
      <c r="G175" s="120"/>
      <c r="H175" s="5"/>
      <c r="I175" s="108"/>
      <c r="J175" s="5"/>
      <c r="K175" s="5"/>
      <c r="L175" s="5"/>
      <c r="M175" s="109"/>
      <c r="N175" s="5"/>
      <c r="O175" s="5"/>
      <c r="P175" s="5"/>
    </row>
    <row r="176" spans="3:16" ht="13.5" customHeight="1" x14ac:dyDescent="0.35">
      <c r="C176" s="82"/>
      <c r="D176" s="5"/>
      <c r="E176" s="120"/>
      <c r="F176" s="5"/>
      <c r="G176" s="120"/>
      <c r="H176" s="5"/>
      <c r="I176" s="108"/>
      <c r="J176" s="5"/>
      <c r="K176" s="5"/>
      <c r="L176" s="5"/>
      <c r="M176" s="109"/>
      <c r="N176" s="5"/>
      <c r="O176" s="5"/>
      <c r="P176" s="5"/>
    </row>
    <row r="177" spans="3:16" ht="13.5" customHeight="1" x14ac:dyDescent="0.35">
      <c r="C177" s="82"/>
      <c r="D177" s="5"/>
      <c r="E177" s="120"/>
      <c r="F177" s="5"/>
      <c r="G177" s="120"/>
      <c r="H177" s="5"/>
      <c r="I177" s="108"/>
      <c r="J177" s="5"/>
      <c r="K177" s="5"/>
      <c r="L177" s="5"/>
      <c r="M177" s="109"/>
      <c r="N177" s="5"/>
      <c r="O177" s="5"/>
      <c r="P177" s="5"/>
    </row>
    <row r="178" spans="3:16" ht="13.5" customHeight="1" x14ac:dyDescent="0.35">
      <c r="C178" s="82"/>
      <c r="D178" s="5"/>
      <c r="E178" s="120"/>
      <c r="F178" s="5"/>
      <c r="G178" s="120"/>
      <c r="H178" s="5"/>
      <c r="I178" s="108"/>
      <c r="J178" s="5"/>
      <c r="K178" s="5"/>
      <c r="L178" s="5"/>
      <c r="M178" s="109"/>
      <c r="N178" s="5"/>
      <c r="O178" s="5"/>
      <c r="P178" s="5"/>
    </row>
    <row r="179" spans="3:16" ht="13.5" customHeight="1" x14ac:dyDescent="0.35">
      <c r="C179" s="82"/>
      <c r="D179" s="5"/>
      <c r="E179" s="120"/>
      <c r="F179" s="5"/>
      <c r="G179" s="120"/>
      <c r="H179" s="5"/>
      <c r="I179" s="108"/>
      <c r="J179" s="5"/>
      <c r="K179" s="5"/>
      <c r="L179" s="5"/>
      <c r="M179" s="109"/>
      <c r="N179" s="5"/>
      <c r="O179" s="5"/>
      <c r="P179" s="5"/>
    </row>
    <row r="180" spans="3:16" ht="13.5" customHeight="1" x14ac:dyDescent="0.35">
      <c r="C180" s="82"/>
      <c r="D180" s="5"/>
      <c r="E180" s="120"/>
      <c r="F180" s="5"/>
      <c r="G180" s="120"/>
      <c r="H180" s="5"/>
      <c r="I180" s="108"/>
      <c r="J180" s="5"/>
      <c r="K180" s="5"/>
      <c r="L180" s="5"/>
      <c r="M180" s="109"/>
      <c r="N180" s="5"/>
      <c r="O180" s="5"/>
      <c r="P180" s="5"/>
    </row>
    <row r="181" spans="3:16" ht="13.5" customHeight="1" x14ac:dyDescent="0.35">
      <c r="C181" s="82"/>
      <c r="D181" s="5"/>
      <c r="E181" s="120"/>
      <c r="F181" s="5"/>
      <c r="G181" s="120"/>
      <c r="H181" s="5"/>
      <c r="I181" s="108"/>
      <c r="J181" s="5"/>
      <c r="K181" s="5"/>
      <c r="L181" s="5"/>
      <c r="M181" s="109"/>
      <c r="N181" s="5"/>
      <c r="O181" s="5"/>
      <c r="P181" s="5"/>
    </row>
    <row r="182" spans="3:16" ht="13.5" customHeight="1" x14ac:dyDescent="0.35">
      <c r="C182" s="82"/>
      <c r="D182" s="5"/>
      <c r="E182" s="120"/>
      <c r="F182" s="5"/>
      <c r="G182" s="120"/>
      <c r="H182" s="5"/>
      <c r="I182" s="108"/>
      <c r="J182" s="5"/>
      <c r="K182" s="5"/>
      <c r="L182" s="5"/>
      <c r="M182" s="109"/>
      <c r="N182" s="5"/>
      <c r="O182" s="5"/>
      <c r="P182" s="5"/>
    </row>
    <row r="183" spans="3:16" ht="13.5" customHeight="1" x14ac:dyDescent="0.35">
      <c r="C183" s="82"/>
      <c r="D183" s="5"/>
      <c r="E183" s="120"/>
      <c r="F183" s="5"/>
      <c r="G183" s="120"/>
      <c r="H183" s="5"/>
      <c r="I183" s="108"/>
      <c r="J183" s="5"/>
      <c r="K183" s="5"/>
      <c r="L183" s="5"/>
      <c r="M183" s="109"/>
      <c r="N183" s="5"/>
      <c r="O183" s="5"/>
      <c r="P183" s="5"/>
    </row>
    <row r="184" spans="3:16" ht="13.5" customHeight="1" x14ac:dyDescent="0.35">
      <c r="C184" s="82"/>
      <c r="D184" s="5"/>
      <c r="E184" s="120"/>
      <c r="F184" s="5"/>
      <c r="G184" s="120"/>
      <c r="H184" s="5"/>
      <c r="I184" s="108"/>
      <c r="J184" s="5"/>
      <c r="K184" s="5"/>
      <c r="L184" s="5"/>
      <c r="M184" s="109"/>
      <c r="N184" s="5"/>
      <c r="O184" s="5"/>
      <c r="P184" s="5"/>
    </row>
    <row r="185" spans="3:16" ht="13.5" customHeight="1" x14ac:dyDescent="0.35">
      <c r="C185" s="82"/>
      <c r="D185" s="5"/>
      <c r="E185" s="120"/>
      <c r="F185" s="5"/>
      <c r="G185" s="120"/>
      <c r="H185" s="5"/>
      <c r="I185" s="108"/>
      <c r="J185" s="5"/>
      <c r="K185" s="5"/>
      <c r="L185" s="5"/>
      <c r="M185" s="109"/>
      <c r="N185" s="5"/>
      <c r="O185" s="5"/>
      <c r="P185" s="5"/>
    </row>
    <row r="186" spans="3:16" ht="13.5" customHeight="1" x14ac:dyDescent="0.35">
      <c r="C186" s="82"/>
      <c r="D186" s="5"/>
      <c r="E186" s="120"/>
      <c r="F186" s="5"/>
      <c r="G186" s="120"/>
      <c r="H186" s="5"/>
      <c r="I186" s="108"/>
      <c r="J186" s="5"/>
      <c r="K186" s="5"/>
      <c r="L186" s="5"/>
      <c r="M186" s="109"/>
      <c r="N186" s="5"/>
      <c r="O186" s="5"/>
      <c r="P186" s="5"/>
    </row>
    <row r="187" spans="3:16" ht="13.5" customHeight="1" x14ac:dyDescent="0.35">
      <c r="C187" s="82"/>
      <c r="D187" s="5"/>
      <c r="E187" s="120"/>
      <c r="F187" s="5"/>
      <c r="G187" s="120"/>
      <c r="H187" s="5"/>
      <c r="I187" s="108"/>
      <c r="J187" s="5"/>
      <c r="K187" s="5"/>
      <c r="L187" s="5"/>
      <c r="M187" s="109"/>
      <c r="N187" s="5"/>
      <c r="O187" s="5"/>
      <c r="P187" s="5"/>
    </row>
    <row r="188" spans="3:16" ht="13.5" customHeight="1" x14ac:dyDescent="0.35">
      <c r="C188" s="82"/>
      <c r="D188" s="5"/>
      <c r="E188" s="120"/>
      <c r="F188" s="5"/>
      <c r="G188" s="120"/>
      <c r="H188" s="5"/>
      <c r="I188" s="108"/>
      <c r="J188" s="5"/>
      <c r="K188" s="5"/>
      <c r="L188" s="5"/>
      <c r="M188" s="109"/>
      <c r="N188" s="5"/>
      <c r="O188" s="5"/>
      <c r="P188" s="5"/>
    </row>
    <row r="189" spans="3:16" ht="13.5" customHeight="1" x14ac:dyDescent="0.35">
      <c r="C189" s="82"/>
      <c r="D189" s="5"/>
      <c r="E189" s="120"/>
      <c r="F189" s="5"/>
      <c r="G189" s="120"/>
      <c r="H189" s="5"/>
      <c r="I189" s="108"/>
      <c r="J189" s="5"/>
      <c r="K189" s="5"/>
      <c r="L189" s="5"/>
      <c r="M189" s="109"/>
      <c r="N189" s="5"/>
      <c r="O189" s="5"/>
      <c r="P189" s="5"/>
    </row>
    <row r="190" spans="3:16" ht="13.5" customHeight="1" x14ac:dyDescent="0.35">
      <c r="C190" s="82"/>
      <c r="D190" s="5"/>
      <c r="E190" s="120"/>
      <c r="F190" s="5"/>
      <c r="G190" s="120"/>
      <c r="H190" s="5"/>
      <c r="I190" s="108"/>
      <c r="J190" s="5"/>
      <c r="K190" s="5"/>
      <c r="L190" s="5"/>
      <c r="M190" s="109"/>
      <c r="N190" s="5"/>
      <c r="O190" s="5"/>
      <c r="P190" s="5"/>
    </row>
    <row r="191" spans="3:16" ht="13.5" customHeight="1" x14ac:dyDescent="0.35">
      <c r="C191" s="82"/>
      <c r="D191" s="5"/>
      <c r="E191" s="120"/>
      <c r="F191" s="5"/>
      <c r="G191" s="120"/>
      <c r="H191" s="5"/>
      <c r="I191" s="108"/>
      <c r="J191" s="5"/>
      <c r="K191" s="5"/>
      <c r="L191" s="5"/>
      <c r="M191" s="109"/>
      <c r="N191" s="5"/>
      <c r="O191" s="5"/>
      <c r="P191" s="5"/>
    </row>
    <row r="192" spans="3:16" ht="13.5" customHeight="1" x14ac:dyDescent="0.35">
      <c r="C192" s="82"/>
      <c r="D192" s="5"/>
      <c r="E192" s="120"/>
      <c r="F192" s="5"/>
      <c r="G192" s="120"/>
      <c r="H192" s="5"/>
      <c r="I192" s="108"/>
      <c r="J192" s="5"/>
      <c r="K192" s="5"/>
      <c r="L192" s="5"/>
      <c r="M192" s="109"/>
      <c r="N192" s="5"/>
      <c r="O192" s="5"/>
      <c r="P192" s="5"/>
    </row>
    <row r="193" spans="3:16" ht="13.5" customHeight="1" x14ac:dyDescent="0.35">
      <c r="C193" s="82"/>
      <c r="D193" s="5"/>
      <c r="E193" s="120"/>
      <c r="F193" s="5"/>
      <c r="G193" s="120"/>
      <c r="H193" s="5"/>
      <c r="I193" s="108"/>
      <c r="J193" s="5"/>
      <c r="K193" s="5"/>
      <c r="L193" s="5"/>
      <c r="M193" s="109"/>
      <c r="N193" s="5"/>
      <c r="O193" s="5"/>
      <c r="P193" s="5"/>
    </row>
    <row r="194" spans="3:16" ht="13.5" customHeight="1" x14ac:dyDescent="0.35">
      <c r="C194" s="82"/>
      <c r="D194" s="5"/>
      <c r="E194" s="120"/>
      <c r="F194" s="5"/>
      <c r="G194" s="120"/>
      <c r="H194" s="5"/>
      <c r="I194" s="108"/>
      <c r="J194" s="5"/>
      <c r="K194" s="5"/>
      <c r="L194" s="5"/>
      <c r="M194" s="109"/>
      <c r="N194" s="5"/>
      <c r="O194" s="5"/>
      <c r="P194" s="5"/>
    </row>
    <row r="195" spans="3:16" ht="13.5" customHeight="1" x14ac:dyDescent="0.35">
      <c r="C195" s="82"/>
      <c r="D195" s="5"/>
      <c r="E195" s="120"/>
      <c r="F195" s="5"/>
      <c r="G195" s="120"/>
      <c r="H195" s="5"/>
      <c r="I195" s="108"/>
      <c r="J195" s="5"/>
      <c r="K195" s="5"/>
      <c r="L195" s="5"/>
      <c r="M195" s="109"/>
      <c r="N195" s="5"/>
      <c r="O195" s="5"/>
      <c r="P195" s="5"/>
    </row>
    <row r="196" spans="3:16" ht="13.5" customHeight="1" x14ac:dyDescent="0.35">
      <c r="C196" s="82"/>
      <c r="D196" s="5"/>
      <c r="E196" s="120"/>
      <c r="F196" s="5"/>
      <c r="G196" s="120"/>
      <c r="H196" s="5"/>
      <c r="I196" s="108"/>
      <c r="J196" s="5"/>
      <c r="K196" s="5"/>
      <c r="L196" s="5"/>
      <c r="M196" s="109"/>
      <c r="N196" s="5"/>
      <c r="O196" s="5"/>
      <c r="P196" s="5"/>
    </row>
    <row r="197" spans="3:16" ht="13.5" customHeight="1" x14ac:dyDescent="0.35">
      <c r="C197" s="82"/>
      <c r="D197" s="5"/>
      <c r="E197" s="120"/>
      <c r="F197" s="5"/>
      <c r="G197" s="120"/>
      <c r="H197" s="5"/>
      <c r="I197" s="108"/>
      <c r="J197" s="5"/>
      <c r="K197" s="5"/>
      <c r="L197" s="5"/>
      <c r="M197" s="109"/>
      <c r="N197" s="5"/>
      <c r="O197" s="5"/>
      <c r="P197" s="5"/>
    </row>
    <row r="198" spans="3:16" ht="13.5" customHeight="1" x14ac:dyDescent="0.35">
      <c r="C198" s="82"/>
      <c r="D198" s="5"/>
      <c r="E198" s="120"/>
      <c r="F198" s="5"/>
      <c r="G198" s="120"/>
      <c r="H198" s="5"/>
      <c r="I198" s="108"/>
      <c r="J198" s="5"/>
      <c r="K198" s="5"/>
      <c r="L198" s="5"/>
      <c r="M198" s="109"/>
      <c r="N198" s="5"/>
      <c r="O198" s="5"/>
      <c r="P198" s="5"/>
    </row>
    <row r="199" spans="3:16" ht="13.5" customHeight="1" x14ac:dyDescent="0.35">
      <c r="C199" s="82"/>
      <c r="D199" s="5"/>
      <c r="E199" s="120"/>
      <c r="F199" s="5"/>
      <c r="G199" s="120"/>
      <c r="H199" s="5"/>
      <c r="I199" s="108"/>
      <c r="J199" s="5"/>
      <c r="K199" s="5"/>
      <c r="L199" s="5"/>
      <c r="M199" s="109"/>
      <c r="N199" s="5"/>
      <c r="O199" s="5"/>
      <c r="P199" s="5"/>
    </row>
    <row r="200" spans="3:16" ht="13.5" customHeight="1" x14ac:dyDescent="0.35">
      <c r="C200" s="82"/>
      <c r="D200" s="5"/>
      <c r="E200" s="120"/>
      <c r="F200" s="5"/>
      <c r="G200" s="120"/>
      <c r="H200" s="5"/>
      <c r="I200" s="108"/>
      <c r="J200" s="5"/>
      <c r="K200" s="5"/>
      <c r="L200" s="5"/>
      <c r="M200" s="109"/>
      <c r="N200" s="5"/>
      <c r="O200" s="5"/>
      <c r="P200" s="5"/>
    </row>
    <row r="201" spans="3:16" ht="13.5" customHeight="1" x14ac:dyDescent="0.35">
      <c r="C201" s="82"/>
      <c r="D201" s="5"/>
      <c r="E201" s="120"/>
      <c r="F201" s="5"/>
      <c r="G201" s="120"/>
      <c r="H201" s="5"/>
      <c r="I201" s="108"/>
      <c r="J201" s="5"/>
      <c r="K201" s="5"/>
      <c r="L201" s="5"/>
      <c r="M201" s="109"/>
      <c r="N201" s="5"/>
      <c r="O201" s="5"/>
      <c r="P201" s="5"/>
    </row>
    <row r="202" spans="3:16" ht="13.5" customHeight="1" x14ac:dyDescent="0.35">
      <c r="C202" s="82"/>
      <c r="D202" s="5"/>
      <c r="E202" s="120"/>
      <c r="F202" s="5"/>
      <c r="G202" s="120"/>
      <c r="H202" s="5"/>
      <c r="I202" s="108"/>
      <c r="J202" s="5"/>
      <c r="K202" s="5"/>
      <c r="L202" s="5"/>
      <c r="M202" s="109"/>
      <c r="N202" s="5"/>
      <c r="O202" s="5"/>
      <c r="P202" s="5"/>
    </row>
    <row r="203" spans="3:16" ht="13.5" customHeight="1" x14ac:dyDescent="0.35">
      <c r="C203" s="82"/>
      <c r="D203" s="5"/>
      <c r="E203" s="120"/>
      <c r="F203" s="5"/>
      <c r="G203" s="120"/>
      <c r="H203" s="5"/>
      <c r="I203" s="108"/>
      <c r="J203" s="5"/>
      <c r="K203" s="5"/>
      <c r="L203" s="5"/>
      <c r="M203" s="109"/>
      <c r="N203" s="5"/>
      <c r="O203" s="5"/>
      <c r="P203" s="5"/>
    </row>
    <row r="204" spans="3:16" ht="13.5" customHeight="1" x14ac:dyDescent="0.35">
      <c r="C204" s="82"/>
      <c r="D204" s="5"/>
      <c r="E204" s="120"/>
      <c r="F204" s="5"/>
      <c r="G204" s="120"/>
      <c r="H204" s="5"/>
      <c r="I204" s="108"/>
      <c r="J204" s="5"/>
      <c r="K204" s="5"/>
      <c r="L204" s="5"/>
      <c r="M204" s="109"/>
      <c r="N204" s="5"/>
      <c r="O204" s="5"/>
      <c r="P204" s="5"/>
    </row>
    <row r="205" spans="3:16" ht="13.5" customHeight="1" x14ac:dyDescent="0.35">
      <c r="C205" s="82"/>
      <c r="D205" s="5"/>
      <c r="E205" s="120"/>
      <c r="F205" s="5"/>
      <c r="G205" s="120"/>
      <c r="H205" s="5"/>
      <c r="I205" s="108"/>
      <c r="J205" s="5"/>
      <c r="K205" s="5"/>
      <c r="L205" s="5"/>
      <c r="M205" s="109"/>
      <c r="N205" s="5"/>
      <c r="O205" s="5"/>
      <c r="P205" s="5"/>
    </row>
    <row r="206" spans="3:16" ht="13.5" customHeight="1" x14ac:dyDescent="0.35">
      <c r="C206" s="82"/>
      <c r="D206" s="5"/>
      <c r="E206" s="120"/>
      <c r="F206" s="5"/>
      <c r="G206" s="120"/>
      <c r="H206" s="5"/>
      <c r="I206" s="108"/>
      <c r="J206" s="5"/>
      <c r="K206" s="5"/>
      <c r="L206" s="5"/>
      <c r="M206" s="109"/>
      <c r="N206" s="5"/>
      <c r="O206" s="5"/>
      <c r="P206" s="5"/>
    </row>
    <row r="207" spans="3:16" ht="13.5" customHeight="1" x14ac:dyDescent="0.35">
      <c r="C207" s="82"/>
      <c r="D207" s="5"/>
      <c r="E207" s="120"/>
      <c r="F207" s="5"/>
      <c r="G207" s="120"/>
      <c r="H207" s="5"/>
      <c r="I207" s="108"/>
      <c r="J207" s="5"/>
      <c r="K207" s="5"/>
      <c r="L207" s="5"/>
      <c r="M207" s="109"/>
      <c r="N207" s="5"/>
      <c r="O207" s="5"/>
      <c r="P207" s="5"/>
    </row>
    <row r="208" spans="3:16" ht="13.5" customHeight="1" x14ac:dyDescent="0.35">
      <c r="C208" s="82"/>
      <c r="D208" s="5"/>
      <c r="E208" s="120"/>
      <c r="F208" s="5"/>
      <c r="G208" s="120"/>
      <c r="H208" s="5"/>
      <c r="I208" s="108"/>
      <c r="J208" s="5"/>
      <c r="K208" s="5"/>
      <c r="L208" s="5"/>
      <c r="M208" s="109"/>
      <c r="N208" s="5"/>
      <c r="O208" s="5"/>
      <c r="P208" s="5"/>
    </row>
    <row r="209" spans="3:16" ht="13.5" customHeight="1" x14ac:dyDescent="0.35">
      <c r="C209" s="82"/>
      <c r="D209" s="5"/>
      <c r="E209" s="120"/>
      <c r="F209" s="5"/>
      <c r="G209" s="120"/>
      <c r="H209" s="5"/>
      <c r="I209" s="108"/>
      <c r="J209" s="5"/>
      <c r="K209" s="5"/>
      <c r="L209" s="5"/>
      <c r="M209" s="109"/>
      <c r="N209" s="5"/>
      <c r="O209" s="5"/>
      <c r="P209" s="5"/>
    </row>
    <row r="210" spans="3:16" ht="13.5" customHeight="1" x14ac:dyDescent="0.35">
      <c r="C210" s="82"/>
      <c r="D210" s="5"/>
      <c r="E210" s="120"/>
      <c r="F210" s="5"/>
      <c r="G210" s="120"/>
      <c r="H210" s="5"/>
      <c r="I210" s="108"/>
      <c r="J210" s="5"/>
      <c r="K210" s="5"/>
      <c r="L210" s="5"/>
      <c r="M210" s="109"/>
      <c r="N210" s="5"/>
      <c r="O210" s="5"/>
      <c r="P210" s="5"/>
    </row>
    <row r="211" spans="3:16" ht="13.5" customHeight="1" x14ac:dyDescent="0.35">
      <c r="C211" s="82"/>
      <c r="D211" s="5"/>
      <c r="E211" s="120"/>
      <c r="F211" s="5"/>
      <c r="G211" s="120"/>
      <c r="H211" s="5"/>
      <c r="I211" s="108"/>
      <c r="J211" s="5"/>
      <c r="K211" s="5"/>
      <c r="L211" s="5"/>
      <c r="M211" s="109"/>
      <c r="N211" s="5"/>
      <c r="O211" s="5"/>
      <c r="P211" s="5"/>
    </row>
    <row r="212" spans="3:16" ht="13.5" customHeight="1" x14ac:dyDescent="0.35">
      <c r="C212" s="82"/>
      <c r="D212" s="5"/>
      <c r="E212" s="120"/>
      <c r="F212" s="5"/>
      <c r="G212" s="120"/>
      <c r="H212" s="5"/>
      <c r="I212" s="108"/>
      <c r="J212" s="5"/>
      <c r="K212" s="5"/>
      <c r="L212" s="5"/>
      <c r="M212" s="109"/>
      <c r="N212" s="5"/>
      <c r="O212" s="5"/>
      <c r="P212" s="5"/>
    </row>
    <row r="213" spans="3:16" ht="13.5" customHeight="1" x14ac:dyDescent="0.35">
      <c r="C213" s="82"/>
      <c r="D213" s="5"/>
      <c r="E213" s="120"/>
      <c r="F213" s="5"/>
      <c r="G213" s="120"/>
      <c r="H213" s="5"/>
      <c r="I213" s="108"/>
      <c r="J213" s="5"/>
      <c r="K213" s="5"/>
      <c r="L213" s="5"/>
      <c r="M213" s="109"/>
      <c r="N213" s="5"/>
      <c r="O213" s="5"/>
      <c r="P213" s="5"/>
    </row>
    <row r="214" spans="3:16" ht="13.5" customHeight="1" x14ac:dyDescent="0.35">
      <c r="C214" s="82"/>
      <c r="D214" s="5"/>
      <c r="E214" s="120"/>
      <c r="F214" s="5"/>
      <c r="G214" s="120"/>
      <c r="H214" s="5"/>
      <c r="I214" s="108"/>
      <c r="J214" s="5"/>
      <c r="K214" s="5"/>
      <c r="L214" s="5"/>
      <c r="M214" s="109"/>
      <c r="N214" s="5"/>
      <c r="O214" s="5"/>
      <c r="P214" s="5"/>
    </row>
    <row r="215" spans="3:16" ht="13.5" customHeight="1" x14ac:dyDescent="0.35">
      <c r="C215" s="82"/>
      <c r="D215" s="5"/>
      <c r="E215" s="120"/>
      <c r="F215" s="5"/>
      <c r="G215" s="120"/>
      <c r="H215" s="5"/>
      <c r="I215" s="108"/>
      <c r="J215" s="5"/>
      <c r="K215" s="5"/>
      <c r="L215" s="5"/>
      <c r="M215" s="109"/>
      <c r="N215" s="5"/>
      <c r="O215" s="5"/>
      <c r="P215" s="5"/>
    </row>
    <row r="216" spans="3:16" ht="13.5" customHeight="1" x14ac:dyDescent="0.35">
      <c r="C216" s="82"/>
      <c r="D216" s="5"/>
      <c r="E216" s="120"/>
      <c r="F216" s="5"/>
      <c r="G216" s="120"/>
      <c r="H216" s="5"/>
      <c r="I216" s="108"/>
      <c r="J216" s="5"/>
      <c r="K216" s="5"/>
      <c r="L216" s="5"/>
      <c r="M216" s="109"/>
      <c r="N216" s="5"/>
      <c r="O216" s="5"/>
      <c r="P216" s="5"/>
    </row>
    <row r="217" spans="3:16" ht="13.5" customHeight="1" x14ac:dyDescent="0.35">
      <c r="C217" s="82"/>
      <c r="D217" s="5"/>
      <c r="E217" s="120"/>
      <c r="F217" s="5"/>
      <c r="G217" s="120"/>
      <c r="H217" s="5"/>
      <c r="I217" s="108"/>
      <c r="J217" s="5"/>
      <c r="K217" s="5"/>
      <c r="L217" s="5"/>
      <c r="M217" s="109"/>
      <c r="N217" s="5"/>
      <c r="O217" s="5"/>
      <c r="P217" s="5"/>
    </row>
    <row r="218" spans="3:16" ht="13.5" customHeight="1" x14ac:dyDescent="0.35">
      <c r="C218" s="82"/>
      <c r="D218" s="5"/>
      <c r="E218" s="120"/>
      <c r="F218" s="5"/>
      <c r="G218" s="120"/>
      <c r="H218" s="5"/>
      <c r="I218" s="108"/>
      <c r="J218" s="5"/>
      <c r="K218" s="5"/>
      <c r="L218" s="5"/>
      <c r="M218" s="109"/>
      <c r="N218" s="5"/>
      <c r="O218" s="5"/>
      <c r="P218" s="5"/>
    </row>
    <row r="219" spans="3:16" ht="13.5" customHeight="1" x14ac:dyDescent="0.35">
      <c r="C219" s="82"/>
      <c r="D219" s="5"/>
      <c r="E219" s="120"/>
      <c r="F219" s="5"/>
      <c r="G219" s="120"/>
      <c r="H219" s="5"/>
      <c r="I219" s="108"/>
      <c r="J219" s="5"/>
      <c r="K219" s="5"/>
      <c r="L219" s="5"/>
      <c r="M219" s="109"/>
      <c r="N219" s="5"/>
      <c r="O219" s="5"/>
      <c r="P219" s="5"/>
    </row>
    <row r="220" spans="3:16" ht="13.5" customHeight="1" x14ac:dyDescent="0.35">
      <c r="C220" s="82"/>
      <c r="D220" s="5"/>
      <c r="E220" s="120"/>
      <c r="F220" s="5"/>
      <c r="G220" s="120"/>
      <c r="H220" s="5"/>
      <c r="I220" s="108"/>
      <c r="J220" s="5"/>
      <c r="K220" s="5"/>
      <c r="L220" s="5"/>
      <c r="M220" s="109"/>
      <c r="N220" s="5"/>
      <c r="O220" s="5"/>
      <c r="P220" s="5"/>
    </row>
    <row r="221" spans="3:16" ht="13.5" customHeight="1" x14ac:dyDescent="0.35">
      <c r="C221" s="82"/>
      <c r="D221" s="5"/>
      <c r="E221" s="120"/>
      <c r="F221" s="5"/>
      <c r="G221" s="120"/>
      <c r="H221" s="5"/>
      <c r="I221" s="108"/>
      <c r="J221" s="5"/>
      <c r="K221" s="5"/>
      <c r="L221" s="5"/>
      <c r="M221" s="109"/>
      <c r="N221" s="5"/>
      <c r="O221" s="5"/>
      <c r="P221" s="5"/>
    </row>
    <row r="222" spans="3:16" ht="13.5" customHeight="1" x14ac:dyDescent="0.35">
      <c r="C222" s="82"/>
      <c r="D222" s="5"/>
      <c r="E222" s="120"/>
      <c r="F222" s="5"/>
      <c r="G222" s="120"/>
      <c r="H222" s="5"/>
      <c r="I222" s="108"/>
      <c r="J222" s="5"/>
      <c r="K222" s="5"/>
      <c r="L222" s="5"/>
      <c r="M222" s="109"/>
      <c r="N222" s="5"/>
      <c r="O222" s="5"/>
      <c r="P222" s="5"/>
    </row>
    <row r="223" spans="3:16" ht="13.5" customHeight="1" x14ac:dyDescent="0.35">
      <c r="C223" s="82"/>
      <c r="D223" s="5"/>
      <c r="E223" s="120"/>
      <c r="F223" s="5"/>
      <c r="G223" s="120"/>
      <c r="H223" s="5"/>
      <c r="I223" s="108"/>
      <c r="J223" s="5"/>
      <c r="K223" s="5"/>
      <c r="L223" s="5"/>
      <c r="M223" s="109"/>
      <c r="N223" s="5"/>
      <c r="O223" s="5"/>
      <c r="P223" s="5"/>
    </row>
    <row r="224" spans="3:16" ht="13.5" customHeight="1" x14ac:dyDescent="0.35">
      <c r="C224" s="82"/>
      <c r="D224" s="5"/>
      <c r="E224" s="120"/>
      <c r="F224" s="5"/>
      <c r="G224" s="120"/>
      <c r="H224" s="5"/>
      <c r="I224" s="108"/>
      <c r="J224" s="5"/>
      <c r="K224" s="5"/>
      <c r="L224" s="5"/>
      <c r="M224" s="109"/>
      <c r="N224" s="5"/>
      <c r="O224" s="5"/>
      <c r="P224" s="5"/>
    </row>
    <row r="225" spans="3:16" ht="13.5" customHeight="1" x14ac:dyDescent="0.35">
      <c r="C225" s="82"/>
      <c r="D225" s="5"/>
      <c r="E225" s="120"/>
      <c r="F225" s="5"/>
      <c r="G225" s="120"/>
      <c r="H225" s="5"/>
      <c r="I225" s="108"/>
      <c r="J225" s="5"/>
      <c r="K225" s="5"/>
      <c r="L225" s="5"/>
      <c r="M225" s="109"/>
      <c r="N225" s="5"/>
      <c r="O225" s="5"/>
      <c r="P225" s="5"/>
    </row>
    <row r="226" spans="3:16" ht="13.5" customHeight="1" x14ac:dyDescent="0.35">
      <c r="C226" s="82"/>
      <c r="D226" s="5"/>
      <c r="E226" s="120"/>
      <c r="F226" s="5"/>
      <c r="G226" s="120"/>
      <c r="H226" s="5"/>
      <c r="I226" s="108"/>
      <c r="J226" s="5"/>
      <c r="K226" s="5"/>
      <c r="L226" s="5"/>
      <c r="M226" s="109"/>
      <c r="N226" s="5"/>
      <c r="O226" s="5"/>
      <c r="P226" s="5"/>
    </row>
    <row r="227" spans="3:16" ht="13.5" customHeight="1" x14ac:dyDescent="0.35">
      <c r="C227" s="82"/>
      <c r="D227" s="5"/>
      <c r="E227" s="120"/>
      <c r="F227" s="5"/>
      <c r="G227" s="120"/>
      <c r="H227" s="5"/>
      <c r="I227" s="108"/>
      <c r="J227" s="5"/>
      <c r="K227" s="5"/>
      <c r="L227" s="5"/>
      <c r="M227" s="109"/>
      <c r="N227" s="5"/>
      <c r="O227" s="5"/>
      <c r="P227" s="5"/>
    </row>
    <row r="228" spans="3:16" ht="13.5" customHeight="1" x14ac:dyDescent="0.35">
      <c r="C228" s="82"/>
      <c r="D228" s="5"/>
      <c r="E228" s="120"/>
      <c r="F228" s="5"/>
      <c r="G228" s="120"/>
      <c r="H228" s="5"/>
      <c r="I228" s="108"/>
      <c r="J228" s="5"/>
      <c r="K228" s="5"/>
      <c r="L228" s="5"/>
      <c r="M228" s="109"/>
      <c r="N228" s="5"/>
      <c r="O228" s="5"/>
      <c r="P228" s="5"/>
    </row>
    <row r="229" spans="3:16" ht="13.5" customHeight="1" x14ac:dyDescent="0.35">
      <c r="C229" s="82"/>
      <c r="D229" s="5"/>
      <c r="E229" s="120"/>
      <c r="F229" s="5"/>
      <c r="G229" s="120"/>
      <c r="H229" s="5"/>
      <c r="I229" s="108"/>
      <c r="J229" s="5"/>
      <c r="K229" s="5"/>
      <c r="L229" s="5"/>
      <c r="M229" s="109"/>
      <c r="N229" s="5"/>
      <c r="O229" s="5"/>
      <c r="P229" s="5"/>
    </row>
    <row r="230" spans="3:16" ht="13.5" customHeight="1" x14ac:dyDescent="0.35">
      <c r="C230" s="82"/>
      <c r="D230" s="5"/>
      <c r="E230" s="120"/>
      <c r="F230" s="5"/>
      <c r="G230" s="120"/>
      <c r="H230" s="5"/>
      <c r="I230" s="108"/>
      <c r="J230" s="5"/>
      <c r="K230" s="5"/>
      <c r="L230" s="5"/>
      <c r="M230" s="109"/>
      <c r="N230" s="5"/>
      <c r="O230" s="5"/>
      <c r="P230" s="5"/>
    </row>
    <row r="231" spans="3:16" ht="13.5" customHeight="1" x14ac:dyDescent="0.35">
      <c r="C231" s="82"/>
      <c r="D231" s="5"/>
      <c r="E231" s="120"/>
      <c r="F231" s="5"/>
      <c r="G231" s="120"/>
      <c r="H231" s="5"/>
      <c r="I231" s="108"/>
      <c r="J231" s="5"/>
      <c r="K231" s="5"/>
      <c r="L231" s="5"/>
      <c r="M231" s="109"/>
      <c r="N231" s="5"/>
      <c r="O231" s="5"/>
      <c r="P231" s="5"/>
    </row>
    <row r="232" spans="3:16" ht="13.5" customHeight="1" x14ac:dyDescent="0.35">
      <c r="C232" s="82"/>
      <c r="D232" s="5"/>
      <c r="E232" s="120"/>
      <c r="F232" s="5"/>
      <c r="G232" s="120"/>
      <c r="H232" s="5"/>
      <c r="I232" s="108"/>
      <c r="J232" s="5"/>
      <c r="K232" s="5"/>
      <c r="L232" s="5"/>
      <c r="M232" s="109"/>
      <c r="N232" s="5"/>
      <c r="O232" s="5"/>
      <c r="P232" s="5"/>
    </row>
    <row r="233" spans="3:16" ht="13.5" customHeight="1" x14ac:dyDescent="0.35">
      <c r="C233" s="82"/>
      <c r="D233" s="5"/>
      <c r="E233" s="120"/>
      <c r="F233" s="5"/>
      <c r="G233" s="120"/>
      <c r="H233" s="5"/>
      <c r="I233" s="108"/>
      <c r="J233" s="5"/>
      <c r="K233" s="5"/>
      <c r="L233" s="5"/>
      <c r="M233" s="109"/>
      <c r="N233" s="5"/>
      <c r="O233" s="5"/>
      <c r="P233" s="5"/>
    </row>
    <row r="234" spans="3:16" ht="13.5" customHeight="1" x14ac:dyDescent="0.35">
      <c r="C234" s="82"/>
      <c r="D234" s="5"/>
      <c r="E234" s="120"/>
      <c r="F234" s="5"/>
      <c r="G234" s="120"/>
      <c r="H234" s="5"/>
      <c r="I234" s="108"/>
      <c r="J234" s="5"/>
      <c r="K234" s="5"/>
      <c r="L234" s="5"/>
      <c r="M234" s="109"/>
      <c r="N234" s="5"/>
      <c r="O234" s="5"/>
      <c r="P234" s="5"/>
    </row>
    <row r="235" spans="3:16" ht="13.5" customHeight="1" x14ac:dyDescent="0.35">
      <c r="C235" s="82"/>
      <c r="D235" s="5"/>
      <c r="E235" s="120"/>
      <c r="F235" s="5"/>
      <c r="G235" s="120"/>
      <c r="H235" s="5"/>
      <c r="I235" s="108"/>
      <c r="J235" s="5"/>
      <c r="K235" s="5"/>
      <c r="L235" s="5"/>
      <c r="M235" s="109"/>
      <c r="N235" s="5"/>
      <c r="O235" s="5"/>
      <c r="P235" s="5"/>
    </row>
    <row r="236" spans="3:16" ht="13.5" customHeight="1" x14ac:dyDescent="0.35">
      <c r="C236" s="82"/>
      <c r="D236" s="5"/>
      <c r="E236" s="120"/>
      <c r="F236" s="5"/>
      <c r="G236" s="120"/>
      <c r="H236" s="5"/>
      <c r="I236" s="108"/>
      <c r="J236" s="5"/>
      <c r="K236" s="5"/>
      <c r="L236" s="5"/>
      <c r="M236" s="109"/>
      <c r="N236" s="5"/>
      <c r="O236" s="5"/>
      <c r="P236" s="5"/>
    </row>
    <row r="237" spans="3:16" ht="13.5" customHeight="1" x14ac:dyDescent="0.35">
      <c r="C237" s="82"/>
      <c r="D237" s="5"/>
      <c r="E237" s="120"/>
      <c r="F237" s="5"/>
      <c r="G237" s="120"/>
      <c r="H237" s="5"/>
      <c r="I237" s="108"/>
      <c r="J237" s="5"/>
      <c r="K237" s="5"/>
      <c r="L237" s="5"/>
      <c r="M237" s="109"/>
      <c r="N237" s="5"/>
      <c r="O237" s="5"/>
      <c r="P237" s="5"/>
    </row>
    <row r="238" spans="3:16" ht="13.5" customHeight="1" x14ac:dyDescent="0.35">
      <c r="C238" s="82"/>
      <c r="D238" s="5"/>
      <c r="E238" s="120"/>
      <c r="F238" s="5"/>
      <c r="G238" s="120"/>
      <c r="H238" s="5"/>
      <c r="I238" s="108"/>
      <c r="J238" s="5"/>
      <c r="K238" s="5"/>
      <c r="L238" s="5"/>
      <c r="M238" s="109"/>
      <c r="N238" s="5"/>
      <c r="O238" s="5"/>
      <c r="P238" s="5"/>
    </row>
    <row r="239" spans="3:16" ht="13.5" customHeight="1" x14ac:dyDescent="0.35">
      <c r="C239" s="82"/>
      <c r="D239" s="5"/>
      <c r="E239" s="120"/>
      <c r="F239" s="5"/>
      <c r="G239" s="120"/>
      <c r="H239" s="5"/>
      <c r="I239" s="108"/>
      <c r="J239" s="5"/>
      <c r="K239" s="5"/>
      <c r="L239" s="5"/>
      <c r="M239" s="109"/>
      <c r="N239" s="5"/>
      <c r="O239" s="5"/>
      <c r="P239" s="5"/>
    </row>
    <row r="240" spans="3:16" ht="13.5" customHeight="1" x14ac:dyDescent="0.35">
      <c r="C240" s="82"/>
      <c r="D240" s="5"/>
      <c r="E240" s="120"/>
      <c r="F240" s="5"/>
      <c r="G240" s="120"/>
      <c r="H240" s="5"/>
      <c r="I240" s="108"/>
      <c r="J240" s="5"/>
      <c r="K240" s="5"/>
      <c r="L240" s="5"/>
      <c r="M240" s="109"/>
      <c r="N240" s="5"/>
      <c r="O240" s="5"/>
      <c r="P240" s="5"/>
    </row>
    <row r="241" spans="3:16" ht="13.5" customHeight="1" x14ac:dyDescent="0.35">
      <c r="C241" s="82"/>
      <c r="D241" s="5"/>
      <c r="E241" s="120"/>
      <c r="F241" s="5"/>
      <c r="G241" s="120"/>
      <c r="H241" s="5"/>
      <c r="I241" s="108"/>
      <c r="J241" s="5"/>
      <c r="K241" s="5"/>
      <c r="L241" s="5"/>
      <c r="M241" s="109"/>
      <c r="N241" s="5"/>
      <c r="O241" s="5"/>
      <c r="P241" s="5"/>
    </row>
    <row r="242" spans="3:16" ht="13.5" customHeight="1" x14ac:dyDescent="0.35">
      <c r="C242" s="82"/>
      <c r="D242" s="5"/>
      <c r="E242" s="120"/>
      <c r="F242" s="5"/>
      <c r="G242" s="120"/>
      <c r="H242" s="5"/>
      <c r="I242" s="108"/>
      <c r="J242" s="5"/>
      <c r="K242" s="5"/>
      <c r="L242" s="5"/>
      <c r="M242" s="109"/>
      <c r="N242" s="5"/>
      <c r="O242" s="5"/>
      <c r="P242" s="5"/>
    </row>
    <row r="243" spans="3:16" ht="13.5" customHeight="1" x14ac:dyDescent="0.35">
      <c r="C243" s="82"/>
      <c r="D243" s="5"/>
      <c r="E243" s="120"/>
      <c r="F243" s="5"/>
      <c r="G243" s="120"/>
      <c r="H243" s="5"/>
      <c r="I243" s="108"/>
      <c r="J243" s="5"/>
      <c r="K243" s="5"/>
      <c r="L243" s="5"/>
      <c r="M243" s="109"/>
      <c r="N243" s="5"/>
      <c r="O243" s="5"/>
      <c r="P243" s="5"/>
    </row>
    <row r="244" spans="3:16" ht="13.5" customHeight="1" x14ac:dyDescent="0.35">
      <c r="C244" s="82"/>
      <c r="D244" s="5"/>
      <c r="E244" s="120"/>
      <c r="F244" s="5"/>
      <c r="G244" s="120"/>
      <c r="H244" s="5"/>
      <c r="I244" s="108"/>
      <c r="J244" s="5"/>
      <c r="K244" s="5"/>
      <c r="L244" s="5"/>
      <c r="M244" s="109"/>
      <c r="N244" s="5"/>
      <c r="O244" s="5"/>
      <c r="P244" s="5"/>
    </row>
    <row r="245" spans="3:16" ht="13.5" customHeight="1" x14ac:dyDescent="0.35">
      <c r="C245" s="82"/>
      <c r="D245" s="5"/>
      <c r="E245" s="120"/>
      <c r="F245" s="5"/>
      <c r="G245" s="120"/>
      <c r="H245" s="5"/>
      <c r="I245" s="108"/>
      <c r="J245" s="5"/>
      <c r="K245" s="5"/>
      <c r="L245" s="5"/>
      <c r="M245" s="109"/>
      <c r="N245" s="5"/>
      <c r="O245" s="5"/>
      <c r="P245" s="5"/>
    </row>
    <row r="246" spans="3:16" ht="13.5" customHeight="1" x14ac:dyDescent="0.35">
      <c r="C246" s="82"/>
      <c r="D246" s="5"/>
      <c r="E246" s="120"/>
      <c r="F246" s="5"/>
      <c r="G246" s="120"/>
      <c r="H246" s="5"/>
      <c r="I246" s="108"/>
      <c r="J246" s="5"/>
      <c r="K246" s="5"/>
      <c r="L246" s="5"/>
      <c r="M246" s="109"/>
      <c r="N246" s="5"/>
      <c r="O246" s="5"/>
      <c r="P246" s="5"/>
    </row>
    <row r="247" spans="3:16" ht="13.5" customHeight="1" x14ac:dyDescent="0.35">
      <c r="C247" s="82"/>
      <c r="D247" s="5"/>
      <c r="E247" s="120"/>
      <c r="F247" s="5"/>
      <c r="G247" s="120"/>
      <c r="H247" s="5"/>
      <c r="I247" s="108"/>
      <c r="J247" s="5"/>
      <c r="K247" s="5"/>
      <c r="L247" s="5"/>
      <c r="M247" s="109"/>
      <c r="N247" s="5"/>
      <c r="O247" s="5"/>
      <c r="P247" s="5"/>
    </row>
    <row r="248" spans="3:16" ht="13.5" customHeight="1" x14ac:dyDescent="0.35">
      <c r="C248" s="82"/>
      <c r="D248" s="5"/>
      <c r="E248" s="120"/>
      <c r="F248" s="5"/>
      <c r="G248" s="120"/>
      <c r="H248" s="5"/>
      <c r="I248" s="108"/>
      <c r="J248" s="5"/>
      <c r="K248" s="5"/>
      <c r="L248" s="5"/>
      <c r="M248" s="109"/>
      <c r="N248" s="5"/>
      <c r="O248" s="5"/>
      <c r="P248" s="5"/>
    </row>
    <row r="249" spans="3:16" ht="13.5" customHeight="1" x14ac:dyDescent="0.35">
      <c r="C249" s="82"/>
      <c r="D249" s="5"/>
      <c r="E249" s="120"/>
      <c r="F249" s="5"/>
      <c r="G249" s="120"/>
      <c r="H249" s="5"/>
      <c r="I249" s="108"/>
      <c r="J249" s="5"/>
      <c r="K249" s="5"/>
      <c r="L249" s="5"/>
      <c r="M249" s="109"/>
      <c r="N249" s="5"/>
      <c r="O249" s="5"/>
      <c r="P249" s="5"/>
    </row>
    <row r="250" spans="3:16" ht="13.5" customHeight="1" x14ac:dyDescent="0.35">
      <c r="K250" s="27"/>
    </row>
    <row r="251" spans="3:16" ht="13.5" customHeight="1" x14ac:dyDescent="0.35">
      <c r="K251" s="27"/>
    </row>
    <row r="252" spans="3:16" ht="13.5" customHeight="1" x14ac:dyDescent="0.35">
      <c r="K252" s="27"/>
    </row>
    <row r="253" spans="3:16" ht="13.5" customHeight="1" x14ac:dyDescent="0.35">
      <c r="K253" s="2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06"/>
  <sheetViews>
    <sheetView zoomScale="90" zoomScaleNormal="90" workbookViewId="0">
      <pane ySplit="1" topLeftCell="A2" activePane="bottomLeft" state="frozen"/>
      <selection pane="bottomLeft" sqref="A1:XFD1"/>
    </sheetView>
  </sheetViews>
  <sheetFormatPr defaultColWidth="9.1796875" defaultRowHeight="14.15" customHeight="1" x14ac:dyDescent="0.35"/>
  <cols>
    <col min="1" max="1" width="20.1796875" style="156" bestFit="1" customWidth="1"/>
    <col min="2" max="2" width="80" style="5" bestFit="1" customWidth="1"/>
    <col min="3" max="3" width="19.453125" style="156" bestFit="1" customWidth="1"/>
    <col min="4" max="4" width="102" style="5" bestFit="1" customWidth="1"/>
    <col min="5" max="16384" width="9.1796875" style="114"/>
  </cols>
  <sheetData>
    <row r="1" spans="1:4" s="155" customFormat="1" ht="14.15" customHeight="1" x14ac:dyDescent="0.35">
      <c r="A1" s="210" t="s">
        <v>11368</v>
      </c>
      <c r="B1" s="211" t="s">
        <v>11369</v>
      </c>
      <c r="C1" s="210" t="s">
        <v>11370</v>
      </c>
      <c r="D1" s="211" t="s">
        <v>11371</v>
      </c>
    </row>
    <row r="2" spans="1:4" ht="14.15" customHeight="1" x14ac:dyDescent="0.35">
      <c r="A2" s="114" t="s">
        <v>11372</v>
      </c>
      <c r="B2" s="115" t="s">
        <v>11373</v>
      </c>
      <c r="C2" s="114" t="s">
        <v>11374</v>
      </c>
      <c r="D2" s="115" t="s">
        <v>11375</v>
      </c>
    </row>
    <row r="3" spans="1:4" ht="14.15" customHeight="1" x14ac:dyDescent="0.35">
      <c r="A3" s="114" t="s">
        <v>11372</v>
      </c>
      <c r="B3" s="115" t="s">
        <v>11373</v>
      </c>
      <c r="C3" s="114" t="s">
        <v>11376</v>
      </c>
      <c r="D3" s="115" t="s">
        <v>11377</v>
      </c>
    </row>
    <row r="4" spans="1:4" ht="14.15" customHeight="1" x14ac:dyDescent="0.35">
      <c r="A4" s="114" t="s">
        <v>11372</v>
      </c>
      <c r="B4" s="115" t="s">
        <v>11373</v>
      </c>
      <c r="C4" s="114" t="s">
        <v>11378</v>
      </c>
      <c r="D4" s="115" t="s">
        <v>11379</v>
      </c>
    </row>
    <row r="5" spans="1:4" ht="14.15" customHeight="1" x14ac:dyDescent="0.35">
      <c r="A5" s="114" t="s">
        <v>11372</v>
      </c>
      <c r="B5" s="115" t="s">
        <v>11373</v>
      </c>
      <c r="C5" s="114" t="s">
        <v>11380</v>
      </c>
      <c r="D5" s="115" t="s">
        <v>11381</v>
      </c>
    </row>
    <row r="6" spans="1:4" ht="14.15" customHeight="1" x14ac:dyDescent="0.35">
      <c r="A6" s="114" t="s">
        <v>11382</v>
      </c>
      <c r="B6" s="115" t="s">
        <v>11383</v>
      </c>
      <c r="C6" s="114" t="s">
        <v>11384</v>
      </c>
      <c r="D6" s="115" t="s">
        <v>11385</v>
      </c>
    </row>
    <row r="7" spans="1:4" ht="14.15" customHeight="1" x14ac:dyDescent="0.35">
      <c r="A7" s="114" t="s">
        <v>11386</v>
      </c>
      <c r="B7" s="115" t="s">
        <v>11387</v>
      </c>
      <c r="C7" s="114" t="s">
        <v>11388</v>
      </c>
      <c r="D7" s="115" t="s">
        <v>11389</v>
      </c>
    </row>
    <row r="8" spans="1:4" ht="14.15" customHeight="1" x14ac:dyDescent="0.35">
      <c r="A8" s="114" t="s">
        <v>11390</v>
      </c>
      <c r="B8" s="115" t="s">
        <v>11391</v>
      </c>
      <c r="C8" s="114" t="s">
        <v>11392</v>
      </c>
      <c r="D8" s="115" t="s">
        <v>11393</v>
      </c>
    </row>
    <row r="9" spans="1:4" ht="14.15" customHeight="1" x14ac:dyDescent="0.35">
      <c r="A9" s="114" t="s">
        <v>11390</v>
      </c>
      <c r="B9" s="115" t="s">
        <v>11391</v>
      </c>
      <c r="C9" s="114" t="s">
        <v>11394</v>
      </c>
      <c r="D9" s="115" t="s">
        <v>11395</v>
      </c>
    </row>
    <row r="10" spans="1:4" ht="14.15" customHeight="1" x14ac:dyDescent="0.35">
      <c r="A10" s="114" t="s">
        <v>11390</v>
      </c>
      <c r="B10" s="115" t="s">
        <v>11391</v>
      </c>
      <c r="C10" s="114" t="s">
        <v>11396</v>
      </c>
      <c r="D10" s="115" t="s">
        <v>11397</v>
      </c>
    </row>
    <row r="11" spans="1:4" ht="14.15" customHeight="1" x14ac:dyDescent="0.35">
      <c r="A11" s="114" t="s">
        <v>11390</v>
      </c>
      <c r="B11" s="115" t="s">
        <v>11391</v>
      </c>
      <c r="C11" s="114" t="s">
        <v>11398</v>
      </c>
      <c r="D11" s="115" t="s">
        <v>11399</v>
      </c>
    </row>
    <row r="12" spans="1:4" ht="14.15" customHeight="1" x14ac:dyDescent="0.35">
      <c r="A12" s="114" t="s">
        <v>11390</v>
      </c>
      <c r="B12" s="115" t="s">
        <v>11391</v>
      </c>
      <c r="C12" s="114" t="s">
        <v>11400</v>
      </c>
      <c r="D12" s="115" t="s">
        <v>11401</v>
      </c>
    </row>
    <row r="13" spans="1:4" ht="14.15" customHeight="1" x14ac:dyDescent="0.35">
      <c r="A13" s="114" t="s">
        <v>11390</v>
      </c>
      <c r="B13" s="115" t="s">
        <v>11391</v>
      </c>
      <c r="C13" s="114" t="s">
        <v>11402</v>
      </c>
      <c r="D13" s="115" t="s">
        <v>11403</v>
      </c>
    </row>
    <row r="14" spans="1:4" ht="14.15" customHeight="1" x14ac:dyDescent="0.35">
      <c r="A14" s="114" t="s">
        <v>11390</v>
      </c>
      <c r="B14" s="115" t="s">
        <v>11391</v>
      </c>
      <c r="C14" s="114" t="s">
        <v>11404</v>
      </c>
      <c r="D14" s="115" t="s">
        <v>11405</v>
      </c>
    </row>
    <row r="15" spans="1:4" ht="14.15" customHeight="1" x14ac:dyDescent="0.35">
      <c r="A15" s="114" t="s">
        <v>11406</v>
      </c>
      <c r="B15" s="115" t="s">
        <v>11407</v>
      </c>
      <c r="C15" s="114" t="s">
        <v>11408</v>
      </c>
      <c r="D15" s="115" t="s">
        <v>11409</v>
      </c>
    </row>
    <row r="16" spans="1:4" ht="14.15" customHeight="1" x14ac:dyDescent="0.35">
      <c r="A16" s="114" t="s">
        <v>11410</v>
      </c>
      <c r="B16" s="115" t="s">
        <v>11411</v>
      </c>
      <c r="C16" s="114" t="s">
        <v>11412</v>
      </c>
      <c r="D16" s="115" t="s">
        <v>11413</v>
      </c>
    </row>
    <row r="17" spans="1:4" ht="14.15" customHeight="1" x14ac:dyDescent="0.35">
      <c r="A17" s="114" t="s">
        <v>11410</v>
      </c>
      <c r="B17" s="115" t="s">
        <v>11411</v>
      </c>
      <c r="C17" s="114" t="s">
        <v>11414</v>
      </c>
      <c r="D17" s="115" t="s">
        <v>11415</v>
      </c>
    </row>
    <row r="18" spans="1:4" ht="14.15" customHeight="1" x14ac:dyDescent="0.35">
      <c r="A18" s="114" t="s">
        <v>11416</v>
      </c>
      <c r="B18" s="115" t="s">
        <v>11417</v>
      </c>
      <c r="C18" s="114" t="s">
        <v>11418</v>
      </c>
      <c r="D18" s="115" t="s">
        <v>11419</v>
      </c>
    </row>
    <row r="19" spans="1:4" ht="14.15" customHeight="1" x14ac:dyDescent="0.35">
      <c r="A19" s="114" t="s">
        <v>11420</v>
      </c>
      <c r="B19" s="115" t="s">
        <v>11421</v>
      </c>
      <c r="C19" s="114" t="s">
        <v>11422</v>
      </c>
      <c r="D19" s="115" t="s">
        <v>11423</v>
      </c>
    </row>
    <row r="20" spans="1:4" ht="14.15" customHeight="1" x14ac:dyDescent="0.35">
      <c r="A20" s="114" t="s">
        <v>11420</v>
      </c>
      <c r="B20" s="115" t="s">
        <v>11421</v>
      </c>
      <c r="C20" s="114" t="s">
        <v>11424</v>
      </c>
      <c r="D20" s="115" t="s">
        <v>11425</v>
      </c>
    </row>
    <row r="21" spans="1:4" ht="14.15" customHeight="1" x14ac:dyDescent="0.35">
      <c r="A21" s="114" t="s">
        <v>11426</v>
      </c>
      <c r="B21" s="115" t="s">
        <v>11427</v>
      </c>
      <c r="C21" s="114" t="s">
        <v>11428</v>
      </c>
      <c r="D21" s="115" t="s">
        <v>11429</v>
      </c>
    </row>
    <row r="22" spans="1:4" ht="14.15" customHeight="1" x14ac:dyDescent="0.35">
      <c r="A22" s="114" t="s">
        <v>11426</v>
      </c>
      <c r="B22" s="115" t="s">
        <v>11427</v>
      </c>
      <c r="C22" s="114" t="s">
        <v>11430</v>
      </c>
      <c r="D22" s="115" t="s">
        <v>11431</v>
      </c>
    </row>
    <row r="23" spans="1:4" ht="14.15" customHeight="1" x14ac:dyDescent="0.35">
      <c r="A23" s="114" t="s">
        <v>11432</v>
      </c>
      <c r="B23" s="115" t="s">
        <v>11433</v>
      </c>
      <c r="C23" s="114" t="s">
        <v>11434</v>
      </c>
      <c r="D23" s="115" t="s">
        <v>11435</v>
      </c>
    </row>
    <row r="24" spans="1:4" ht="14.15" customHeight="1" x14ac:dyDescent="0.35">
      <c r="A24" s="114" t="s">
        <v>11432</v>
      </c>
      <c r="B24" s="115" t="s">
        <v>11433</v>
      </c>
      <c r="C24" s="114" t="s">
        <v>11436</v>
      </c>
      <c r="D24" s="115" t="s">
        <v>11437</v>
      </c>
    </row>
    <row r="25" spans="1:4" ht="14.15" customHeight="1" x14ac:dyDescent="0.35">
      <c r="A25" s="114" t="s">
        <v>11432</v>
      </c>
      <c r="B25" s="115" t="s">
        <v>11433</v>
      </c>
      <c r="C25" s="114" t="s">
        <v>11438</v>
      </c>
      <c r="D25" s="115" t="s">
        <v>11439</v>
      </c>
    </row>
    <row r="26" spans="1:4" ht="14.15" customHeight="1" x14ac:dyDescent="0.35">
      <c r="A26" s="114" t="s">
        <v>11440</v>
      </c>
      <c r="B26" s="115" t="s">
        <v>11441</v>
      </c>
      <c r="C26" s="114" t="s">
        <v>11442</v>
      </c>
      <c r="D26" s="115" t="s">
        <v>11443</v>
      </c>
    </row>
    <row r="27" spans="1:4" ht="14.15" customHeight="1" x14ac:dyDescent="0.35">
      <c r="A27" s="114" t="s">
        <v>11440</v>
      </c>
      <c r="B27" s="115" t="s">
        <v>11441</v>
      </c>
      <c r="C27" s="114" t="s">
        <v>11444</v>
      </c>
      <c r="D27" s="115" t="s">
        <v>11445</v>
      </c>
    </row>
    <row r="28" spans="1:4" ht="14.15" customHeight="1" x14ac:dyDescent="0.35">
      <c r="A28" s="114" t="s">
        <v>11440</v>
      </c>
      <c r="B28" s="115" t="s">
        <v>11441</v>
      </c>
      <c r="C28" s="114" t="s">
        <v>11446</v>
      </c>
      <c r="D28" s="115" t="s">
        <v>11447</v>
      </c>
    </row>
    <row r="29" spans="1:4" ht="14.15" customHeight="1" x14ac:dyDescent="0.35">
      <c r="A29" s="114" t="s">
        <v>11440</v>
      </c>
      <c r="B29" s="115" t="s">
        <v>11441</v>
      </c>
      <c r="C29" s="114" t="s">
        <v>11448</v>
      </c>
      <c r="D29" s="115" t="s">
        <v>11449</v>
      </c>
    </row>
    <row r="30" spans="1:4" ht="14.15" customHeight="1" x14ac:dyDescent="0.35">
      <c r="A30" s="114" t="s">
        <v>11440</v>
      </c>
      <c r="B30" s="115" t="s">
        <v>11441</v>
      </c>
      <c r="C30" s="114" t="s">
        <v>11450</v>
      </c>
      <c r="D30" s="115" t="s">
        <v>11451</v>
      </c>
    </row>
    <row r="31" spans="1:4" ht="14.15" customHeight="1" x14ac:dyDescent="0.35">
      <c r="A31" s="114" t="s">
        <v>11440</v>
      </c>
      <c r="B31" s="115" t="s">
        <v>11441</v>
      </c>
      <c r="C31" s="114" t="s">
        <v>11452</v>
      </c>
      <c r="D31" s="115" t="s">
        <v>11453</v>
      </c>
    </row>
    <row r="32" spans="1:4" s="353" customFormat="1" ht="14.15" customHeight="1" x14ac:dyDescent="0.35">
      <c r="A32" s="354" t="s">
        <v>11440</v>
      </c>
      <c r="B32" s="118" t="s">
        <v>11441</v>
      </c>
      <c r="C32" s="117" t="s">
        <v>11454</v>
      </c>
      <c r="D32" s="118" t="s">
        <v>11455</v>
      </c>
    </row>
    <row r="33" spans="1:4" ht="14.15" customHeight="1" x14ac:dyDescent="0.35">
      <c r="A33" s="114" t="s">
        <v>11440</v>
      </c>
      <c r="B33" s="115" t="s">
        <v>11441</v>
      </c>
      <c r="C33" s="114" t="s">
        <v>11456</v>
      </c>
      <c r="D33" s="115" t="s">
        <v>11457</v>
      </c>
    </row>
    <row r="34" spans="1:4" ht="14.15" customHeight="1" x14ac:dyDescent="0.35">
      <c r="A34" s="114" t="s">
        <v>11458</v>
      </c>
      <c r="B34" s="115" t="s">
        <v>11459</v>
      </c>
      <c r="C34" s="114" t="s">
        <v>11460</v>
      </c>
      <c r="D34" s="115" t="s">
        <v>11461</v>
      </c>
    </row>
    <row r="35" spans="1:4" ht="14.15" customHeight="1" x14ac:dyDescent="0.35">
      <c r="A35" s="114" t="s">
        <v>2569</v>
      </c>
      <c r="B35" s="115" t="s">
        <v>11462</v>
      </c>
      <c r="C35" s="114" t="s">
        <v>11463</v>
      </c>
      <c r="D35" s="115" t="s">
        <v>11464</v>
      </c>
    </row>
    <row r="36" spans="1:4" ht="14.15" customHeight="1" x14ac:dyDescent="0.35">
      <c r="A36" s="114" t="s">
        <v>2569</v>
      </c>
      <c r="B36" s="115" t="s">
        <v>11462</v>
      </c>
      <c r="C36" s="114" t="s">
        <v>11465</v>
      </c>
      <c r="D36" s="115" t="s">
        <v>11466</v>
      </c>
    </row>
    <row r="37" spans="1:4" ht="14.15" customHeight="1" x14ac:dyDescent="0.35">
      <c r="A37" s="114" t="s">
        <v>2569</v>
      </c>
      <c r="B37" s="115" t="s">
        <v>11462</v>
      </c>
      <c r="C37" s="114" t="s">
        <v>11467</v>
      </c>
      <c r="D37" s="115" t="s">
        <v>11468</v>
      </c>
    </row>
    <row r="38" spans="1:4" ht="14.15" customHeight="1" x14ac:dyDescent="0.35">
      <c r="A38" s="114" t="s">
        <v>2569</v>
      </c>
      <c r="B38" s="115" t="s">
        <v>11462</v>
      </c>
      <c r="C38" s="114" t="s">
        <v>11469</v>
      </c>
      <c r="D38" s="115" t="s">
        <v>11470</v>
      </c>
    </row>
    <row r="39" spans="1:4" ht="14.15" customHeight="1" x14ac:dyDescent="0.35">
      <c r="A39" s="114" t="s">
        <v>2569</v>
      </c>
      <c r="B39" s="115" t="s">
        <v>11462</v>
      </c>
      <c r="C39" s="114" t="s">
        <v>11471</v>
      </c>
      <c r="D39" s="115" t="s">
        <v>11472</v>
      </c>
    </row>
    <row r="40" spans="1:4" ht="14.15" customHeight="1" x14ac:dyDescent="0.35">
      <c r="A40" s="114" t="s">
        <v>2569</v>
      </c>
      <c r="B40" s="115" t="s">
        <v>11462</v>
      </c>
      <c r="C40" s="114" t="s">
        <v>11473</v>
      </c>
      <c r="D40" s="115" t="s">
        <v>11474</v>
      </c>
    </row>
    <row r="41" spans="1:4" ht="14.15" customHeight="1" x14ac:dyDescent="0.35">
      <c r="A41" s="114" t="s">
        <v>2569</v>
      </c>
      <c r="B41" s="115" t="s">
        <v>11462</v>
      </c>
      <c r="C41" s="114" t="s">
        <v>11475</v>
      </c>
      <c r="D41" s="115" t="s">
        <v>11476</v>
      </c>
    </row>
    <row r="42" spans="1:4" ht="14.15" customHeight="1" x14ac:dyDescent="0.35">
      <c r="A42" s="114" t="s">
        <v>2569</v>
      </c>
      <c r="B42" s="115" t="s">
        <v>11462</v>
      </c>
      <c r="C42" s="114" t="s">
        <v>11477</v>
      </c>
      <c r="D42" s="115" t="s">
        <v>11478</v>
      </c>
    </row>
    <row r="43" spans="1:4" ht="14.15" customHeight="1" x14ac:dyDescent="0.35">
      <c r="A43" s="114" t="s">
        <v>2569</v>
      </c>
      <c r="B43" s="115" t="s">
        <v>11462</v>
      </c>
      <c r="C43" s="114" t="s">
        <v>11479</v>
      </c>
      <c r="D43" s="115" t="s">
        <v>11480</v>
      </c>
    </row>
    <row r="44" spans="1:4" ht="14.15" customHeight="1" x14ac:dyDescent="0.35">
      <c r="A44" s="114" t="s">
        <v>2569</v>
      </c>
      <c r="B44" s="115" t="s">
        <v>11462</v>
      </c>
      <c r="C44" s="114" t="s">
        <v>11481</v>
      </c>
      <c r="D44" s="115" t="s">
        <v>11482</v>
      </c>
    </row>
    <row r="45" spans="1:4" ht="14.15" customHeight="1" x14ac:dyDescent="0.35">
      <c r="A45" s="114" t="s">
        <v>2569</v>
      </c>
      <c r="B45" s="115" t="s">
        <v>11462</v>
      </c>
      <c r="C45" s="114" t="s">
        <v>11483</v>
      </c>
      <c r="D45" s="115" t="s">
        <v>11484</v>
      </c>
    </row>
    <row r="46" spans="1:4" ht="14.15" customHeight="1" x14ac:dyDescent="0.35">
      <c r="A46" s="114" t="s">
        <v>2569</v>
      </c>
      <c r="B46" s="115" t="s">
        <v>11462</v>
      </c>
      <c r="C46" s="114" t="s">
        <v>11485</v>
      </c>
      <c r="D46" s="115" t="s">
        <v>11486</v>
      </c>
    </row>
    <row r="47" spans="1:4" s="353" customFormat="1" ht="14.15" customHeight="1" x14ac:dyDescent="0.35">
      <c r="A47" s="354" t="s">
        <v>2569</v>
      </c>
      <c r="B47" s="118" t="s">
        <v>11462</v>
      </c>
      <c r="C47" s="117" t="s">
        <v>11487</v>
      </c>
      <c r="D47" s="118" t="s">
        <v>11488</v>
      </c>
    </row>
    <row r="48" spans="1:4" ht="14.15" customHeight="1" x14ac:dyDescent="0.35">
      <c r="A48" s="114" t="s">
        <v>2569</v>
      </c>
      <c r="B48" s="115" t="s">
        <v>11462</v>
      </c>
      <c r="C48" s="114" t="s">
        <v>11489</v>
      </c>
      <c r="D48" s="115" t="s">
        <v>11490</v>
      </c>
    </row>
    <row r="49" spans="1:4" ht="14.15" customHeight="1" x14ac:dyDescent="0.35">
      <c r="A49" s="114" t="s">
        <v>2569</v>
      </c>
      <c r="B49" s="115" t="s">
        <v>11462</v>
      </c>
      <c r="C49" s="114" t="s">
        <v>11491</v>
      </c>
      <c r="D49" s="115" t="s">
        <v>11492</v>
      </c>
    </row>
    <row r="50" spans="1:4" ht="14.15" customHeight="1" x14ac:dyDescent="0.35">
      <c r="A50" s="114" t="s">
        <v>11493</v>
      </c>
      <c r="B50" s="115" t="s">
        <v>11494</v>
      </c>
      <c r="C50" s="114" t="s">
        <v>11495</v>
      </c>
      <c r="D50" s="115" t="s">
        <v>11496</v>
      </c>
    </row>
    <row r="51" spans="1:4" ht="14.15" customHeight="1" x14ac:dyDescent="0.35">
      <c r="A51" s="114" t="s">
        <v>11493</v>
      </c>
      <c r="B51" s="115" t="s">
        <v>11494</v>
      </c>
      <c r="C51" s="114" t="s">
        <v>11497</v>
      </c>
      <c r="D51" s="115" t="s">
        <v>11498</v>
      </c>
    </row>
    <row r="52" spans="1:4" ht="14.15" customHeight="1" x14ac:dyDescent="0.35">
      <c r="A52" s="114" t="s">
        <v>11493</v>
      </c>
      <c r="B52" s="115" t="s">
        <v>11494</v>
      </c>
      <c r="C52" s="114" t="s">
        <v>11499</v>
      </c>
      <c r="D52" s="115" t="s">
        <v>11500</v>
      </c>
    </row>
    <row r="53" spans="1:4" ht="14.15" customHeight="1" x14ac:dyDescent="0.35">
      <c r="A53" s="114" t="s">
        <v>11493</v>
      </c>
      <c r="B53" s="115" t="s">
        <v>11494</v>
      </c>
      <c r="C53" s="114" t="s">
        <v>11501</v>
      </c>
      <c r="D53" s="115" t="s">
        <v>11502</v>
      </c>
    </row>
    <row r="54" spans="1:4" ht="14.15" customHeight="1" x14ac:dyDescent="0.35">
      <c r="A54" s="114" t="s">
        <v>11493</v>
      </c>
      <c r="B54" s="115" t="s">
        <v>11494</v>
      </c>
      <c r="C54" s="114" t="s">
        <v>11503</v>
      </c>
      <c r="D54" s="115" t="s">
        <v>11504</v>
      </c>
    </row>
    <row r="55" spans="1:4" ht="14.15" customHeight="1" x14ac:dyDescent="0.35">
      <c r="A55" s="114" t="s">
        <v>11493</v>
      </c>
      <c r="B55" s="115" t="s">
        <v>11494</v>
      </c>
      <c r="C55" s="114" t="s">
        <v>11505</v>
      </c>
      <c r="D55" s="115" t="s">
        <v>11506</v>
      </c>
    </row>
    <row r="56" spans="1:4" ht="14.15" customHeight="1" x14ac:dyDescent="0.35">
      <c r="A56" s="114" t="s">
        <v>11493</v>
      </c>
      <c r="B56" s="115" t="s">
        <v>11494</v>
      </c>
      <c r="C56" s="114" t="s">
        <v>11507</v>
      </c>
      <c r="D56" s="115" t="s">
        <v>11508</v>
      </c>
    </row>
    <row r="57" spans="1:4" ht="14.15" customHeight="1" x14ac:dyDescent="0.35">
      <c r="A57" s="114" t="s">
        <v>11493</v>
      </c>
      <c r="B57" s="115" t="s">
        <v>11494</v>
      </c>
      <c r="C57" s="114" t="s">
        <v>11509</v>
      </c>
      <c r="D57" s="115" t="s">
        <v>11510</v>
      </c>
    </row>
    <row r="58" spans="1:4" ht="14.15" customHeight="1" x14ac:dyDescent="0.35">
      <c r="A58" s="114" t="s">
        <v>11493</v>
      </c>
      <c r="B58" s="115" t="s">
        <v>11494</v>
      </c>
      <c r="C58" s="114" t="s">
        <v>11511</v>
      </c>
      <c r="D58" s="115" t="s">
        <v>11512</v>
      </c>
    </row>
    <row r="59" spans="1:4" ht="14.15" customHeight="1" x14ac:dyDescent="0.35">
      <c r="A59" s="114" t="s">
        <v>2368</v>
      </c>
      <c r="B59" s="115" t="s">
        <v>11513</v>
      </c>
      <c r="C59" s="114" t="s">
        <v>11514</v>
      </c>
      <c r="D59" s="115" t="s">
        <v>11515</v>
      </c>
    </row>
    <row r="60" spans="1:4" ht="14.15" customHeight="1" x14ac:dyDescent="0.35">
      <c r="A60" s="114" t="s">
        <v>2368</v>
      </c>
      <c r="B60" s="115" t="s">
        <v>11513</v>
      </c>
      <c r="C60" s="114" t="s">
        <v>11516</v>
      </c>
      <c r="D60" s="115" t="s">
        <v>11517</v>
      </c>
    </row>
    <row r="61" spans="1:4" ht="14.15" customHeight="1" x14ac:dyDescent="0.35">
      <c r="A61" s="114" t="s">
        <v>11518</v>
      </c>
      <c r="B61" s="115" t="s">
        <v>11519</v>
      </c>
      <c r="C61" s="114" t="s">
        <v>11520</v>
      </c>
      <c r="D61" s="115" t="s">
        <v>11521</v>
      </c>
    </row>
    <row r="62" spans="1:4" ht="14.15" customHeight="1" x14ac:dyDescent="0.35">
      <c r="A62" s="114" t="s">
        <v>11518</v>
      </c>
      <c r="B62" s="115" t="s">
        <v>11519</v>
      </c>
      <c r="C62" s="114" t="s">
        <v>11522</v>
      </c>
      <c r="D62" s="115" t="s">
        <v>11523</v>
      </c>
    </row>
    <row r="63" spans="1:4" ht="14.15" customHeight="1" x14ac:dyDescent="0.35">
      <c r="A63" s="114" t="s">
        <v>11518</v>
      </c>
      <c r="B63" s="115" t="s">
        <v>11519</v>
      </c>
      <c r="C63" s="114" t="s">
        <v>11524</v>
      </c>
      <c r="D63" s="115" t="s">
        <v>11525</v>
      </c>
    </row>
    <row r="64" spans="1:4" ht="14.15" customHeight="1" x14ac:dyDescent="0.35">
      <c r="A64" s="114" t="s">
        <v>11518</v>
      </c>
      <c r="B64" s="115" t="s">
        <v>11519</v>
      </c>
      <c r="C64" s="114" t="s">
        <v>11526</v>
      </c>
      <c r="D64" s="115" t="s">
        <v>11527</v>
      </c>
    </row>
    <row r="65" spans="1:4" ht="14.15" customHeight="1" x14ac:dyDescent="0.35">
      <c r="A65" s="114" t="s">
        <v>11518</v>
      </c>
      <c r="B65" s="115" t="s">
        <v>11519</v>
      </c>
      <c r="C65" s="114" t="s">
        <v>11528</v>
      </c>
      <c r="D65" s="115" t="s">
        <v>11529</v>
      </c>
    </row>
    <row r="66" spans="1:4" ht="14.15" customHeight="1" x14ac:dyDescent="0.35">
      <c r="A66" s="114" t="s">
        <v>11518</v>
      </c>
      <c r="B66" s="115" t="s">
        <v>11519</v>
      </c>
      <c r="C66" s="114" t="s">
        <v>11530</v>
      </c>
      <c r="D66" s="115" t="s">
        <v>11531</v>
      </c>
    </row>
    <row r="67" spans="1:4" ht="14.15" customHeight="1" x14ac:dyDescent="0.35">
      <c r="A67" s="114" t="s">
        <v>11518</v>
      </c>
      <c r="B67" s="115" t="s">
        <v>11519</v>
      </c>
      <c r="C67" s="114" t="s">
        <v>11532</v>
      </c>
      <c r="D67" s="115" t="s">
        <v>11533</v>
      </c>
    </row>
    <row r="68" spans="1:4" ht="14.15" customHeight="1" x14ac:dyDescent="0.35">
      <c r="A68" s="114" t="s">
        <v>11518</v>
      </c>
      <c r="B68" s="115" t="s">
        <v>11519</v>
      </c>
      <c r="C68" s="114" t="s">
        <v>11534</v>
      </c>
      <c r="D68" s="115" t="s">
        <v>11535</v>
      </c>
    </row>
    <row r="69" spans="1:4" ht="14.15" customHeight="1" x14ac:dyDescent="0.35">
      <c r="A69" s="114" t="s">
        <v>11518</v>
      </c>
      <c r="B69" s="115" t="s">
        <v>11519</v>
      </c>
      <c r="C69" s="114" t="s">
        <v>11536</v>
      </c>
      <c r="D69" s="115" t="s">
        <v>11537</v>
      </c>
    </row>
    <row r="70" spans="1:4" ht="14.15" customHeight="1" x14ac:dyDescent="0.35">
      <c r="A70" s="114" t="s">
        <v>11518</v>
      </c>
      <c r="B70" s="115" t="s">
        <v>11519</v>
      </c>
      <c r="C70" s="114" t="s">
        <v>11538</v>
      </c>
      <c r="D70" s="115" t="s">
        <v>11539</v>
      </c>
    </row>
    <row r="71" spans="1:4" ht="14.15" customHeight="1" x14ac:dyDescent="0.35">
      <c r="A71" s="114" t="s">
        <v>11518</v>
      </c>
      <c r="B71" s="115" t="s">
        <v>11519</v>
      </c>
      <c r="C71" s="114" t="s">
        <v>11540</v>
      </c>
      <c r="D71" s="115" t="s">
        <v>11541</v>
      </c>
    </row>
    <row r="72" spans="1:4" ht="14.15" customHeight="1" x14ac:dyDescent="0.35">
      <c r="A72" s="114" t="s">
        <v>11518</v>
      </c>
      <c r="B72" s="115" t="s">
        <v>11519</v>
      </c>
      <c r="C72" s="114" t="s">
        <v>11542</v>
      </c>
      <c r="D72" s="115" t="s">
        <v>11543</v>
      </c>
    </row>
    <row r="73" spans="1:4" ht="14.15" customHeight="1" x14ac:dyDescent="0.35">
      <c r="A73" s="114" t="s">
        <v>11518</v>
      </c>
      <c r="B73" s="115" t="s">
        <v>11519</v>
      </c>
      <c r="C73" s="114" t="s">
        <v>11544</v>
      </c>
      <c r="D73" s="115" t="s">
        <v>11545</v>
      </c>
    </row>
    <row r="74" spans="1:4" ht="14.15" customHeight="1" x14ac:dyDescent="0.35">
      <c r="A74" s="114" t="s">
        <v>11518</v>
      </c>
      <c r="B74" s="115" t="s">
        <v>11519</v>
      </c>
      <c r="C74" s="114" t="s">
        <v>11546</v>
      </c>
      <c r="D74" s="115" t="s">
        <v>11547</v>
      </c>
    </row>
    <row r="75" spans="1:4" ht="14.15" customHeight="1" x14ac:dyDescent="0.35">
      <c r="A75" s="114" t="s">
        <v>11518</v>
      </c>
      <c r="B75" s="115" t="s">
        <v>11519</v>
      </c>
      <c r="C75" s="114" t="s">
        <v>11548</v>
      </c>
      <c r="D75" s="115" t="s">
        <v>11549</v>
      </c>
    </row>
    <row r="76" spans="1:4" ht="14.15" customHeight="1" x14ac:dyDescent="0.35">
      <c r="A76" s="114" t="s">
        <v>11518</v>
      </c>
      <c r="B76" s="115" t="s">
        <v>11519</v>
      </c>
      <c r="C76" s="114" t="s">
        <v>11550</v>
      </c>
      <c r="D76" s="115" t="s">
        <v>11551</v>
      </c>
    </row>
    <row r="77" spans="1:4" ht="14.15" customHeight="1" x14ac:dyDescent="0.35">
      <c r="A77" s="114" t="s">
        <v>11518</v>
      </c>
      <c r="B77" s="115" t="s">
        <v>11519</v>
      </c>
      <c r="C77" s="114" t="s">
        <v>11552</v>
      </c>
      <c r="D77" s="115" t="s">
        <v>11553</v>
      </c>
    </row>
    <row r="78" spans="1:4" ht="14.15" customHeight="1" x14ac:dyDescent="0.35">
      <c r="A78" s="114" t="s">
        <v>11518</v>
      </c>
      <c r="B78" s="115" t="s">
        <v>11519</v>
      </c>
      <c r="C78" s="114" t="s">
        <v>11554</v>
      </c>
      <c r="D78" s="115" t="s">
        <v>11555</v>
      </c>
    </row>
    <row r="79" spans="1:4" ht="14.15" customHeight="1" x14ac:dyDescent="0.35">
      <c r="A79" s="114" t="s">
        <v>11518</v>
      </c>
      <c r="B79" s="115" t="s">
        <v>11519</v>
      </c>
      <c r="C79" s="114" t="s">
        <v>11556</v>
      </c>
      <c r="D79" s="115" t="s">
        <v>11557</v>
      </c>
    </row>
    <row r="80" spans="1:4" ht="14.15" customHeight="1" x14ac:dyDescent="0.35">
      <c r="A80" s="114" t="s">
        <v>11518</v>
      </c>
      <c r="B80" s="115" t="s">
        <v>11519</v>
      </c>
      <c r="C80" s="114" t="s">
        <v>11558</v>
      </c>
      <c r="D80" s="115" t="s">
        <v>11399</v>
      </c>
    </row>
    <row r="81" spans="1:4" ht="14.15" customHeight="1" x14ac:dyDescent="0.35">
      <c r="A81" s="114" t="s">
        <v>11518</v>
      </c>
      <c r="B81" s="115" t="s">
        <v>11519</v>
      </c>
      <c r="C81" s="114" t="s">
        <v>11559</v>
      </c>
      <c r="D81" s="115" t="s">
        <v>11560</v>
      </c>
    </row>
    <row r="82" spans="1:4" ht="14.15" customHeight="1" x14ac:dyDescent="0.35">
      <c r="A82" s="114" t="s">
        <v>11518</v>
      </c>
      <c r="B82" s="115" t="s">
        <v>11519</v>
      </c>
      <c r="C82" s="114" t="s">
        <v>11561</v>
      </c>
      <c r="D82" s="115" t="s">
        <v>11562</v>
      </c>
    </row>
    <row r="83" spans="1:4" ht="14.15" customHeight="1" x14ac:dyDescent="0.35">
      <c r="A83" s="114" t="s">
        <v>11518</v>
      </c>
      <c r="B83" s="115" t="s">
        <v>11519</v>
      </c>
      <c r="C83" s="114" t="s">
        <v>11563</v>
      </c>
      <c r="D83" s="115" t="s">
        <v>11564</v>
      </c>
    </row>
    <row r="84" spans="1:4" ht="14.15" customHeight="1" x14ac:dyDescent="0.35">
      <c r="A84" s="114" t="s">
        <v>11518</v>
      </c>
      <c r="B84" s="115" t="s">
        <v>11519</v>
      </c>
      <c r="C84" s="114" t="s">
        <v>11565</v>
      </c>
      <c r="D84" s="115" t="s">
        <v>11566</v>
      </c>
    </row>
    <row r="85" spans="1:4" ht="14.15" customHeight="1" x14ac:dyDescent="0.35">
      <c r="A85" s="114" t="s">
        <v>11518</v>
      </c>
      <c r="B85" s="115" t="s">
        <v>11519</v>
      </c>
      <c r="C85" s="114" t="s">
        <v>11567</v>
      </c>
      <c r="D85" s="115" t="s">
        <v>11568</v>
      </c>
    </row>
    <row r="86" spans="1:4" ht="14.15" customHeight="1" x14ac:dyDescent="0.35">
      <c r="A86" s="114" t="s">
        <v>11518</v>
      </c>
      <c r="B86" s="115" t="s">
        <v>11519</v>
      </c>
      <c r="C86" s="114" t="s">
        <v>11569</v>
      </c>
      <c r="D86" s="115" t="s">
        <v>11570</v>
      </c>
    </row>
    <row r="87" spans="1:4" ht="14.15" customHeight="1" x14ac:dyDescent="0.35">
      <c r="A87" s="114" t="s">
        <v>11518</v>
      </c>
      <c r="B87" s="115" t="s">
        <v>11519</v>
      </c>
      <c r="C87" s="114" t="s">
        <v>11571</v>
      </c>
      <c r="D87" s="115" t="s">
        <v>11572</v>
      </c>
    </row>
    <row r="88" spans="1:4" ht="14.15" customHeight="1" x14ac:dyDescent="0.35">
      <c r="A88" s="114" t="s">
        <v>11518</v>
      </c>
      <c r="B88" s="115" t="s">
        <v>11519</v>
      </c>
      <c r="C88" s="114" t="s">
        <v>11573</v>
      </c>
      <c r="D88" s="115" t="s">
        <v>11574</v>
      </c>
    </row>
    <row r="89" spans="1:4" ht="14.15" customHeight="1" x14ac:dyDescent="0.35">
      <c r="A89" s="114" t="s">
        <v>11518</v>
      </c>
      <c r="B89" s="115" t="s">
        <v>11519</v>
      </c>
      <c r="C89" s="114" t="s">
        <v>11575</v>
      </c>
      <c r="D89" s="115" t="s">
        <v>11576</v>
      </c>
    </row>
    <row r="90" spans="1:4" ht="14.15" customHeight="1" x14ac:dyDescent="0.35">
      <c r="A90" s="114" t="s">
        <v>11518</v>
      </c>
      <c r="B90" s="115" t="s">
        <v>11519</v>
      </c>
      <c r="C90" s="114" t="s">
        <v>11577</v>
      </c>
      <c r="D90" s="115" t="s">
        <v>11578</v>
      </c>
    </row>
    <row r="91" spans="1:4" ht="14.15" customHeight="1" x14ac:dyDescent="0.35">
      <c r="A91" s="114" t="s">
        <v>11518</v>
      </c>
      <c r="B91" s="115" t="s">
        <v>11519</v>
      </c>
      <c r="C91" s="114" t="s">
        <v>11579</v>
      </c>
      <c r="D91" s="115" t="s">
        <v>11580</v>
      </c>
    </row>
    <row r="92" spans="1:4" ht="14.15" customHeight="1" x14ac:dyDescent="0.35">
      <c r="A92" s="114" t="s">
        <v>11518</v>
      </c>
      <c r="B92" s="115" t="s">
        <v>11519</v>
      </c>
      <c r="C92" s="114" t="s">
        <v>11581</v>
      </c>
      <c r="D92" s="115" t="s">
        <v>11582</v>
      </c>
    </row>
    <row r="93" spans="1:4" ht="14.15" customHeight="1" x14ac:dyDescent="0.35">
      <c r="A93" s="114" t="s">
        <v>11518</v>
      </c>
      <c r="B93" s="115" t="s">
        <v>11519</v>
      </c>
      <c r="C93" s="114" t="s">
        <v>11583</v>
      </c>
      <c r="D93" s="115" t="s">
        <v>11584</v>
      </c>
    </row>
    <row r="94" spans="1:4" ht="14.15" customHeight="1" x14ac:dyDescent="0.35">
      <c r="A94" s="114" t="s">
        <v>11518</v>
      </c>
      <c r="B94" s="115" t="s">
        <v>11519</v>
      </c>
      <c r="C94" s="114" t="s">
        <v>11585</v>
      </c>
      <c r="D94" s="115" t="s">
        <v>11586</v>
      </c>
    </row>
    <row r="95" spans="1:4" ht="14.15" customHeight="1" x14ac:dyDescent="0.35">
      <c r="A95" s="114" t="s">
        <v>11518</v>
      </c>
      <c r="B95" s="115" t="s">
        <v>11519</v>
      </c>
      <c r="C95" s="114" t="s">
        <v>11587</v>
      </c>
      <c r="D95" s="115" t="s">
        <v>11588</v>
      </c>
    </row>
    <row r="96" spans="1:4" ht="14.15" customHeight="1" x14ac:dyDescent="0.35">
      <c r="A96" s="114" t="s">
        <v>11518</v>
      </c>
      <c r="B96" s="115" t="s">
        <v>11519</v>
      </c>
      <c r="C96" s="114" t="s">
        <v>11589</v>
      </c>
      <c r="D96" s="115" t="s">
        <v>11590</v>
      </c>
    </row>
    <row r="97" spans="1:4" ht="14.15" customHeight="1" x14ac:dyDescent="0.35">
      <c r="A97" s="114" t="s">
        <v>11518</v>
      </c>
      <c r="B97" s="115" t="s">
        <v>11519</v>
      </c>
      <c r="C97" s="114" t="s">
        <v>11591</v>
      </c>
      <c r="D97" s="115" t="s">
        <v>11592</v>
      </c>
    </row>
    <row r="98" spans="1:4" ht="14.15" customHeight="1" x14ac:dyDescent="0.35">
      <c r="A98" s="114" t="s">
        <v>11518</v>
      </c>
      <c r="B98" s="115" t="s">
        <v>11519</v>
      </c>
      <c r="C98" s="114" t="s">
        <v>11593</v>
      </c>
      <c r="D98" s="115" t="s">
        <v>11594</v>
      </c>
    </row>
    <row r="99" spans="1:4" ht="14.15" customHeight="1" x14ac:dyDescent="0.35">
      <c r="A99" s="114" t="s">
        <v>11518</v>
      </c>
      <c r="B99" s="115" t="s">
        <v>11519</v>
      </c>
      <c r="C99" s="114" t="s">
        <v>11595</v>
      </c>
      <c r="D99" s="115" t="s">
        <v>11596</v>
      </c>
    </row>
    <row r="100" spans="1:4" ht="14.15" customHeight="1" x14ac:dyDescent="0.35">
      <c r="A100" s="114" t="s">
        <v>11518</v>
      </c>
      <c r="B100" s="115" t="s">
        <v>11519</v>
      </c>
      <c r="C100" s="114" t="s">
        <v>11597</v>
      </c>
      <c r="D100" s="115" t="s">
        <v>11598</v>
      </c>
    </row>
    <row r="101" spans="1:4" ht="14.15" customHeight="1" x14ac:dyDescent="0.35">
      <c r="A101" s="114" t="s">
        <v>11518</v>
      </c>
      <c r="B101" s="115" t="s">
        <v>11519</v>
      </c>
      <c r="C101" s="114" t="s">
        <v>11599</v>
      </c>
      <c r="D101" s="115" t="s">
        <v>11600</v>
      </c>
    </row>
    <row r="102" spans="1:4" ht="14.15" customHeight="1" x14ac:dyDescent="0.35">
      <c r="A102" s="114" t="s">
        <v>11518</v>
      </c>
      <c r="B102" s="115" t="s">
        <v>11519</v>
      </c>
      <c r="C102" s="114" t="s">
        <v>11601</v>
      </c>
      <c r="D102" s="115" t="s">
        <v>11602</v>
      </c>
    </row>
    <row r="103" spans="1:4" ht="14.15" customHeight="1" x14ac:dyDescent="0.35">
      <c r="A103" s="114" t="s">
        <v>11518</v>
      </c>
      <c r="B103" s="115" t="s">
        <v>11519</v>
      </c>
      <c r="C103" s="114" t="s">
        <v>11603</v>
      </c>
      <c r="D103" s="115" t="s">
        <v>11604</v>
      </c>
    </row>
    <row r="104" spans="1:4" ht="14.15" customHeight="1" x14ac:dyDescent="0.35">
      <c r="A104" s="114" t="s">
        <v>11518</v>
      </c>
      <c r="B104" s="115" t="s">
        <v>11519</v>
      </c>
      <c r="C104" s="114" t="s">
        <v>11605</v>
      </c>
      <c r="D104" s="115" t="s">
        <v>11606</v>
      </c>
    </row>
    <row r="105" spans="1:4" ht="14.15" customHeight="1" x14ac:dyDescent="0.35">
      <c r="A105" s="114" t="s">
        <v>11518</v>
      </c>
      <c r="B105" s="115" t="s">
        <v>11519</v>
      </c>
      <c r="C105" s="114" t="s">
        <v>11607</v>
      </c>
      <c r="D105" s="115" t="s">
        <v>11608</v>
      </c>
    </row>
    <row r="106" spans="1:4" ht="14.15" customHeight="1" x14ac:dyDescent="0.35">
      <c r="A106" s="114" t="s">
        <v>11518</v>
      </c>
      <c r="B106" s="115" t="s">
        <v>11519</v>
      </c>
      <c r="C106" s="114" t="s">
        <v>11609</v>
      </c>
      <c r="D106" s="115" t="s">
        <v>11610</v>
      </c>
    </row>
    <row r="107" spans="1:4" ht="14.15" customHeight="1" x14ac:dyDescent="0.35">
      <c r="A107" s="114" t="s">
        <v>11518</v>
      </c>
      <c r="B107" s="115" t="s">
        <v>11519</v>
      </c>
      <c r="C107" s="114" t="s">
        <v>11611</v>
      </c>
      <c r="D107" s="115" t="s">
        <v>11612</v>
      </c>
    </row>
    <row r="108" spans="1:4" ht="14.15" customHeight="1" x14ac:dyDescent="0.35">
      <c r="A108" s="114" t="s">
        <v>11518</v>
      </c>
      <c r="B108" s="115" t="s">
        <v>11519</v>
      </c>
      <c r="C108" s="114" t="s">
        <v>11613</v>
      </c>
      <c r="D108" s="115" t="s">
        <v>11614</v>
      </c>
    </row>
    <row r="109" spans="1:4" ht="14.15" customHeight="1" x14ac:dyDescent="0.35">
      <c r="A109" s="114" t="s">
        <v>11518</v>
      </c>
      <c r="B109" s="115" t="s">
        <v>11519</v>
      </c>
      <c r="C109" s="114" t="s">
        <v>11615</v>
      </c>
      <c r="D109" s="115" t="s">
        <v>11616</v>
      </c>
    </row>
    <row r="110" spans="1:4" ht="14.15" customHeight="1" x14ac:dyDescent="0.35">
      <c r="A110" s="158" t="s">
        <v>11518</v>
      </c>
      <c r="B110" s="115" t="s">
        <v>11519</v>
      </c>
      <c r="C110" s="114" t="s">
        <v>11617</v>
      </c>
      <c r="D110" s="157" t="s">
        <v>11618</v>
      </c>
    </row>
    <row r="111" spans="1:4" ht="14.15" customHeight="1" x14ac:dyDescent="0.35">
      <c r="A111" s="114" t="s">
        <v>11518</v>
      </c>
      <c r="B111" s="115" t="s">
        <v>11519</v>
      </c>
      <c r="C111" s="114" t="s">
        <v>11619</v>
      </c>
      <c r="D111" s="115" t="s">
        <v>11620</v>
      </c>
    </row>
    <row r="112" spans="1:4" ht="14.15" customHeight="1" x14ac:dyDescent="0.35">
      <c r="A112" s="114" t="s">
        <v>11518</v>
      </c>
      <c r="B112" s="115" t="s">
        <v>11519</v>
      </c>
      <c r="C112" s="114" t="s">
        <v>11621</v>
      </c>
      <c r="D112" s="115" t="s">
        <v>11622</v>
      </c>
    </row>
    <row r="113" spans="1:4" ht="14.15" customHeight="1" x14ac:dyDescent="0.35">
      <c r="A113" s="114" t="s">
        <v>11518</v>
      </c>
      <c r="B113" s="115" t="s">
        <v>11519</v>
      </c>
      <c r="C113" s="114" t="s">
        <v>11623</v>
      </c>
      <c r="D113" s="115" t="s">
        <v>11624</v>
      </c>
    </row>
    <row r="114" spans="1:4" ht="14.15" customHeight="1" x14ac:dyDescent="0.35">
      <c r="A114" s="114" t="s">
        <v>11625</v>
      </c>
      <c r="B114" s="115" t="s">
        <v>11626</v>
      </c>
      <c r="C114" s="114" t="s">
        <v>11366</v>
      </c>
      <c r="D114" s="115" t="s">
        <v>11627</v>
      </c>
    </row>
    <row r="115" spans="1:4" ht="14.15" customHeight="1" x14ac:dyDescent="0.35">
      <c r="A115" s="114" t="s">
        <v>11625</v>
      </c>
      <c r="B115" s="115" t="s">
        <v>11626</v>
      </c>
      <c r="C115" s="114" t="s">
        <v>11628</v>
      </c>
      <c r="D115" s="115" t="s">
        <v>11629</v>
      </c>
    </row>
    <row r="116" spans="1:4" ht="14.15" customHeight="1" x14ac:dyDescent="0.35">
      <c r="A116" s="114" t="s">
        <v>11625</v>
      </c>
      <c r="B116" s="115" t="s">
        <v>11626</v>
      </c>
      <c r="C116" s="114" t="s">
        <v>11630</v>
      </c>
      <c r="D116" s="115" t="s">
        <v>11631</v>
      </c>
    </row>
    <row r="117" spans="1:4" ht="14.15" customHeight="1" x14ac:dyDescent="0.35">
      <c r="A117" s="114" t="s">
        <v>11625</v>
      </c>
      <c r="B117" s="115" t="s">
        <v>11626</v>
      </c>
      <c r="C117" s="114" t="s">
        <v>11632</v>
      </c>
      <c r="D117" s="115" t="s">
        <v>11633</v>
      </c>
    </row>
    <row r="118" spans="1:4" ht="14.15" customHeight="1" x14ac:dyDescent="0.35">
      <c r="A118" s="114" t="s">
        <v>11625</v>
      </c>
      <c r="B118" s="115" t="s">
        <v>11626</v>
      </c>
      <c r="C118" s="114" t="s">
        <v>11634</v>
      </c>
      <c r="D118" s="115" t="s">
        <v>11635</v>
      </c>
    </row>
    <row r="119" spans="1:4" ht="14.15" customHeight="1" x14ac:dyDescent="0.35">
      <c r="A119" s="114" t="s">
        <v>11625</v>
      </c>
      <c r="B119" s="115" t="s">
        <v>11626</v>
      </c>
      <c r="C119" s="114" t="s">
        <v>11636</v>
      </c>
      <c r="D119" s="115" t="s">
        <v>11637</v>
      </c>
    </row>
    <row r="120" spans="1:4" ht="14.15" customHeight="1" x14ac:dyDescent="0.35">
      <c r="A120" s="114" t="s">
        <v>11625</v>
      </c>
      <c r="B120" s="115" t="s">
        <v>11626</v>
      </c>
      <c r="C120" s="114" t="s">
        <v>11638</v>
      </c>
      <c r="D120" s="115" t="s">
        <v>11639</v>
      </c>
    </row>
    <row r="121" spans="1:4" ht="14.15" customHeight="1" x14ac:dyDescent="0.35">
      <c r="A121" s="114" t="s">
        <v>11625</v>
      </c>
      <c r="B121" s="115" t="s">
        <v>11626</v>
      </c>
      <c r="C121" s="114" t="s">
        <v>11640</v>
      </c>
      <c r="D121" s="115" t="s">
        <v>11641</v>
      </c>
    </row>
    <row r="122" spans="1:4" ht="14.15" customHeight="1" x14ac:dyDescent="0.35">
      <c r="A122" s="114" t="s">
        <v>11625</v>
      </c>
      <c r="B122" s="115" t="s">
        <v>11626</v>
      </c>
      <c r="C122" s="114" t="s">
        <v>11642</v>
      </c>
      <c r="D122" s="115" t="s">
        <v>11643</v>
      </c>
    </row>
    <row r="123" spans="1:4" ht="14.15" customHeight="1" x14ac:dyDescent="0.35">
      <c r="A123" s="114" t="s">
        <v>11625</v>
      </c>
      <c r="B123" s="115" t="s">
        <v>11626</v>
      </c>
      <c r="C123" s="114" t="s">
        <v>11644</v>
      </c>
      <c r="D123" s="115" t="s">
        <v>11645</v>
      </c>
    </row>
    <row r="124" spans="1:4" ht="14.15" customHeight="1" x14ac:dyDescent="0.35">
      <c r="A124" s="114" t="s">
        <v>11625</v>
      </c>
      <c r="B124" s="115" t="s">
        <v>11626</v>
      </c>
      <c r="C124" s="114" t="s">
        <v>11646</v>
      </c>
      <c r="D124" s="115" t="s">
        <v>11647</v>
      </c>
    </row>
    <row r="125" spans="1:4" ht="14.15" customHeight="1" x14ac:dyDescent="0.35">
      <c r="A125" s="114" t="s">
        <v>11625</v>
      </c>
      <c r="B125" s="115" t="s">
        <v>11626</v>
      </c>
      <c r="C125" s="114" t="s">
        <v>11648</v>
      </c>
      <c r="D125" s="115" t="s">
        <v>11649</v>
      </c>
    </row>
    <row r="126" spans="1:4" ht="14.15" customHeight="1" x14ac:dyDescent="0.35">
      <c r="A126" s="114" t="s">
        <v>11625</v>
      </c>
      <c r="B126" s="115" t="s">
        <v>11626</v>
      </c>
      <c r="C126" s="114" t="s">
        <v>11650</v>
      </c>
      <c r="D126" s="115" t="s">
        <v>11651</v>
      </c>
    </row>
    <row r="127" spans="1:4" ht="14.15" customHeight="1" x14ac:dyDescent="0.35">
      <c r="A127" s="114" t="s">
        <v>11625</v>
      </c>
      <c r="B127" s="115" t="s">
        <v>11626</v>
      </c>
      <c r="C127" s="114" t="s">
        <v>11652</v>
      </c>
      <c r="D127" s="115" t="s">
        <v>11653</v>
      </c>
    </row>
    <row r="128" spans="1:4" ht="14.15" customHeight="1" x14ac:dyDescent="0.35">
      <c r="A128" s="114" t="s">
        <v>11625</v>
      </c>
      <c r="B128" s="115" t="s">
        <v>11626</v>
      </c>
      <c r="C128" s="114" t="s">
        <v>11654</v>
      </c>
      <c r="D128" s="115" t="s">
        <v>11655</v>
      </c>
    </row>
    <row r="129" spans="1:4" ht="14.15" customHeight="1" x14ac:dyDescent="0.35">
      <c r="A129" s="114" t="s">
        <v>11625</v>
      </c>
      <c r="B129" s="115" t="s">
        <v>11626</v>
      </c>
      <c r="C129" s="114" t="s">
        <v>11656</v>
      </c>
      <c r="D129" s="115" t="s">
        <v>11657</v>
      </c>
    </row>
    <row r="130" spans="1:4" ht="14.15" customHeight="1" x14ac:dyDescent="0.35">
      <c r="A130" s="114" t="s">
        <v>11625</v>
      </c>
      <c r="B130" s="115" t="s">
        <v>11626</v>
      </c>
      <c r="C130" s="114" t="s">
        <v>11658</v>
      </c>
      <c r="D130" s="115" t="s">
        <v>11659</v>
      </c>
    </row>
    <row r="131" spans="1:4" ht="14.15" customHeight="1" x14ac:dyDescent="0.35">
      <c r="A131" s="114" t="s">
        <v>11625</v>
      </c>
      <c r="B131" s="115" t="s">
        <v>11626</v>
      </c>
      <c r="C131" s="114" t="s">
        <v>11660</v>
      </c>
      <c r="D131" s="115" t="s">
        <v>11661</v>
      </c>
    </row>
    <row r="132" spans="1:4" ht="14.15" customHeight="1" x14ac:dyDescent="0.35">
      <c r="A132" s="114" t="s">
        <v>11625</v>
      </c>
      <c r="B132" s="115" t="s">
        <v>11626</v>
      </c>
      <c r="C132" s="114" t="s">
        <v>11662</v>
      </c>
      <c r="D132" s="115" t="s">
        <v>11663</v>
      </c>
    </row>
    <row r="133" spans="1:4" ht="14.15" customHeight="1" x14ac:dyDescent="0.35">
      <c r="A133" s="114" t="s">
        <v>11625</v>
      </c>
      <c r="B133" s="115" t="s">
        <v>11626</v>
      </c>
      <c r="C133" s="114" t="s">
        <v>11664</v>
      </c>
      <c r="D133" s="115" t="s">
        <v>11665</v>
      </c>
    </row>
    <row r="134" spans="1:4" ht="14.15" customHeight="1" x14ac:dyDescent="0.35">
      <c r="A134" s="114" t="s">
        <v>11625</v>
      </c>
      <c r="B134" s="115" t="s">
        <v>11626</v>
      </c>
      <c r="C134" s="114" t="s">
        <v>11666</v>
      </c>
      <c r="D134" s="115" t="s">
        <v>11667</v>
      </c>
    </row>
    <row r="135" spans="1:4" ht="14.15" customHeight="1" x14ac:dyDescent="0.35">
      <c r="A135" s="114" t="s">
        <v>11625</v>
      </c>
      <c r="B135" s="115" t="s">
        <v>11626</v>
      </c>
      <c r="C135" s="114" t="s">
        <v>11668</v>
      </c>
      <c r="D135" s="115" t="s">
        <v>11669</v>
      </c>
    </row>
    <row r="136" spans="1:4" ht="14.15" customHeight="1" x14ac:dyDescent="0.35">
      <c r="A136" s="114" t="s">
        <v>11625</v>
      </c>
      <c r="B136" s="115" t="s">
        <v>11626</v>
      </c>
      <c r="C136" s="114" t="s">
        <v>11670</v>
      </c>
      <c r="D136" s="115" t="s">
        <v>11671</v>
      </c>
    </row>
    <row r="137" spans="1:4" ht="14.15" customHeight="1" x14ac:dyDescent="0.35">
      <c r="A137" s="114" t="s">
        <v>11625</v>
      </c>
      <c r="B137" s="115" t="s">
        <v>11626</v>
      </c>
      <c r="C137" s="114" t="s">
        <v>11672</v>
      </c>
      <c r="D137" s="115" t="s">
        <v>11673</v>
      </c>
    </row>
    <row r="138" spans="1:4" ht="14.15" customHeight="1" x14ac:dyDescent="0.35">
      <c r="A138" s="114" t="s">
        <v>11625</v>
      </c>
      <c r="B138" s="115" t="s">
        <v>11626</v>
      </c>
      <c r="C138" s="114" t="s">
        <v>11674</v>
      </c>
      <c r="D138" s="115" t="s">
        <v>11675</v>
      </c>
    </row>
    <row r="139" spans="1:4" ht="14.15" customHeight="1" x14ac:dyDescent="0.35">
      <c r="A139" s="114" t="s">
        <v>11625</v>
      </c>
      <c r="B139" s="115" t="s">
        <v>11626</v>
      </c>
      <c r="C139" s="114" t="s">
        <v>11676</v>
      </c>
      <c r="D139" s="115" t="s">
        <v>11677</v>
      </c>
    </row>
    <row r="140" spans="1:4" ht="14.15" customHeight="1" x14ac:dyDescent="0.35">
      <c r="A140" s="114" t="s">
        <v>944</v>
      </c>
      <c r="B140" s="115" t="s">
        <v>11678</v>
      </c>
      <c r="C140" s="114" t="s">
        <v>11679</v>
      </c>
      <c r="D140" s="115" t="s">
        <v>11680</v>
      </c>
    </row>
    <row r="141" spans="1:4" ht="14.15" customHeight="1" x14ac:dyDescent="0.35">
      <c r="A141" s="114" t="s">
        <v>944</v>
      </c>
      <c r="B141" s="115" t="s">
        <v>11678</v>
      </c>
      <c r="C141" s="114" t="s">
        <v>11681</v>
      </c>
      <c r="D141" s="115" t="s">
        <v>11682</v>
      </c>
    </row>
    <row r="142" spans="1:4" ht="14.15" customHeight="1" x14ac:dyDescent="0.35">
      <c r="A142" s="114" t="s">
        <v>944</v>
      </c>
      <c r="B142" s="115" t="s">
        <v>11678</v>
      </c>
      <c r="C142" s="114" t="s">
        <v>11683</v>
      </c>
      <c r="D142" s="115" t="s">
        <v>11684</v>
      </c>
    </row>
    <row r="143" spans="1:4" ht="14.15" customHeight="1" x14ac:dyDescent="0.35">
      <c r="A143" s="114" t="s">
        <v>944</v>
      </c>
      <c r="B143" s="115" t="s">
        <v>11678</v>
      </c>
      <c r="C143" s="114" t="s">
        <v>11685</v>
      </c>
      <c r="D143" s="115" t="s">
        <v>11686</v>
      </c>
    </row>
    <row r="144" spans="1:4" ht="14.15" customHeight="1" x14ac:dyDescent="0.35">
      <c r="A144" s="114" t="s">
        <v>944</v>
      </c>
      <c r="B144" s="115" t="s">
        <v>11678</v>
      </c>
      <c r="C144" s="114" t="s">
        <v>11687</v>
      </c>
      <c r="D144" s="115" t="s">
        <v>11578</v>
      </c>
    </row>
    <row r="145" spans="1:4" ht="14.15" customHeight="1" x14ac:dyDescent="0.35">
      <c r="A145" s="114" t="s">
        <v>944</v>
      </c>
      <c r="B145" s="115" t="s">
        <v>11678</v>
      </c>
      <c r="C145" s="114" t="s">
        <v>11688</v>
      </c>
      <c r="D145" s="115" t="s">
        <v>11689</v>
      </c>
    </row>
    <row r="146" spans="1:4" ht="14.15" customHeight="1" x14ac:dyDescent="0.35">
      <c r="A146" s="114" t="s">
        <v>944</v>
      </c>
      <c r="B146" s="115" t="s">
        <v>11678</v>
      </c>
      <c r="C146" s="114" t="s">
        <v>11690</v>
      </c>
      <c r="D146" s="115" t="s">
        <v>11691</v>
      </c>
    </row>
    <row r="147" spans="1:4" ht="14.15" customHeight="1" x14ac:dyDescent="0.35">
      <c r="A147" s="114" t="s">
        <v>11692</v>
      </c>
      <c r="B147" s="115" t="s">
        <v>11693</v>
      </c>
      <c r="C147" s="114" t="s">
        <v>11694</v>
      </c>
      <c r="D147" s="115" t="s">
        <v>11695</v>
      </c>
    </row>
    <row r="148" spans="1:4" ht="14.15" customHeight="1" x14ac:dyDescent="0.35">
      <c r="A148" s="114" t="s">
        <v>11692</v>
      </c>
      <c r="B148" s="115" t="s">
        <v>11693</v>
      </c>
      <c r="C148" s="114" t="s">
        <v>11696</v>
      </c>
      <c r="D148" s="115" t="s">
        <v>11697</v>
      </c>
    </row>
    <row r="149" spans="1:4" ht="14.15" customHeight="1" x14ac:dyDescent="0.35">
      <c r="A149" s="114" t="s">
        <v>11692</v>
      </c>
      <c r="B149" s="115" t="s">
        <v>11693</v>
      </c>
      <c r="C149" s="114" t="s">
        <v>11698</v>
      </c>
      <c r="D149" s="115" t="s">
        <v>11699</v>
      </c>
    </row>
    <row r="150" spans="1:4" ht="14.15" customHeight="1" x14ac:dyDescent="0.35">
      <c r="A150" s="114" t="s">
        <v>11692</v>
      </c>
      <c r="B150" s="115" t="s">
        <v>11693</v>
      </c>
      <c r="C150" s="114" t="s">
        <v>11700</v>
      </c>
      <c r="D150" s="115" t="s">
        <v>11701</v>
      </c>
    </row>
    <row r="151" spans="1:4" ht="14.15" customHeight="1" x14ac:dyDescent="0.35">
      <c r="A151" s="114" t="s">
        <v>11702</v>
      </c>
      <c r="B151" s="115" t="s">
        <v>11703</v>
      </c>
      <c r="C151" s="114" t="s">
        <v>11704</v>
      </c>
      <c r="D151" s="115" t="s">
        <v>11705</v>
      </c>
    </row>
    <row r="152" spans="1:4" ht="14.15" customHeight="1" x14ac:dyDescent="0.35">
      <c r="A152" s="114" t="s">
        <v>11702</v>
      </c>
      <c r="B152" s="115" t="s">
        <v>11703</v>
      </c>
      <c r="C152" s="114" t="s">
        <v>11706</v>
      </c>
      <c r="D152" s="115" t="s">
        <v>11707</v>
      </c>
    </row>
    <row r="153" spans="1:4" ht="14.15" customHeight="1" x14ac:dyDescent="0.35">
      <c r="A153" s="114" t="s">
        <v>11702</v>
      </c>
      <c r="B153" s="115" t="s">
        <v>11703</v>
      </c>
      <c r="C153" s="114" t="s">
        <v>11708</v>
      </c>
      <c r="D153" s="115" t="s">
        <v>11709</v>
      </c>
    </row>
    <row r="154" spans="1:4" ht="14.15" customHeight="1" x14ac:dyDescent="0.35">
      <c r="A154" s="114" t="s">
        <v>11702</v>
      </c>
      <c r="B154" s="115" t="s">
        <v>11703</v>
      </c>
      <c r="C154" s="114" t="s">
        <v>11710</v>
      </c>
      <c r="D154" s="115" t="s">
        <v>11711</v>
      </c>
    </row>
    <row r="155" spans="1:4" ht="14.15" customHeight="1" x14ac:dyDescent="0.35">
      <c r="A155" s="114" t="s">
        <v>11702</v>
      </c>
      <c r="B155" s="115" t="s">
        <v>11703</v>
      </c>
      <c r="C155" s="114" t="s">
        <v>11712</v>
      </c>
      <c r="D155" s="115" t="s">
        <v>11713</v>
      </c>
    </row>
    <row r="156" spans="1:4" ht="14.15" customHeight="1" x14ac:dyDescent="0.35">
      <c r="A156" s="114" t="s">
        <v>11702</v>
      </c>
      <c r="B156" s="115" t="s">
        <v>11703</v>
      </c>
      <c r="C156" s="114" t="s">
        <v>11714</v>
      </c>
      <c r="D156" s="115" t="s">
        <v>11715</v>
      </c>
    </row>
    <row r="157" spans="1:4" ht="14.15" customHeight="1" x14ac:dyDescent="0.35">
      <c r="A157" s="114" t="s">
        <v>977</v>
      </c>
      <c r="B157" s="115" t="s">
        <v>11716</v>
      </c>
      <c r="C157" s="114" t="s">
        <v>11717</v>
      </c>
      <c r="D157" s="115" t="s">
        <v>11718</v>
      </c>
    </row>
    <row r="158" spans="1:4" ht="14.15" customHeight="1" x14ac:dyDescent="0.35">
      <c r="A158" s="114" t="s">
        <v>977</v>
      </c>
      <c r="B158" s="115" t="s">
        <v>11716</v>
      </c>
      <c r="C158" s="114" t="s">
        <v>11719</v>
      </c>
      <c r="D158" s="115" t="s">
        <v>11720</v>
      </c>
    </row>
    <row r="159" spans="1:4" ht="14.15" customHeight="1" x14ac:dyDescent="0.35">
      <c r="A159" s="114" t="s">
        <v>977</v>
      </c>
      <c r="B159" s="115" t="s">
        <v>11716</v>
      </c>
      <c r="C159" s="114" t="s">
        <v>11721</v>
      </c>
      <c r="D159" s="115" t="s">
        <v>11722</v>
      </c>
    </row>
    <row r="160" spans="1:4" ht="14.15" customHeight="1" x14ac:dyDescent="0.35">
      <c r="A160" s="114" t="s">
        <v>977</v>
      </c>
      <c r="B160" s="115" t="s">
        <v>11716</v>
      </c>
      <c r="C160" s="114" t="s">
        <v>11723</v>
      </c>
      <c r="D160" s="115" t="s">
        <v>11724</v>
      </c>
    </row>
    <row r="161" spans="1:4" ht="14.15" customHeight="1" x14ac:dyDescent="0.35">
      <c r="A161" s="114" t="s">
        <v>977</v>
      </c>
      <c r="B161" s="115" t="s">
        <v>11716</v>
      </c>
      <c r="C161" s="114" t="s">
        <v>11725</v>
      </c>
      <c r="D161" s="115" t="s">
        <v>11726</v>
      </c>
    </row>
    <row r="162" spans="1:4" ht="14.15" customHeight="1" x14ac:dyDescent="0.35">
      <c r="A162" s="114" t="s">
        <v>11727</v>
      </c>
      <c r="B162" s="115" t="s">
        <v>11728</v>
      </c>
      <c r="C162" s="114" t="s">
        <v>11729</v>
      </c>
      <c r="D162" s="115" t="s">
        <v>11730</v>
      </c>
    </row>
    <row r="163" spans="1:4" ht="14.15" customHeight="1" x14ac:dyDescent="0.35">
      <c r="A163" s="114" t="s">
        <v>11727</v>
      </c>
      <c r="B163" s="115" t="s">
        <v>11728</v>
      </c>
      <c r="C163" s="114" t="s">
        <v>11731</v>
      </c>
      <c r="D163" s="115" t="s">
        <v>11732</v>
      </c>
    </row>
    <row r="164" spans="1:4" ht="14.15" customHeight="1" x14ac:dyDescent="0.35">
      <c r="A164" s="114" t="s">
        <v>11727</v>
      </c>
      <c r="B164" s="115" t="s">
        <v>11728</v>
      </c>
      <c r="C164" s="114" t="s">
        <v>11733</v>
      </c>
      <c r="D164" s="115" t="s">
        <v>11734</v>
      </c>
    </row>
    <row r="165" spans="1:4" ht="14.15" customHeight="1" x14ac:dyDescent="0.35">
      <c r="A165" s="114" t="s">
        <v>11727</v>
      </c>
      <c r="B165" s="115" t="s">
        <v>11728</v>
      </c>
      <c r="C165" s="114" t="s">
        <v>11735</v>
      </c>
      <c r="D165" s="115" t="s">
        <v>11736</v>
      </c>
    </row>
    <row r="166" spans="1:4" ht="14.15" customHeight="1" x14ac:dyDescent="0.35">
      <c r="A166" s="114" t="s">
        <v>11727</v>
      </c>
      <c r="B166" s="115" t="s">
        <v>11728</v>
      </c>
      <c r="C166" s="114" t="s">
        <v>11737</v>
      </c>
      <c r="D166" s="115" t="s">
        <v>11738</v>
      </c>
    </row>
    <row r="167" spans="1:4" ht="14.15" customHeight="1" x14ac:dyDescent="0.35">
      <c r="A167" s="114" t="s">
        <v>11727</v>
      </c>
      <c r="B167" s="115" t="s">
        <v>11728</v>
      </c>
      <c r="C167" s="114" t="s">
        <v>11739</v>
      </c>
      <c r="D167" s="115" t="s">
        <v>11555</v>
      </c>
    </row>
    <row r="168" spans="1:4" ht="14.15" customHeight="1" x14ac:dyDescent="0.35">
      <c r="A168" s="114" t="s">
        <v>11727</v>
      </c>
      <c r="B168" s="115" t="s">
        <v>11728</v>
      </c>
      <c r="C168" s="114" t="s">
        <v>11740</v>
      </c>
      <c r="D168" s="115" t="s">
        <v>11741</v>
      </c>
    </row>
    <row r="169" spans="1:4" ht="14.15" customHeight="1" x14ac:dyDescent="0.35">
      <c r="A169" s="114" t="s">
        <v>11727</v>
      </c>
      <c r="B169" s="115" t="s">
        <v>11728</v>
      </c>
      <c r="C169" s="114" t="s">
        <v>11742</v>
      </c>
      <c r="D169" s="115" t="s">
        <v>11743</v>
      </c>
    </row>
    <row r="170" spans="1:4" ht="14.15" customHeight="1" x14ac:dyDescent="0.35">
      <c r="A170" s="114" t="s">
        <v>11727</v>
      </c>
      <c r="B170" s="115" t="s">
        <v>11728</v>
      </c>
      <c r="C170" s="114" t="s">
        <v>11744</v>
      </c>
      <c r="D170" s="115" t="s">
        <v>11745</v>
      </c>
    </row>
    <row r="171" spans="1:4" ht="14.15" customHeight="1" x14ac:dyDescent="0.35">
      <c r="A171" s="114" t="s">
        <v>11727</v>
      </c>
      <c r="B171" s="115" t="s">
        <v>11728</v>
      </c>
      <c r="C171" s="114" t="s">
        <v>11203</v>
      </c>
      <c r="D171" s="115" t="s">
        <v>11746</v>
      </c>
    </row>
    <row r="172" spans="1:4" ht="14.15" customHeight="1" x14ac:dyDescent="0.35">
      <c r="A172" s="114" t="s">
        <v>11727</v>
      </c>
      <c r="B172" s="115" t="s">
        <v>11728</v>
      </c>
      <c r="C172" s="114" t="s">
        <v>11747</v>
      </c>
      <c r="D172" s="115" t="s">
        <v>11748</v>
      </c>
    </row>
    <row r="173" spans="1:4" ht="14.15" customHeight="1" x14ac:dyDescent="0.35">
      <c r="A173" s="114" t="s">
        <v>11727</v>
      </c>
      <c r="B173" s="115" t="s">
        <v>11728</v>
      </c>
      <c r="C173" s="114" t="s">
        <v>11749</v>
      </c>
      <c r="D173" s="115" t="s">
        <v>11750</v>
      </c>
    </row>
    <row r="174" spans="1:4" ht="14.15" customHeight="1" x14ac:dyDescent="0.35">
      <c r="A174" s="114" t="s">
        <v>11727</v>
      </c>
      <c r="B174" s="115" t="s">
        <v>11728</v>
      </c>
      <c r="C174" s="114" t="s">
        <v>11751</v>
      </c>
      <c r="D174" s="115" t="s">
        <v>11752</v>
      </c>
    </row>
    <row r="175" spans="1:4" ht="14.15" customHeight="1" x14ac:dyDescent="0.35">
      <c r="A175" s="114" t="s">
        <v>11727</v>
      </c>
      <c r="B175" s="115" t="s">
        <v>11728</v>
      </c>
      <c r="C175" s="114" t="s">
        <v>11753</v>
      </c>
      <c r="D175" s="115" t="s">
        <v>11754</v>
      </c>
    </row>
    <row r="176" spans="1:4" ht="14.15" customHeight="1" x14ac:dyDescent="0.35">
      <c r="A176" s="114" t="s">
        <v>1011</v>
      </c>
      <c r="B176" s="115" t="s">
        <v>11755</v>
      </c>
      <c r="C176" s="114" t="s">
        <v>11756</v>
      </c>
      <c r="D176" s="115" t="s">
        <v>11757</v>
      </c>
    </row>
    <row r="177" spans="1:4" ht="14.15" customHeight="1" x14ac:dyDescent="0.35">
      <c r="A177" s="114" t="s">
        <v>1011</v>
      </c>
      <c r="B177" s="115" t="s">
        <v>11755</v>
      </c>
      <c r="C177" s="114" t="s">
        <v>11758</v>
      </c>
      <c r="D177" s="115" t="s">
        <v>11759</v>
      </c>
    </row>
    <row r="178" spans="1:4" ht="14.15" customHeight="1" x14ac:dyDescent="0.35">
      <c r="A178" s="114" t="s">
        <v>1011</v>
      </c>
      <c r="B178" s="115" t="s">
        <v>11755</v>
      </c>
      <c r="C178" s="114" t="s">
        <v>11760</v>
      </c>
      <c r="D178" s="115" t="s">
        <v>11761</v>
      </c>
    </row>
    <row r="179" spans="1:4" ht="14.15" customHeight="1" x14ac:dyDescent="0.35">
      <c r="A179" s="114" t="s">
        <v>11762</v>
      </c>
      <c r="B179" s="115" t="s">
        <v>11763</v>
      </c>
      <c r="C179" s="114" t="s">
        <v>11764</v>
      </c>
      <c r="D179" s="115" t="s">
        <v>11765</v>
      </c>
    </row>
    <row r="180" spans="1:4" ht="14.15" customHeight="1" x14ac:dyDescent="0.35">
      <c r="A180" s="114" t="s">
        <v>11762</v>
      </c>
      <c r="B180" s="115" t="s">
        <v>11763</v>
      </c>
      <c r="C180" s="114" t="s">
        <v>11766</v>
      </c>
      <c r="D180" s="115" t="s">
        <v>11767</v>
      </c>
    </row>
    <row r="181" spans="1:4" ht="14.15" customHeight="1" x14ac:dyDescent="0.35">
      <c r="A181" s="114" t="s">
        <v>11762</v>
      </c>
      <c r="B181" s="115" t="s">
        <v>11763</v>
      </c>
      <c r="C181" s="114" t="s">
        <v>11768</v>
      </c>
      <c r="D181" s="115" t="s">
        <v>11769</v>
      </c>
    </row>
    <row r="182" spans="1:4" ht="14.15" customHeight="1" x14ac:dyDescent="0.35">
      <c r="A182" s="114" t="s">
        <v>11770</v>
      </c>
      <c r="B182" s="115" t="s">
        <v>11771</v>
      </c>
      <c r="C182" s="114" t="s">
        <v>11772</v>
      </c>
      <c r="D182" s="115" t="s">
        <v>11773</v>
      </c>
    </row>
    <row r="183" spans="1:4" ht="14.15" customHeight="1" x14ac:dyDescent="0.35">
      <c r="A183" s="114" t="s">
        <v>11770</v>
      </c>
      <c r="B183" s="115" t="s">
        <v>11771</v>
      </c>
      <c r="C183" s="114" t="s">
        <v>11774</v>
      </c>
      <c r="D183" s="115" t="s">
        <v>11775</v>
      </c>
    </row>
    <row r="184" spans="1:4" ht="14.15" customHeight="1" x14ac:dyDescent="0.35">
      <c r="A184" s="114" t="s">
        <v>11770</v>
      </c>
      <c r="B184" s="115" t="s">
        <v>11771</v>
      </c>
      <c r="C184" s="114" t="s">
        <v>11776</v>
      </c>
      <c r="D184" s="115" t="s">
        <v>11777</v>
      </c>
    </row>
    <row r="185" spans="1:4" ht="14.15" customHeight="1" x14ac:dyDescent="0.35">
      <c r="A185" s="114" t="s">
        <v>11770</v>
      </c>
      <c r="B185" s="115" t="s">
        <v>11771</v>
      </c>
      <c r="C185" s="114" t="s">
        <v>11778</v>
      </c>
      <c r="D185" s="115" t="s">
        <v>11779</v>
      </c>
    </row>
    <row r="186" spans="1:4" ht="14.15" customHeight="1" x14ac:dyDescent="0.35">
      <c r="A186" s="114" t="s">
        <v>11780</v>
      </c>
      <c r="B186" s="115" t="s">
        <v>11781</v>
      </c>
      <c r="C186" s="114" t="s">
        <v>11782</v>
      </c>
      <c r="D186" s="115" t="s">
        <v>11783</v>
      </c>
    </row>
    <row r="187" spans="1:4" ht="14.15" customHeight="1" x14ac:dyDescent="0.35">
      <c r="A187" s="114" t="s">
        <v>11780</v>
      </c>
      <c r="B187" s="115" t="s">
        <v>11781</v>
      </c>
      <c r="C187" s="114" t="s">
        <v>11784</v>
      </c>
      <c r="D187" s="115" t="s">
        <v>11785</v>
      </c>
    </row>
    <row r="188" spans="1:4" ht="14.15" customHeight="1" x14ac:dyDescent="0.35">
      <c r="A188" s="114" t="s">
        <v>11780</v>
      </c>
      <c r="B188" s="115" t="s">
        <v>11781</v>
      </c>
      <c r="C188" s="114" t="s">
        <v>11786</v>
      </c>
      <c r="D188" s="115" t="s">
        <v>11787</v>
      </c>
    </row>
    <row r="189" spans="1:4" ht="14.15" customHeight="1" x14ac:dyDescent="0.35">
      <c r="A189" s="114" t="s">
        <v>11788</v>
      </c>
      <c r="B189" s="115" t="s">
        <v>11789</v>
      </c>
      <c r="C189" s="114" t="s">
        <v>11790</v>
      </c>
      <c r="D189" s="115" t="s">
        <v>11791</v>
      </c>
    </row>
    <row r="190" spans="1:4" ht="14.15" customHeight="1" x14ac:dyDescent="0.35">
      <c r="A190" s="114" t="s">
        <v>11788</v>
      </c>
      <c r="B190" s="115" t="s">
        <v>11789</v>
      </c>
      <c r="C190" s="114" t="s">
        <v>11792</v>
      </c>
      <c r="D190" s="115" t="s">
        <v>11793</v>
      </c>
    </row>
    <row r="191" spans="1:4" ht="14.15" customHeight="1" x14ac:dyDescent="0.35">
      <c r="A191" s="114" t="s">
        <v>11788</v>
      </c>
      <c r="B191" s="115" t="s">
        <v>11789</v>
      </c>
      <c r="C191" s="114" t="s">
        <v>11794</v>
      </c>
      <c r="D191" s="115" t="s">
        <v>11795</v>
      </c>
    </row>
    <row r="192" spans="1:4" ht="14.15" customHeight="1" x14ac:dyDescent="0.35">
      <c r="A192" s="114" t="s">
        <v>11788</v>
      </c>
      <c r="B192" s="115" t="s">
        <v>11789</v>
      </c>
      <c r="C192" s="114" t="s">
        <v>11796</v>
      </c>
      <c r="D192" s="115" t="s">
        <v>11797</v>
      </c>
    </row>
    <row r="193" spans="1:4" ht="14.15" customHeight="1" x14ac:dyDescent="0.35">
      <c r="A193" s="114" t="s">
        <v>11788</v>
      </c>
      <c r="B193" s="115" t="s">
        <v>11789</v>
      </c>
      <c r="C193" s="114" t="s">
        <v>11798</v>
      </c>
      <c r="D193" s="115" t="s">
        <v>11799</v>
      </c>
    </row>
    <row r="194" spans="1:4" ht="14.15" customHeight="1" x14ac:dyDescent="0.35">
      <c r="A194" s="114" t="s">
        <v>11788</v>
      </c>
      <c r="B194" s="115" t="s">
        <v>11789</v>
      </c>
      <c r="C194" s="114" t="s">
        <v>11800</v>
      </c>
      <c r="D194" s="115" t="s">
        <v>11801</v>
      </c>
    </row>
    <row r="195" spans="1:4" ht="14.15" customHeight="1" x14ac:dyDescent="0.35">
      <c r="A195" s="114" t="s">
        <v>11788</v>
      </c>
      <c r="B195" s="115" t="s">
        <v>11789</v>
      </c>
      <c r="C195" s="114" t="s">
        <v>11802</v>
      </c>
      <c r="D195" s="115" t="s">
        <v>11803</v>
      </c>
    </row>
    <row r="196" spans="1:4" ht="14.15" customHeight="1" x14ac:dyDescent="0.35">
      <c r="A196" s="114" t="s">
        <v>11788</v>
      </c>
      <c r="B196" s="115" t="s">
        <v>11789</v>
      </c>
      <c r="C196" s="114" t="s">
        <v>11804</v>
      </c>
      <c r="D196" s="115" t="s">
        <v>11805</v>
      </c>
    </row>
    <row r="197" spans="1:4" ht="14.15" customHeight="1" x14ac:dyDescent="0.35">
      <c r="A197" s="114" t="s">
        <v>11788</v>
      </c>
      <c r="B197" s="115" t="s">
        <v>11789</v>
      </c>
      <c r="C197" s="114" t="s">
        <v>11806</v>
      </c>
      <c r="D197" s="115" t="s">
        <v>11807</v>
      </c>
    </row>
    <row r="198" spans="1:4" ht="14.15" customHeight="1" x14ac:dyDescent="0.35">
      <c r="A198" s="114" t="s">
        <v>11788</v>
      </c>
      <c r="B198" s="115" t="s">
        <v>11789</v>
      </c>
      <c r="C198" s="114" t="s">
        <v>11808</v>
      </c>
      <c r="D198" s="115" t="s">
        <v>11809</v>
      </c>
    </row>
    <row r="199" spans="1:4" ht="14.15" customHeight="1" x14ac:dyDescent="0.35">
      <c r="A199" s="114" t="s">
        <v>11788</v>
      </c>
      <c r="B199" s="115" t="s">
        <v>11789</v>
      </c>
      <c r="C199" s="114" t="s">
        <v>11810</v>
      </c>
      <c r="D199" s="115" t="s">
        <v>11811</v>
      </c>
    </row>
    <row r="200" spans="1:4" ht="14.15" customHeight="1" x14ac:dyDescent="0.35">
      <c r="A200" s="114" t="s">
        <v>11788</v>
      </c>
      <c r="B200" s="115" t="s">
        <v>11789</v>
      </c>
      <c r="C200" s="114" t="s">
        <v>11812</v>
      </c>
      <c r="D200" s="115" t="s">
        <v>11813</v>
      </c>
    </row>
    <row r="201" spans="1:4" ht="14.15" customHeight="1" x14ac:dyDescent="0.35">
      <c r="A201" s="114" t="s">
        <v>11788</v>
      </c>
      <c r="B201" s="115" t="s">
        <v>11789</v>
      </c>
      <c r="C201" s="114" t="s">
        <v>11814</v>
      </c>
      <c r="D201" s="115" t="s">
        <v>11815</v>
      </c>
    </row>
    <row r="202" spans="1:4" ht="14.15" customHeight="1" x14ac:dyDescent="0.35">
      <c r="A202" s="114" t="s">
        <v>11788</v>
      </c>
      <c r="B202" s="115" t="s">
        <v>11789</v>
      </c>
      <c r="C202" s="114" t="s">
        <v>11816</v>
      </c>
      <c r="D202" s="115" t="s">
        <v>11817</v>
      </c>
    </row>
    <row r="203" spans="1:4" ht="14.15" customHeight="1" x14ac:dyDescent="0.35">
      <c r="A203" s="114" t="s">
        <v>11788</v>
      </c>
      <c r="B203" s="115" t="s">
        <v>11789</v>
      </c>
      <c r="C203" s="114" t="s">
        <v>11818</v>
      </c>
      <c r="D203" s="115" t="s">
        <v>11819</v>
      </c>
    </row>
    <row r="204" spans="1:4" ht="14.15" customHeight="1" x14ac:dyDescent="0.35">
      <c r="A204" s="114" t="s">
        <v>11788</v>
      </c>
      <c r="B204" s="115" t="s">
        <v>11789</v>
      </c>
      <c r="C204" s="114" t="s">
        <v>11820</v>
      </c>
      <c r="D204" s="115" t="s">
        <v>11821</v>
      </c>
    </row>
    <row r="205" spans="1:4" ht="14.15" customHeight="1" x14ac:dyDescent="0.35">
      <c r="A205" s="114" t="s">
        <v>11788</v>
      </c>
      <c r="B205" s="115" t="s">
        <v>11789</v>
      </c>
      <c r="C205" s="114" t="s">
        <v>11822</v>
      </c>
      <c r="D205" s="115" t="s">
        <v>11823</v>
      </c>
    </row>
    <row r="206" spans="1:4" ht="14.15" customHeight="1" x14ac:dyDescent="0.35">
      <c r="A206" s="114" t="s">
        <v>11788</v>
      </c>
      <c r="B206" s="115" t="s">
        <v>11789</v>
      </c>
      <c r="C206" s="114" t="s">
        <v>11824</v>
      </c>
      <c r="D206" s="115" t="s">
        <v>11825</v>
      </c>
    </row>
    <row r="207" spans="1:4" ht="14.15" customHeight="1" x14ac:dyDescent="0.35">
      <c r="A207" s="114" t="s">
        <v>11788</v>
      </c>
      <c r="B207" s="115" t="s">
        <v>11789</v>
      </c>
      <c r="C207" s="114" t="s">
        <v>11826</v>
      </c>
      <c r="D207" s="115" t="s">
        <v>11827</v>
      </c>
    </row>
    <row r="208" spans="1:4" ht="14.15" customHeight="1" x14ac:dyDescent="0.35">
      <c r="A208" s="114" t="s">
        <v>11788</v>
      </c>
      <c r="B208" s="115" t="s">
        <v>11789</v>
      </c>
      <c r="C208" s="114" t="s">
        <v>11828</v>
      </c>
      <c r="D208" s="115" t="s">
        <v>11829</v>
      </c>
    </row>
    <row r="209" spans="1:4" s="353" customFormat="1" ht="14.15" customHeight="1" x14ac:dyDescent="0.35">
      <c r="A209" s="354" t="s">
        <v>11788</v>
      </c>
      <c r="B209" s="118" t="s">
        <v>11789</v>
      </c>
      <c r="C209" s="117" t="s">
        <v>11830</v>
      </c>
      <c r="D209" s="118" t="s">
        <v>11831</v>
      </c>
    </row>
    <row r="210" spans="1:4" ht="14.15" customHeight="1" x14ac:dyDescent="0.35">
      <c r="A210" s="114" t="s">
        <v>11788</v>
      </c>
      <c r="B210" s="115" t="s">
        <v>11789</v>
      </c>
      <c r="C210" s="114" t="s">
        <v>11832</v>
      </c>
      <c r="D210" s="115" t="s">
        <v>11833</v>
      </c>
    </row>
    <row r="211" spans="1:4" ht="14.15" customHeight="1" x14ac:dyDescent="0.35">
      <c r="A211" s="114" t="s">
        <v>11834</v>
      </c>
      <c r="B211" s="115" t="s">
        <v>11835</v>
      </c>
      <c r="C211" s="114" t="s">
        <v>11836</v>
      </c>
      <c r="D211" s="115" t="s">
        <v>11837</v>
      </c>
    </row>
    <row r="212" spans="1:4" ht="14.15" customHeight="1" x14ac:dyDescent="0.35">
      <c r="A212" s="114" t="s">
        <v>11834</v>
      </c>
      <c r="B212" s="115" t="s">
        <v>11835</v>
      </c>
      <c r="C212" s="114" t="s">
        <v>11838</v>
      </c>
      <c r="D212" s="115" t="s">
        <v>11839</v>
      </c>
    </row>
    <row r="213" spans="1:4" ht="14.15" customHeight="1" x14ac:dyDescent="0.35">
      <c r="A213" s="114" t="s">
        <v>11840</v>
      </c>
      <c r="B213" s="115" t="s">
        <v>11841</v>
      </c>
      <c r="C213" s="114" t="s">
        <v>11842</v>
      </c>
      <c r="D213" s="115" t="s">
        <v>11843</v>
      </c>
    </row>
    <row r="214" spans="1:4" ht="14.15" customHeight="1" x14ac:dyDescent="0.35">
      <c r="A214" s="114" t="s">
        <v>11840</v>
      </c>
      <c r="B214" s="115" t="s">
        <v>11841</v>
      </c>
      <c r="C214" s="114" t="s">
        <v>11844</v>
      </c>
      <c r="D214" s="115" t="s">
        <v>11845</v>
      </c>
    </row>
    <row r="215" spans="1:4" ht="14.15" customHeight="1" x14ac:dyDescent="0.35">
      <c r="A215" s="114" t="s">
        <v>11840</v>
      </c>
      <c r="B215" s="115" t="s">
        <v>11841</v>
      </c>
      <c r="C215" s="114" t="s">
        <v>11846</v>
      </c>
      <c r="D215" s="115" t="s">
        <v>11847</v>
      </c>
    </row>
    <row r="216" spans="1:4" ht="14.15" customHeight="1" x14ac:dyDescent="0.35">
      <c r="A216" s="114" t="s">
        <v>11840</v>
      </c>
      <c r="B216" s="115" t="s">
        <v>11841</v>
      </c>
      <c r="C216" s="114" t="s">
        <v>11848</v>
      </c>
      <c r="D216" s="115" t="s">
        <v>11849</v>
      </c>
    </row>
    <row r="217" spans="1:4" ht="14.15" customHeight="1" x14ac:dyDescent="0.35">
      <c r="A217" s="114" t="s">
        <v>11840</v>
      </c>
      <c r="B217" s="115" t="s">
        <v>11841</v>
      </c>
      <c r="C217" s="114" t="s">
        <v>11850</v>
      </c>
      <c r="D217" s="115" t="s">
        <v>11851</v>
      </c>
    </row>
    <row r="218" spans="1:4" ht="14.15" customHeight="1" x14ac:dyDescent="0.35">
      <c r="A218" s="114" t="s">
        <v>11852</v>
      </c>
      <c r="B218" s="115" t="s">
        <v>11853</v>
      </c>
      <c r="C218" s="114" t="s">
        <v>11854</v>
      </c>
      <c r="D218" s="115" t="s">
        <v>11855</v>
      </c>
    </row>
    <row r="219" spans="1:4" ht="14.15" customHeight="1" x14ac:dyDescent="0.35">
      <c r="A219" s="114" t="s">
        <v>11856</v>
      </c>
      <c r="B219" s="115" t="s">
        <v>11857</v>
      </c>
      <c r="C219" s="114" t="s">
        <v>11858</v>
      </c>
      <c r="D219" s="115" t="s">
        <v>11859</v>
      </c>
    </row>
    <row r="220" spans="1:4" ht="14.15" customHeight="1" x14ac:dyDescent="0.35">
      <c r="A220" s="114" t="s">
        <v>11856</v>
      </c>
      <c r="B220" s="115" t="s">
        <v>11857</v>
      </c>
      <c r="C220" s="114" t="s">
        <v>11860</v>
      </c>
      <c r="D220" s="115" t="s">
        <v>11861</v>
      </c>
    </row>
    <row r="221" spans="1:4" ht="14.15" customHeight="1" x14ac:dyDescent="0.35">
      <c r="A221" s="114" t="s">
        <v>11862</v>
      </c>
      <c r="B221" s="115" t="s">
        <v>11863</v>
      </c>
      <c r="C221" s="114" t="s">
        <v>11864</v>
      </c>
      <c r="D221" s="115" t="s">
        <v>11865</v>
      </c>
    </row>
    <row r="222" spans="1:4" ht="14.15" customHeight="1" x14ac:dyDescent="0.35">
      <c r="A222" s="114" t="s">
        <v>2420</v>
      </c>
      <c r="B222" s="115" t="s">
        <v>11866</v>
      </c>
      <c r="C222" s="114" t="s">
        <v>11305</v>
      </c>
      <c r="D222" s="115" t="s">
        <v>11867</v>
      </c>
    </row>
    <row r="223" spans="1:4" ht="14.15" customHeight="1" x14ac:dyDescent="0.35">
      <c r="A223" s="114" t="s">
        <v>2420</v>
      </c>
      <c r="B223" s="115" t="s">
        <v>11866</v>
      </c>
      <c r="C223" s="114" t="s">
        <v>11868</v>
      </c>
      <c r="D223" s="115" t="s">
        <v>11869</v>
      </c>
    </row>
    <row r="224" spans="1:4" ht="14.15" customHeight="1" x14ac:dyDescent="0.35">
      <c r="A224" s="114" t="s">
        <v>2420</v>
      </c>
      <c r="B224" s="115" t="s">
        <v>11866</v>
      </c>
      <c r="C224" s="114" t="s">
        <v>11870</v>
      </c>
      <c r="D224" s="115" t="s">
        <v>11871</v>
      </c>
    </row>
    <row r="225" spans="1:4" ht="14.15" customHeight="1" x14ac:dyDescent="0.35">
      <c r="A225" s="114" t="s">
        <v>2420</v>
      </c>
      <c r="B225" s="115" t="s">
        <v>11866</v>
      </c>
      <c r="C225" s="114" t="s">
        <v>11872</v>
      </c>
      <c r="D225" s="115" t="s">
        <v>11873</v>
      </c>
    </row>
    <row r="226" spans="1:4" ht="14.15" customHeight="1" x14ac:dyDescent="0.35">
      <c r="A226" s="114" t="s">
        <v>2420</v>
      </c>
      <c r="B226" s="115" t="s">
        <v>11866</v>
      </c>
      <c r="C226" s="114" t="s">
        <v>11874</v>
      </c>
      <c r="D226" s="115" t="s">
        <v>11875</v>
      </c>
    </row>
    <row r="227" spans="1:4" ht="14.15" customHeight="1" x14ac:dyDescent="0.35">
      <c r="A227" s="114" t="s">
        <v>2420</v>
      </c>
      <c r="B227" s="115" t="s">
        <v>11866</v>
      </c>
      <c r="C227" s="114" t="s">
        <v>11876</v>
      </c>
      <c r="D227" s="115" t="s">
        <v>11877</v>
      </c>
    </row>
    <row r="228" spans="1:4" ht="14.15" customHeight="1" x14ac:dyDescent="0.35">
      <c r="A228" s="114" t="s">
        <v>2420</v>
      </c>
      <c r="B228" s="115" t="s">
        <v>11866</v>
      </c>
      <c r="C228" s="114" t="s">
        <v>11878</v>
      </c>
      <c r="D228" s="115" t="s">
        <v>11879</v>
      </c>
    </row>
    <row r="229" spans="1:4" ht="14.15" customHeight="1" x14ac:dyDescent="0.35">
      <c r="A229" s="114" t="s">
        <v>2420</v>
      </c>
      <c r="B229" s="115" t="s">
        <v>11866</v>
      </c>
      <c r="C229" s="114" t="s">
        <v>11880</v>
      </c>
      <c r="D229" s="115" t="s">
        <v>11881</v>
      </c>
    </row>
    <row r="230" spans="1:4" ht="14.15" customHeight="1" x14ac:dyDescent="0.35">
      <c r="A230" s="114" t="s">
        <v>2420</v>
      </c>
      <c r="B230" s="115" t="s">
        <v>11866</v>
      </c>
      <c r="C230" s="114" t="s">
        <v>11882</v>
      </c>
      <c r="D230" s="115" t="s">
        <v>11883</v>
      </c>
    </row>
    <row r="231" spans="1:4" ht="14.15" customHeight="1" x14ac:dyDescent="0.35">
      <c r="A231" s="114" t="s">
        <v>2420</v>
      </c>
      <c r="B231" s="115" t="s">
        <v>11866</v>
      </c>
      <c r="C231" s="114" t="s">
        <v>11884</v>
      </c>
      <c r="D231" s="115" t="s">
        <v>11885</v>
      </c>
    </row>
    <row r="232" spans="1:4" ht="14.15" customHeight="1" x14ac:dyDescent="0.35">
      <c r="A232" s="114" t="s">
        <v>2420</v>
      </c>
      <c r="B232" s="115" t="s">
        <v>11866</v>
      </c>
      <c r="C232" s="114" t="s">
        <v>11886</v>
      </c>
      <c r="D232" s="115" t="s">
        <v>11887</v>
      </c>
    </row>
    <row r="233" spans="1:4" ht="14.15" customHeight="1" x14ac:dyDescent="0.35">
      <c r="A233" s="114" t="s">
        <v>2420</v>
      </c>
      <c r="B233" s="115" t="s">
        <v>11866</v>
      </c>
      <c r="C233" s="114" t="s">
        <v>11888</v>
      </c>
      <c r="D233" s="115" t="s">
        <v>11889</v>
      </c>
    </row>
    <row r="234" spans="1:4" ht="14.15" customHeight="1" x14ac:dyDescent="0.35">
      <c r="A234" s="114" t="s">
        <v>2420</v>
      </c>
      <c r="B234" s="115" t="s">
        <v>11866</v>
      </c>
      <c r="C234" s="114" t="s">
        <v>11890</v>
      </c>
      <c r="D234" s="115" t="s">
        <v>11891</v>
      </c>
    </row>
    <row r="235" spans="1:4" ht="14.15" customHeight="1" x14ac:dyDescent="0.35">
      <c r="A235" s="114" t="s">
        <v>2420</v>
      </c>
      <c r="B235" s="115" t="s">
        <v>11866</v>
      </c>
      <c r="C235" s="114" t="s">
        <v>11892</v>
      </c>
      <c r="D235" s="115" t="s">
        <v>11893</v>
      </c>
    </row>
    <row r="236" spans="1:4" ht="14.15" customHeight="1" x14ac:dyDescent="0.35">
      <c r="A236" s="114" t="s">
        <v>2420</v>
      </c>
      <c r="B236" s="115" t="s">
        <v>11866</v>
      </c>
      <c r="C236" s="114" t="s">
        <v>11894</v>
      </c>
      <c r="D236" s="115" t="s">
        <v>11895</v>
      </c>
    </row>
    <row r="237" spans="1:4" ht="14.15" customHeight="1" x14ac:dyDescent="0.35">
      <c r="A237" s="114" t="s">
        <v>2420</v>
      </c>
      <c r="B237" s="115" t="s">
        <v>11866</v>
      </c>
      <c r="C237" s="114" t="s">
        <v>11896</v>
      </c>
      <c r="D237" s="115" t="s">
        <v>11897</v>
      </c>
    </row>
    <row r="238" spans="1:4" ht="14.15" customHeight="1" x14ac:dyDescent="0.35">
      <c r="A238" s="114" t="s">
        <v>2420</v>
      </c>
      <c r="B238" s="115" t="s">
        <v>11866</v>
      </c>
      <c r="C238" s="114" t="s">
        <v>11898</v>
      </c>
      <c r="D238" s="115" t="s">
        <v>11899</v>
      </c>
    </row>
    <row r="239" spans="1:4" ht="14.15" customHeight="1" x14ac:dyDescent="0.35">
      <c r="A239" s="114" t="s">
        <v>2420</v>
      </c>
      <c r="B239" s="115" t="s">
        <v>11866</v>
      </c>
      <c r="C239" s="114" t="s">
        <v>11900</v>
      </c>
      <c r="D239" s="115" t="s">
        <v>11901</v>
      </c>
    </row>
    <row r="240" spans="1:4" ht="14.15" customHeight="1" x14ac:dyDescent="0.35">
      <c r="A240" s="114" t="s">
        <v>2420</v>
      </c>
      <c r="B240" s="115" t="s">
        <v>11866</v>
      </c>
      <c r="C240" s="114" t="s">
        <v>11902</v>
      </c>
      <c r="D240" s="115" t="s">
        <v>11903</v>
      </c>
    </row>
    <row r="241" spans="1:4" ht="14.15" customHeight="1" x14ac:dyDescent="0.35">
      <c r="A241" s="114" t="s">
        <v>2420</v>
      </c>
      <c r="B241" s="115" t="s">
        <v>11866</v>
      </c>
      <c r="C241" s="114" t="s">
        <v>11904</v>
      </c>
      <c r="D241" s="115" t="s">
        <v>11905</v>
      </c>
    </row>
    <row r="242" spans="1:4" ht="14.15" customHeight="1" x14ac:dyDescent="0.35">
      <c r="A242" s="114" t="s">
        <v>2420</v>
      </c>
      <c r="B242" s="115" t="s">
        <v>11866</v>
      </c>
      <c r="C242" s="114" t="s">
        <v>11906</v>
      </c>
      <c r="D242" s="115" t="s">
        <v>11907</v>
      </c>
    </row>
    <row r="243" spans="1:4" ht="14.15" customHeight="1" x14ac:dyDescent="0.35">
      <c r="A243" s="114" t="s">
        <v>11908</v>
      </c>
      <c r="B243" s="115" t="s">
        <v>11909</v>
      </c>
      <c r="C243" s="114" t="s">
        <v>11910</v>
      </c>
      <c r="D243" s="115" t="s">
        <v>11911</v>
      </c>
    </row>
    <row r="244" spans="1:4" ht="14.15" customHeight="1" x14ac:dyDescent="0.35">
      <c r="A244" s="114" t="s">
        <v>11908</v>
      </c>
      <c r="B244" s="115" t="s">
        <v>11909</v>
      </c>
      <c r="C244" s="114" t="s">
        <v>11912</v>
      </c>
      <c r="D244" s="115" t="s">
        <v>11913</v>
      </c>
    </row>
    <row r="245" spans="1:4" ht="14.15" customHeight="1" x14ac:dyDescent="0.35">
      <c r="A245" s="114" t="s">
        <v>2379</v>
      </c>
      <c r="B245" s="115" t="s">
        <v>11914</v>
      </c>
      <c r="C245" s="114" t="s">
        <v>11915</v>
      </c>
      <c r="D245" s="115" t="s">
        <v>11916</v>
      </c>
    </row>
    <row r="246" spans="1:4" ht="14.15" customHeight="1" x14ac:dyDescent="0.35">
      <c r="A246" s="114" t="s">
        <v>2379</v>
      </c>
      <c r="B246" s="115" t="s">
        <v>11914</v>
      </c>
      <c r="C246" s="114" t="s">
        <v>11917</v>
      </c>
      <c r="D246" s="115" t="s">
        <v>11918</v>
      </c>
    </row>
    <row r="247" spans="1:4" ht="14.15" customHeight="1" x14ac:dyDescent="0.35">
      <c r="A247" s="114" t="s">
        <v>2379</v>
      </c>
      <c r="B247" s="115" t="s">
        <v>11914</v>
      </c>
      <c r="C247" s="114" t="s">
        <v>11919</v>
      </c>
      <c r="D247" s="115" t="s">
        <v>11920</v>
      </c>
    </row>
    <row r="248" spans="1:4" ht="14.15" customHeight="1" x14ac:dyDescent="0.35">
      <c r="A248" s="114" t="s">
        <v>11921</v>
      </c>
      <c r="B248" s="115" t="s">
        <v>11922</v>
      </c>
      <c r="C248" s="114" t="s">
        <v>11923</v>
      </c>
      <c r="D248" s="115" t="s">
        <v>11924</v>
      </c>
    </row>
    <row r="249" spans="1:4" ht="14.15" customHeight="1" x14ac:dyDescent="0.35">
      <c r="A249" s="114" t="s">
        <v>11921</v>
      </c>
      <c r="B249" s="115" t="s">
        <v>11922</v>
      </c>
      <c r="C249" s="114" t="s">
        <v>11925</v>
      </c>
      <c r="D249" s="115" t="s">
        <v>11926</v>
      </c>
    </row>
    <row r="250" spans="1:4" ht="14.15" customHeight="1" x14ac:dyDescent="0.35">
      <c r="A250" s="114" t="s">
        <v>11921</v>
      </c>
      <c r="B250" s="115" t="s">
        <v>11922</v>
      </c>
      <c r="C250" s="114" t="s">
        <v>11927</v>
      </c>
      <c r="D250" s="115" t="s">
        <v>11928</v>
      </c>
    </row>
    <row r="251" spans="1:4" ht="14.15" customHeight="1" x14ac:dyDescent="0.35">
      <c r="A251" s="114" t="s">
        <v>11929</v>
      </c>
      <c r="B251" s="115" t="s">
        <v>11930</v>
      </c>
      <c r="C251" s="114" t="s">
        <v>11931</v>
      </c>
      <c r="D251" s="115" t="s">
        <v>11932</v>
      </c>
    </row>
    <row r="252" spans="1:4" ht="14.15" customHeight="1" x14ac:dyDescent="0.35">
      <c r="A252" s="114" t="s">
        <v>11929</v>
      </c>
      <c r="B252" s="115" t="s">
        <v>11930</v>
      </c>
      <c r="C252" s="114" t="s">
        <v>11933</v>
      </c>
      <c r="D252" s="115" t="s">
        <v>11934</v>
      </c>
    </row>
    <row r="253" spans="1:4" ht="14.15" customHeight="1" x14ac:dyDescent="0.35">
      <c r="A253" s="114" t="s">
        <v>11935</v>
      </c>
      <c r="B253" s="115" t="s">
        <v>11936</v>
      </c>
      <c r="C253" s="114" t="s">
        <v>11937</v>
      </c>
      <c r="D253" s="115" t="s">
        <v>11938</v>
      </c>
    </row>
    <row r="254" spans="1:4" ht="14.15" customHeight="1" x14ac:dyDescent="0.35">
      <c r="A254" s="114" t="s">
        <v>11935</v>
      </c>
      <c r="B254" s="115" t="s">
        <v>11936</v>
      </c>
      <c r="C254" s="114" t="s">
        <v>11939</v>
      </c>
      <c r="D254" s="115" t="s">
        <v>11940</v>
      </c>
    </row>
    <row r="255" spans="1:4" ht="14.15" customHeight="1" x14ac:dyDescent="0.35">
      <c r="A255" s="354" t="s">
        <v>11941</v>
      </c>
      <c r="B255" s="118" t="s">
        <v>11942</v>
      </c>
      <c r="C255" s="117" t="s">
        <v>11943</v>
      </c>
      <c r="D255" s="118" t="s">
        <v>11944</v>
      </c>
    </row>
    <row r="256" spans="1:4" ht="14.15" customHeight="1" x14ac:dyDescent="0.35">
      <c r="A256" s="114" t="s">
        <v>11945</v>
      </c>
      <c r="B256" s="115" t="s">
        <v>11946</v>
      </c>
      <c r="C256" s="114" t="s">
        <v>11947</v>
      </c>
      <c r="D256" s="115" t="s">
        <v>11948</v>
      </c>
    </row>
    <row r="257" spans="1:4" ht="14.15" customHeight="1" x14ac:dyDescent="0.35">
      <c r="A257" s="354" t="s">
        <v>11945</v>
      </c>
      <c r="B257" s="118" t="s">
        <v>11946</v>
      </c>
      <c r="C257" s="117" t="s">
        <v>11949</v>
      </c>
      <c r="D257" s="118" t="s">
        <v>11950</v>
      </c>
    </row>
    <row r="258" spans="1:4" ht="14.15" customHeight="1" x14ac:dyDescent="0.35">
      <c r="A258" s="114" t="s">
        <v>11951</v>
      </c>
      <c r="B258" s="115" t="s">
        <v>11952</v>
      </c>
      <c r="C258" s="114" t="s">
        <v>11953</v>
      </c>
      <c r="D258" s="115" t="s">
        <v>11954</v>
      </c>
    </row>
    <row r="259" spans="1:4" ht="14.15" customHeight="1" x14ac:dyDescent="0.35">
      <c r="A259" s="114" t="s">
        <v>11951</v>
      </c>
      <c r="B259" s="115" t="s">
        <v>11952</v>
      </c>
      <c r="C259" s="114" t="s">
        <v>11955</v>
      </c>
      <c r="D259" s="115" t="s">
        <v>11956</v>
      </c>
    </row>
    <row r="260" spans="1:4" ht="14.15" customHeight="1" x14ac:dyDescent="0.35">
      <c r="A260" s="114" t="s">
        <v>11951</v>
      </c>
      <c r="B260" s="115" t="s">
        <v>11952</v>
      </c>
      <c r="C260" s="114" t="s">
        <v>11957</v>
      </c>
      <c r="D260" s="115" t="s">
        <v>11958</v>
      </c>
    </row>
    <row r="261" spans="1:4" ht="14.15" customHeight="1" x14ac:dyDescent="0.35">
      <c r="A261" s="114" t="s">
        <v>11951</v>
      </c>
      <c r="B261" s="115" t="s">
        <v>11952</v>
      </c>
      <c r="C261" s="114" t="s">
        <v>11959</v>
      </c>
      <c r="D261" s="115" t="s">
        <v>11960</v>
      </c>
    </row>
    <row r="262" spans="1:4" ht="14.15" customHeight="1" x14ac:dyDescent="0.35">
      <c r="A262" s="114" t="s">
        <v>11951</v>
      </c>
      <c r="B262" s="115" t="s">
        <v>11952</v>
      </c>
      <c r="C262" s="114" t="s">
        <v>11961</v>
      </c>
      <c r="D262" s="115" t="s">
        <v>11962</v>
      </c>
    </row>
    <row r="263" spans="1:4" ht="14.15" customHeight="1" x14ac:dyDescent="0.35">
      <c r="A263" s="114" t="s">
        <v>11951</v>
      </c>
      <c r="B263" s="115" t="s">
        <v>11952</v>
      </c>
      <c r="C263" s="114" t="s">
        <v>11963</v>
      </c>
      <c r="D263" s="115" t="s">
        <v>11964</v>
      </c>
    </row>
    <row r="264" spans="1:4" ht="14.15" customHeight="1" x14ac:dyDescent="0.35">
      <c r="A264" s="114" t="s">
        <v>11951</v>
      </c>
      <c r="B264" s="115" t="s">
        <v>11952</v>
      </c>
      <c r="C264" s="114" t="s">
        <v>11965</v>
      </c>
      <c r="D264" s="115" t="s">
        <v>11966</v>
      </c>
    </row>
    <row r="265" spans="1:4" ht="14.15" customHeight="1" x14ac:dyDescent="0.35">
      <c r="A265" s="114" t="s">
        <v>11951</v>
      </c>
      <c r="B265" s="115" t="s">
        <v>11952</v>
      </c>
      <c r="C265" s="114" t="s">
        <v>11967</v>
      </c>
      <c r="D265" s="115" t="s">
        <v>11968</v>
      </c>
    </row>
    <row r="266" spans="1:4" ht="14.15" customHeight="1" x14ac:dyDescent="0.35">
      <c r="A266" s="114" t="s">
        <v>11951</v>
      </c>
      <c r="B266" s="115" t="s">
        <v>11952</v>
      </c>
      <c r="C266" s="114" t="s">
        <v>11969</v>
      </c>
      <c r="D266" s="115" t="s">
        <v>11970</v>
      </c>
    </row>
    <row r="267" spans="1:4" ht="14.15" customHeight="1" x14ac:dyDescent="0.35">
      <c r="A267" s="158" t="s">
        <v>11951</v>
      </c>
      <c r="B267" s="115" t="s">
        <v>11952</v>
      </c>
      <c r="C267" s="114" t="s">
        <v>11971</v>
      </c>
      <c r="D267" s="157" t="s">
        <v>11972</v>
      </c>
    </row>
    <row r="268" spans="1:4" ht="14.15" customHeight="1" x14ac:dyDescent="0.35">
      <c r="A268" s="114" t="s">
        <v>11951</v>
      </c>
      <c r="B268" s="115" t="s">
        <v>11952</v>
      </c>
      <c r="C268" s="114" t="s">
        <v>11973</v>
      </c>
      <c r="D268" s="115" t="s">
        <v>11974</v>
      </c>
    </row>
    <row r="269" spans="1:4" ht="14.15" customHeight="1" x14ac:dyDescent="0.35">
      <c r="A269" s="114" t="s">
        <v>11975</v>
      </c>
      <c r="B269" s="115" t="s">
        <v>11976</v>
      </c>
      <c r="C269" s="114" t="s">
        <v>11977</v>
      </c>
      <c r="D269" s="115" t="s">
        <v>11978</v>
      </c>
    </row>
    <row r="270" spans="1:4" ht="14.15" customHeight="1" x14ac:dyDescent="0.35">
      <c r="A270" s="114" t="s">
        <v>2290</v>
      </c>
      <c r="B270" s="115" t="s">
        <v>11979</v>
      </c>
      <c r="C270" s="114" t="s">
        <v>11980</v>
      </c>
      <c r="D270" s="115" t="s">
        <v>11981</v>
      </c>
    </row>
    <row r="271" spans="1:4" ht="14.15" customHeight="1" x14ac:dyDescent="0.35">
      <c r="A271" s="114" t="s">
        <v>11982</v>
      </c>
      <c r="B271" s="115" t="s">
        <v>11983</v>
      </c>
      <c r="C271" s="114" t="s">
        <v>11984</v>
      </c>
      <c r="D271" s="115" t="s">
        <v>11985</v>
      </c>
    </row>
    <row r="272" spans="1:4" ht="14.15" customHeight="1" x14ac:dyDescent="0.35">
      <c r="A272" s="114" t="s">
        <v>11982</v>
      </c>
      <c r="B272" s="115" t="s">
        <v>11983</v>
      </c>
      <c r="C272" s="114" t="s">
        <v>11986</v>
      </c>
      <c r="D272" s="115" t="s">
        <v>11987</v>
      </c>
    </row>
    <row r="273" spans="1:4" ht="14.15" customHeight="1" x14ac:dyDescent="0.35">
      <c r="A273" s="114" t="s">
        <v>11982</v>
      </c>
      <c r="B273" s="115" t="s">
        <v>11983</v>
      </c>
      <c r="C273" s="114" t="s">
        <v>11988</v>
      </c>
      <c r="D273" s="115" t="s">
        <v>11989</v>
      </c>
    </row>
    <row r="274" spans="1:4" ht="14.15" customHeight="1" x14ac:dyDescent="0.35">
      <c r="A274" s="114" t="s">
        <v>11982</v>
      </c>
      <c r="B274" s="115" t="s">
        <v>11983</v>
      </c>
      <c r="C274" s="114" t="s">
        <v>11990</v>
      </c>
      <c r="D274" s="115" t="s">
        <v>11991</v>
      </c>
    </row>
    <row r="275" spans="1:4" ht="14.15" customHeight="1" x14ac:dyDescent="0.35">
      <c r="A275" s="114" t="s">
        <v>11982</v>
      </c>
      <c r="B275" s="115" t="s">
        <v>11983</v>
      </c>
      <c r="C275" s="114" t="s">
        <v>11992</v>
      </c>
      <c r="D275" s="115" t="s">
        <v>11993</v>
      </c>
    </row>
    <row r="276" spans="1:4" ht="14.15" customHeight="1" x14ac:dyDescent="0.35">
      <c r="A276" s="114" t="s">
        <v>11982</v>
      </c>
      <c r="B276" s="115" t="s">
        <v>11983</v>
      </c>
      <c r="C276" s="114" t="s">
        <v>11994</v>
      </c>
      <c r="D276" s="115" t="s">
        <v>11995</v>
      </c>
    </row>
    <row r="277" spans="1:4" ht="14.15" customHeight="1" x14ac:dyDescent="0.35">
      <c r="A277" s="114" t="s">
        <v>11996</v>
      </c>
      <c r="B277" s="115" t="s">
        <v>11997</v>
      </c>
      <c r="C277" s="114" t="s">
        <v>11998</v>
      </c>
      <c r="D277" s="115" t="s">
        <v>11999</v>
      </c>
    </row>
    <row r="278" spans="1:4" ht="14.15" customHeight="1" x14ac:dyDescent="0.35">
      <c r="A278" s="114" t="s">
        <v>11996</v>
      </c>
      <c r="B278" s="115" t="s">
        <v>11997</v>
      </c>
      <c r="C278" s="114" t="s">
        <v>12000</v>
      </c>
      <c r="D278" s="115" t="s">
        <v>12001</v>
      </c>
    </row>
    <row r="279" spans="1:4" ht="14.15" customHeight="1" x14ac:dyDescent="0.35">
      <c r="A279" s="114" t="s">
        <v>11996</v>
      </c>
      <c r="B279" s="115" t="s">
        <v>11997</v>
      </c>
      <c r="C279" s="114" t="s">
        <v>12002</v>
      </c>
      <c r="D279" s="115" t="s">
        <v>12003</v>
      </c>
    </row>
    <row r="280" spans="1:4" ht="14.15" customHeight="1" x14ac:dyDescent="0.35">
      <c r="A280" s="114" t="s">
        <v>11996</v>
      </c>
      <c r="B280" s="115" t="s">
        <v>11997</v>
      </c>
      <c r="C280" s="114" t="s">
        <v>12004</v>
      </c>
      <c r="D280" s="115" t="s">
        <v>12005</v>
      </c>
    </row>
    <row r="281" spans="1:4" ht="14.15" customHeight="1" x14ac:dyDescent="0.35">
      <c r="A281" s="114" t="s">
        <v>12006</v>
      </c>
      <c r="B281" s="115" t="s">
        <v>12007</v>
      </c>
      <c r="C281" s="114" t="s">
        <v>12008</v>
      </c>
      <c r="D281" s="115" t="s">
        <v>12009</v>
      </c>
    </row>
    <row r="282" spans="1:4" ht="14.15" customHeight="1" x14ac:dyDescent="0.35">
      <c r="A282" s="158" t="s">
        <v>12010</v>
      </c>
      <c r="B282" s="157" t="s">
        <v>12011</v>
      </c>
      <c r="C282" s="114" t="s">
        <v>12012</v>
      </c>
      <c r="D282" s="115" t="s">
        <v>12013</v>
      </c>
    </row>
    <row r="283" spans="1:4" ht="14.15" customHeight="1" x14ac:dyDescent="0.35">
      <c r="A283" s="114" t="s">
        <v>12014</v>
      </c>
      <c r="B283" s="115" t="s">
        <v>12015</v>
      </c>
      <c r="C283" s="114" t="s">
        <v>12016</v>
      </c>
      <c r="D283" s="115" t="s">
        <v>12017</v>
      </c>
    </row>
    <row r="284" spans="1:4" ht="14.15" customHeight="1" x14ac:dyDescent="0.35">
      <c r="A284" s="114" t="s">
        <v>12014</v>
      </c>
      <c r="B284" s="115" t="s">
        <v>12015</v>
      </c>
      <c r="C284" s="114" t="s">
        <v>11219</v>
      </c>
      <c r="D284" s="115" t="s">
        <v>12018</v>
      </c>
    </row>
    <row r="285" spans="1:4" ht="14.15" customHeight="1" x14ac:dyDescent="0.35">
      <c r="A285" s="114" t="s">
        <v>12014</v>
      </c>
      <c r="B285" s="115" t="s">
        <v>12015</v>
      </c>
      <c r="C285" s="114" t="s">
        <v>12019</v>
      </c>
      <c r="D285" s="115" t="s">
        <v>12020</v>
      </c>
    </row>
    <row r="286" spans="1:4" ht="14.15" customHeight="1" x14ac:dyDescent="0.35">
      <c r="A286" s="114" t="s">
        <v>12014</v>
      </c>
      <c r="B286" s="115" t="s">
        <v>12015</v>
      </c>
      <c r="C286" s="114" t="s">
        <v>12021</v>
      </c>
      <c r="D286" s="115" t="s">
        <v>12022</v>
      </c>
    </row>
    <row r="287" spans="1:4" ht="14.15" customHeight="1" x14ac:dyDescent="0.35">
      <c r="A287" s="114" t="s">
        <v>12014</v>
      </c>
      <c r="B287" s="115" t="s">
        <v>12015</v>
      </c>
      <c r="C287" s="114" t="s">
        <v>12023</v>
      </c>
      <c r="D287" s="115" t="s">
        <v>12024</v>
      </c>
    </row>
    <row r="288" spans="1:4" ht="14.15" customHeight="1" x14ac:dyDescent="0.35">
      <c r="A288" s="114" t="s">
        <v>12014</v>
      </c>
      <c r="B288" s="115" t="s">
        <v>12015</v>
      </c>
      <c r="C288" s="114" t="s">
        <v>12025</v>
      </c>
      <c r="D288" s="115" t="s">
        <v>12026</v>
      </c>
    </row>
    <row r="289" spans="1:4" ht="14.15" customHeight="1" x14ac:dyDescent="0.35">
      <c r="A289" s="114" t="s">
        <v>12014</v>
      </c>
      <c r="B289" s="115" t="s">
        <v>12015</v>
      </c>
      <c r="C289" s="114" t="s">
        <v>12027</v>
      </c>
      <c r="D289" s="115" t="s">
        <v>12028</v>
      </c>
    </row>
    <row r="290" spans="1:4" ht="14.15" customHeight="1" x14ac:dyDescent="0.35">
      <c r="A290" s="114" t="s">
        <v>12014</v>
      </c>
      <c r="B290" s="115" t="s">
        <v>12015</v>
      </c>
      <c r="C290" s="114" t="s">
        <v>12029</v>
      </c>
      <c r="D290" s="115" t="s">
        <v>12030</v>
      </c>
    </row>
    <row r="291" spans="1:4" ht="14.15" customHeight="1" x14ac:dyDescent="0.35">
      <c r="A291" s="114" t="s">
        <v>12014</v>
      </c>
      <c r="B291" s="115" t="s">
        <v>12015</v>
      </c>
      <c r="C291" s="114" t="s">
        <v>12031</v>
      </c>
      <c r="D291" s="115" t="s">
        <v>12030</v>
      </c>
    </row>
    <row r="292" spans="1:4" ht="14.15" customHeight="1" x14ac:dyDescent="0.35">
      <c r="A292" s="114" t="s">
        <v>12014</v>
      </c>
      <c r="B292" s="115" t="s">
        <v>12015</v>
      </c>
      <c r="C292" s="114" t="s">
        <v>12032</v>
      </c>
      <c r="D292" s="115" t="s">
        <v>12033</v>
      </c>
    </row>
    <row r="293" spans="1:4" ht="14.15" customHeight="1" x14ac:dyDescent="0.35">
      <c r="A293" s="114" t="s">
        <v>12034</v>
      </c>
      <c r="B293" s="115" t="s">
        <v>12035</v>
      </c>
      <c r="C293" s="114" t="s">
        <v>12036</v>
      </c>
      <c r="D293" s="115" t="s">
        <v>12037</v>
      </c>
    </row>
    <row r="294" spans="1:4" ht="14.15" customHeight="1" x14ac:dyDescent="0.35">
      <c r="A294" s="114" t="s">
        <v>12034</v>
      </c>
      <c r="B294" s="115" t="s">
        <v>12035</v>
      </c>
      <c r="C294" s="114" t="s">
        <v>12038</v>
      </c>
      <c r="D294" s="115" t="s">
        <v>12039</v>
      </c>
    </row>
    <row r="295" spans="1:4" ht="14.15" customHeight="1" x14ac:dyDescent="0.35">
      <c r="A295" s="114" t="s">
        <v>12034</v>
      </c>
      <c r="B295" s="115" t="s">
        <v>12035</v>
      </c>
      <c r="C295" s="114" t="s">
        <v>12040</v>
      </c>
      <c r="D295" s="115" t="s">
        <v>12041</v>
      </c>
    </row>
    <row r="296" spans="1:4" ht="14.15" customHeight="1" x14ac:dyDescent="0.35">
      <c r="A296" s="114" t="s">
        <v>12034</v>
      </c>
      <c r="B296" s="115" t="s">
        <v>12035</v>
      </c>
      <c r="C296" s="114" t="s">
        <v>12042</v>
      </c>
      <c r="D296" s="115" t="s">
        <v>12043</v>
      </c>
    </row>
    <row r="297" spans="1:4" ht="14.15" customHeight="1" x14ac:dyDescent="0.35">
      <c r="A297" s="114" t="s">
        <v>12034</v>
      </c>
      <c r="B297" s="115" t="s">
        <v>12035</v>
      </c>
      <c r="C297" s="114" t="s">
        <v>12044</v>
      </c>
      <c r="D297" s="115" t="s">
        <v>12045</v>
      </c>
    </row>
    <row r="298" spans="1:4" ht="14.15" customHeight="1" x14ac:dyDescent="0.35">
      <c r="A298" s="114" t="s">
        <v>12034</v>
      </c>
      <c r="B298" s="115" t="s">
        <v>12035</v>
      </c>
      <c r="C298" s="114" t="s">
        <v>12046</v>
      </c>
      <c r="D298" s="115" t="s">
        <v>12047</v>
      </c>
    </row>
    <row r="299" spans="1:4" ht="14.15" customHeight="1" x14ac:dyDescent="0.35">
      <c r="A299" s="114" t="s">
        <v>12048</v>
      </c>
      <c r="B299" s="115" t="s">
        <v>12049</v>
      </c>
      <c r="C299" s="114" t="s">
        <v>12050</v>
      </c>
      <c r="D299" s="115" t="s">
        <v>12051</v>
      </c>
    </row>
    <row r="300" spans="1:4" ht="14.15" customHeight="1" x14ac:dyDescent="0.35">
      <c r="A300" s="114" t="s">
        <v>12052</v>
      </c>
      <c r="B300" s="115" t="s">
        <v>12053</v>
      </c>
      <c r="C300" s="114" t="s">
        <v>12054</v>
      </c>
      <c r="D300" s="115" t="s">
        <v>12055</v>
      </c>
    </row>
    <row r="301" spans="1:4" ht="14.15" customHeight="1" x14ac:dyDescent="0.35">
      <c r="A301" s="114" t="s">
        <v>12052</v>
      </c>
      <c r="B301" s="115" t="s">
        <v>12053</v>
      </c>
      <c r="C301" s="114" t="s">
        <v>12056</v>
      </c>
      <c r="D301" s="115" t="s">
        <v>12057</v>
      </c>
    </row>
    <row r="302" spans="1:4" ht="14.15" customHeight="1" x14ac:dyDescent="0.35">
      <c r="A302" s="114" t="s">
        <v>12052</v>
      </c>
      <c r="B302" s="115" t="s">
        <v>12053</v>
      </c>
      <c r="C302" s="114" t="s">
        <v>12058</v>
      </c>
      <c r="D302" s="115" t="s">
        <v>12059</v>
      </c>
    </row>
    <row r="303" spans="1:4" ht="14.15" customHeight="1" x14ac:dyDescent="0.35">
      <c r="A303" s="114" t="s">
        <v>12060</v>
      </c>
      <c r="B303" s="115" t="s">
        <v>12061</v>
      </c>
      <c r="C303" s="114" t="s">
        <v>12062</v>
      </c>
      <c r="D303" s="115" t="s">
        <v>12063</v>
      </c>
    </row>
    <row r="304" spans="1:4" ht="14.15" customHeight="1" x14ac:dyDescent="0.35">
      <c r="A304" s="354" t="s">
        <v>12064</v>
      </c>
      <c r="B304" s="118" t="s">
        <v>12065</v>
      </c>
      <c r="C304" s="117" t="s">
        <v>12066</v>
      </c>
      <c r="D304" s="118" t="s">
        <v>12067</v>
      </c>
    </row>
    <row r="305" spans="1:4" ht="14.15" customHeight="1" x14ac:dyDescent="0.35">
      <c r="A305" s="114" t="s">
        <v>12068</v>
      </c>
      <c r="B305" s="115" t="s">
        <v>12069</v>
      </c>
      <c r="C305" s="114" t="s">
        <v>12070</v>
      </c>
      <c r="D305" s="115" t="s">
        <v>12071</v>
      </c>
    </row>
    <row r="306" spans="1:4" ht="14.15" customHeight="1" x14ac:dyDescent="0.35">
      <c r="A306" s="114" t="s">
        <v>12072</v>
      </c>
      <c r="B306" s="115" t="s">
        <v>12073</v>
      </c>
      <c r="C306" s="114" t="s">
        <v>12074</v>
      </c>
      <c r="D306" s="115" t="s">
        <v>12075</v>
      </c>
    </row>
    <row r="307" spans="1:4" ht="14.15" customHeight="1" x14ac:dyDescent="0.35">
      <c r="A307" s="114" t="s">
        <v>12076</v>
      </c>
      <c r="B307" s="115" t="s">
        <v>12077</v>
      </c>
      <c r="C307" s="114" t="s">
        <v>12078</v>
      </c>
      <c r="D307" s="115" t="s">
        <v>12079</v>
      </c>
    </row>
    <row r="308" spans="1:4" ht="14.15" customHeight="1" x14ac:dyDescent="0.35">
      <c r="A308" s="114" t="s">
        <v>2434</v>
      </c>
      <c r="B308" s="115" t="s">
        <v>12080</v>
      </c>
      <c r="C308" s="114" t="s">
        <v>12081</v>
      </c>
      <c r="D308" s="115" t="s">
        <v>12082</v>
      </c>
    </row>
    <row r="309" spans="1:4" ht="14.15" customHeight="1" x14ac:dyDescent="0.35">
      <c r="A309" s="114" t="s">
        <v>2434</v>
      </c>
      <c r="B309" s="115" t="s">
        <v>12080</v>
      </c>
      <c r="C309" s="114" t="s">
        <v>11339</v>
      </c>
      <c r="D309" s="115" t="s">
        <v>12083</v>
      </c>
    </row>
    <row r="310" spans="1:4" ht="14.15" customHeight="1" x14ac:dyDescent="0.35">
      <c r="A310" s="114" t="s">
        <v>12084</v>
      </c>
      <c r="B310" s="115" t="s">
        <v>12085</v>
      </c>
      <c r="C310" s="114" t="s">
        <v>12086</v>
      </c>
      <c r="D310" s="115" t="s">
        <v>12087</v>
      </c>
    </row>
    <row r="311" spans="1:4" ht="14.15" customHeight="1" x14ac:dyDescent="0.35">
      <c r="A311" s="114" t="s">
        <v>12084</v>
      </c>
      <c r="B311" s="115" t="s">
        <v>12085</v>
      </c>
      <c r="C311" s="114" t="s">
        <v>12088</v>
      </c>
      <c r="D311" s="115" t="s">
        <v>12089</v>
      </c>
    </row>
    <row r="312" spans="1:4" ht="14.15" customHeight="1" x14ac:dyDescent="0.35">
      <c r="A312" s="114" t="s">
        <v>12084</v>
      </c>
      <c r="B312" s="115" t="s">
        <v>12085</v>
      </c>
      <c r="C312" s="114" t="s">
        <v>12090</v>
      </c>
      <c r="D312" s="115" t="s">
        <v>12091</v>
      </c>
    </row>
    <row r="313" spans="1:4" ht="14.15" customHeight="1" x14ac:dyDescent="0.35">
      <c r="A313" s="114" t="s">
        <v>12084</v>
      </c>
      <c r="B313" s="115" t="s">
        <v>12085</v>
      </c>
      <c r="C313" s="114" t="s">
        <v>12092</v>
      </c>
      <c r="D313" s="115" t="s">
        <v>12093</v>
      </c>
    </row>
    <row r="314" spans="1:4" ht="14.15" customHeight="1" x14ac:dyDescent="0.35">
      <c r="A314" s="114" t="s">
        <v>2365</v>
      </c>
      <c r="B314" s="115" t="s">
        <v>12094</v>
      </c>
      <c r="C314" s="114" t="s">
        <v>12095</v>
      </c>
      <c r="D314" s="115" t="s">
        <v>12096</v>
      </c>
    </row>
    <row r="315" spans="1:4" ht="14.15" customHeight="1" x14ac:dyDescent="0.35">
      <c r="A315" s="114" t="s">
        <v>2365</v>
      </c>
      <c r="B315" s="115" t="s">
        <v>12094</v>
      </c>
      <c r="C315" s="114" t="s">
        <v>12097</v>
      </c>
      <c r="D315" s="115" t="s">
        <v>12098</v>
      </c>
    </row>
    <row r="316" spans="1:4" ht="14.15" customHeight="1" x14ac:dyDescent="0.35">
      <c r="A316" s="114" t="s">
        <v>2365</v>
      </c>
      <c r="B316" s="115" t="s">
        <v>12094</v>
      </c>
      <c r="C316" s="114" t="s">
        <v>12099</v>
      </c>
      <c r="D316" s="115" t="s">
        <v>12100</v>
      </c>
    </row>
    <row r="317" spans="1:4" ht="14.15" customHeight="1" x14ac:dyDescent="0.35">
      <c r="A317" s="114" t="s">
        <v>2365</v>
      </c>
      <c r="B317" s="115" t="s">
        <v>12094</v>
      </c>
      <c r="C317" s="114" t="s">
        <v>12101</v>
      </c>
      <c r="D317" s="115" t="s">
        <v>12102</v>
      </c>
    </row>
    <row r="318" spans="1:4" ht="14.15" customHeight="1" x14ac:dyDescent="0.35">
      <c r="A318" s="114" t="s">
        <v>12103</v>
      </c>
      <c r="B318" s="115" t="s">
        <v>12104</v>
      </c>
      <c r="C318" s="114" t="s">
        <v>12105</v>
      </c>
      <c r="D318" s="115" t="s">
        <v>12106</v>
      </c>
    </row>
    <row r="319" spans="1:4" ht="14.15" customHeight="1" x14ac:dyDescent="0.35">
      <c r="A319" s="114" t="s">
        <v>12103</v>
      </c>
      <c r="B319" s="115" t="s">
        <v>12104</v>
      </c>
      <c r="C319" s="114" t="s">
        <v>12107</v>
      </c>
      <c r="D319" s="115" t="s">
        <v>12108</v>
      </c>
    </row>
    <row r="320" spans="1:4" ht="14.15" customHeight="1" x14ac:dyDescent="0.35">
      <c r="A320" s="114" t="s">
        <v>12103</v>
      </c>
      <c r="B320" s="115" t="s">
        <v>12104</v>
      </c>
      <c r="C320" s="114" t="s">
        <v>12109</v>
      </c>
      <c r="D320" s="115" t="s">
        <v>12110</v>
      </c>
    </row>
    <row r="321" spans="1:4" ht="14.15" customHeight="1" x14ac:dyDescent="0.35">
      <c r="A321" s="114" t="s">
        <v>12103</v>
      </c>
      <c r="B321" s="115" t="s">
        <v>12104</v>
      </c>
      <c r="C321" s="114" t="s">
        <v>12111</v>
      </c>
      <c r="D321" s="115" t="s">
        <v>12112</v>
      </c>
    </row>
    <row r="322" spans="1:4" ht="14.15" customHeight="1" x14ac:dyDescent="0.35">
      <c r="A322" s="114" t="s">
        <v>2367</v>
      </c>
      <c r="B322" s="115" t="s">
        <v>12113</v>
      </c>
      <c r="C322" s="114" t="s">
        <v>12114</v>
      </c>
      <c r="D322" s="115" t="s">
        <v>12115</v>
      </c>
    </row>
    <row r="323" spans="1:4" s="353" customFormat="1" ht="14.15" customHeight="1" x14ac:dyDescent="0.35">
      <c r="A323" s="354" t="s">
        <v>2367</v>
      </c>
      <c r="B323" s="118" t="s">
        <v>12113</v>
      </c>
      <c r="C323" s="117" t="s">
        <v>12116</v>
      </c>
      <c r="D323" s="118" t="s">
        <v>12117</v>
      </c>
    </row>
    <row r="324" spans="1:4" ht="14.15" customHeight="1" x14ac:dyDescent="0.35">
      <c r="A324" s="114" t="s">
        <v>2367</v>
      </c>
      <c r="B324" s="115" t="s">
        <v>12113</v>
      </c>
      <c r="C324" s="114" t="s">
        <v>12118</v>
      </c>
      <c r="D324" s="115" t="s">
        <v>12119</v>
      </c>
    </row>
    <row r="325" spans="1:4" ht="14.15" customHeight="1" x14ac:dyDescent="0.35">
      <c r="A325" s="114" t="s">
        <v>12120</v>
      </c>
      <c r="B325" s="115" t="s">
        <v>12121</v>
      </c>
      <c r="C325" s="114" t="s">
        <v>12122</v>
      </c>
      <c r="D325" s="115" t="s">
        <v>12123</v>
      </c>
    </row>
    <row r="326" spans="1:4" ht="14.15" customHeight="1" x14ac:dyDescent="0.35">
      <c r="A326" s="114" t="s">
        <v>12120</v>
      </c>
      <c r="B326" s="115" t="s">
        <v>12121</v>
      </c>
      <c r="C326" s="114" t="s">
        <v>12124</v>
      </c>
      <c r="D326" s="115" t="s">
        <v>12125</v>
      </c>
    </row>
    <row r="327" spans="1:4" ht="14.15" customHeight="1" x14ac:dyDescent="0.35">
      <c r="A327" s="114" t="s">
        <v>12120</v>
      </c>
      <c r="B327" s="115" t="s">
        <v>12121</v>
      </c>
      <c r="C327" s="114" t="s">
        <v>12126</v>
      </c>
      <c r="D327" s="115" t="s">
        <v>12127</v>
      </c>
    </row>
    <row r="328" spans="1:4" ht="14.15" customHeight="1" x14ac:dyDescent="0.35">
      <c r="A328" s="354" t="s">
        <v>12128</v>
      </c>
      <c r="B328" s="118" t="s">
        <v>12129</v>
      </c>
      <c r="C328" s="117" t="s">
        <v>12130</v>
      </c>
      <c r="D328" s="118" t="s">
        <v>12131</v>
      </c>
    </row>
    <row r="329" spans="1:4" ht="14.15" customHeight="1" x14ac:dyDescent="0.35">
      <c r="A329" s="114" t="s">
        <v>12132</v>
      </c>
      <c r="B329" s="115" t="s">
        <v>12133</v>
      </c>
      <c r="C329" s="114" t="s">
        <v>12134</v>
      </c>
      <c r="D329" s="115" t="s">
        <v>12135</v>
      </c>
    </row>
    <row r="330" spans="1:4" ht="14.15" customHeight="1" x14ac:dyDescent="0.35">
      <c r="A330" s="114" t="s">
        <v>12136</v>
      </c>
      <c r="B330" s="115" t="s">
        <v>12137</v>
      </c>
      <c r="C330" s="114" t="s">
        <v>12138</v>
      </c>
      <c r="D330" s="115" t="s">
        <v>12139</v>
      </c>
    </row>
    <row r="331" spans="1:4" ht="14.15" customHeight="1" x14ac:dyDescent="0.35">
      <c r="A331" s="114" t="s">
        <v>12140</v>
      </c>
      <c r="B331" s="115" t="s">
        <v>12141</v>
      </c>
      <c r="C331" s="114" t="s">
        <v>12142</v>
      </c>
      <c r="D331" s="115" t="s">
        <v>12143</v>
      </c>
    </row>
    <row r="332" spans="1:4" ht="14.15" customHeight="1" x14ac:dyDescent="0.35">
      <c r="A332" s="114" t="s">
        <v>12140</v>
      </c>
      <c r="B332" s="115" t="s">
        <v>12141</v>
      </c>
      <c r="C332" s="114" t="s">
        <v>12144</v>
      </c>
      <c r="D332" s="115" t="s">
        <v>12145</v>
      </c>
    </row>
    <row r="333" spans="1:4" ht="14.15" customHeight="1" x14ac:dyDescent="0.35">
      <c r="A333" s="114" t="s">
        <v>12146</v>
      </c>
      <c r="B333" s="115" t="s">
        <v>12147</v>
      </c>
      <c r="C333" s="114" t="s">
        <v>12148</v>
      </c>
      <c r="D333" s="115" t="s">
        <v>12149</v>
      </c>
    </row>
    <row r="334" spans="1:4" ht="14.15" customHeight="1" x14ac:dyDescent="0.35">
      <c r="A334" s="114" t="s">
        <v>12146</v>
      </c>
      <c r="B334" s="115" t="s">
        <v>12147</v>
      </c>
      <c r="C334" s="114" t="s">
        <v>12150</v>
      </c>
      <c r="D334" s="115" t="s">
        <v>12151</v>
      </c>
    </row>
    <row r="335" spans="1:4" ht="14.15" customHeight="1" x14ac:dyDescent="0.35">
      <c r="A335" s="114" t="s">
        <v>12146</v>
      </c>
      <c r="B335" s="115" t="s">
        <v>12147</v>
      </c>
      <c r="C335" s="114" t="s">
        <v>12152</v>
      </c>
      <c r="D335" s="115" t="s">
        <v>12153</v>
      </c>
    </row>
    <row r="336" spans="1:4" ht="14.15" customHeight="1" x14ac:dyDescent="0.35">
      <c r="A336" s="114" t="s">
        <v>12146</v>
      </c>
      <c r="B336" s="115" t="s">
        <v>12147</v>
      </c>
      <c r="C336" s="114" t="s">
        <v>12154</v>
      </c>
      <c r="D336" s="115" t="s">
        <v>12155</v>
      </c>
    </row>
    <row r="337" spans="1:4" ht="14.15" customHeight="1" x14ac:dyDescent="0.35">
      <c r="A337" s="114" t="s">
        <v>12146</v>
      </c>
      <c r="B337" s="115" t="s">
        <v>12147</v>
      </c>
      <c r="C337" s="114" t="s">
        <v>12156</v>
      </c>
      <c r="D337" s="115" t="s">
        <v>12157</v>
      </c>
    </row>
    <row r="338" spans="1:4" ht="14.15" customHeight="1" x14ac:dyDescent="0.35">
      <c r="A338" s="114" t="s">
        <v>12158</v>
      </c>
      <c r="B338" s="115" t="s">
        <v>12159</v>
      </c>
      <c r="C338" s="114" t="s">
        <v>12160</v>
      </c>
      <c r="D338" s="115" t="s">
        <v>12161</v>
      </c>
    </row>
    <row r="339" spans="1:4" ht="14.15" customHeight="1" x14ac:dyDescent="0.35">
      <c r="A339" s="114" t="s">
        <v>12158</v>
      </c>
      <c r="B339" s="115" t="s">
        <v>12159</v>
      </c>
      <c r="C339" s="114" t="s">
        <v>12162</v>
      </c>
      <c r="D339" s="115" t="s">
        <v>12163</v>
      </c>
    </row>
    <row r="340" spans="1:4" ht="14.15" customHeight="1" x14ac:dyDescent="0.35">
      <c r="A340" s="114" t="s">
        <v>12158</v>
      </c>
      <c r="B340" s="115" t="s">
        <v>12159</v>
      </c>
      <c r="C340" s="114" t="s">
        <v>12164</v>
      </c>
      <c r="D340" s="115" t="s">
        <v>12165</v>
      </c>
    </row>
    <row r="341" spans="1:4" ht="14.15" customHeight="1" x14ac:dyDescent="0.35">
      <c r="A341" s="114" t="s">
        <v>12166</v>
      </c>
      <c r="B341" s="115" t="s">
        <v>12167</v>
      </c>
      <c r="C341" s="114" t="s">
        <v>12168</v>
      </c>
      <c r="D341" s="115" t="s">
        <v>12169</v>
      </c>
    </row>
    <row r="342" spans="1:4" ht="14.15" customHeight="1" x14ac:dyDescent="0.35">
      <c r="A342" s="114" t="s">
        <v>12170</v>
      </c>
      <c r="B342" s="115" t="s">
        <v>12171</v>
      </c>
      <c r="C342" s="114" t="s">
        <v>12172</v>
      </c>
      <c r="D342" s="115" t="s">
        <v>12173</v>
      </c>
    </row>
    <row r="343" spans="1:4" ht="14.15" customHeight="1" x14ac:dyDescent="0.35">
      <c r="A343" s="114" t="s">
        <v>12174</v>
      </c>
      <c r="B343" s="115" t="s">
        <v>12175</v>
      </c>
      <c r="C343" s="114" t="s">
        <v>12176</v>
      </c>
      <c r="D343" s="115" t="s">
        <v>12177</v>
      </c>
    </row>
    <row r="344" spans="1:4" ht="14.15" customHeight="1" x14ac:dyDescent="0.35">
      <c r="A344" s="114" t="s">
        <v>12178</v>
      </c>
      <c r="B344" s="115" t="s">
        <v>12179</v>
      </c>
      <c r="C344" s="114" t="s">
        <v>12180</v>
      </c>
      <c r="D344" s="115" t="s">
        <v>12181</v>
      </c>
    </row>
    <row r="345" spans="1:4" ht="14.15" customHeight="1" x14ac:dyDescent="0.35">
      <c r="A345" s="114" t="s">
        <v>12178</v>
      </c>
      <c r="B345" s="115" t="s">
        <v>12179</v>
      </c>
      <c r="C345" s="114" t="s">
        <v>12182</v>
      </c>
      <c r="D345" s="115" t="s">
        <v>12183</v>
      </c>
    </row>
    <row r="346" spans="1:4" ht="14.15" customHeight="1" x14ac:dyDescent="0.35">
      <c r="A346" s="114" t="s">
        <v>12178</v>
      </c>
      <c r="B346" s="115" t="s">
        <v>12179</v>
      </c>
      <c r="C346" s="114" t="s">
        <v>12184</v>
      </c>
      <c r="D346" s="115" t="s">
        <v>12185</v>
      </c>
    </row>
    <row r="347" spans="1:4" ht="14.15" customHeight="1" x14ac:dyDescent="0.35">
      <c r="A347" s="114" t="s">
        <v>12186</v>
      </c>
      <c r="B347" s="115" t="s">
        <v>12187</v>
      </c>
      <c r="C347" s="114" t="s">
        <v>12188</v>
      </c>
      <c r="D347" s="115" t="s">
        <v>12189</v>
      </c>
    </row>
    <row r="348" spans="1:4" ht="14.15" customHeight="1" x14ac:dyDescent="0.35">
      <c r="A348" s="114" t="s">
        <v>12190</v>
      </c>
      <c r="B348" s="115" t="s">
        <v>12191</v>
      </c>
      <c r="C348" s="114" t="s">
        <v>12192</v>
      </c>
      <c r="D348" s="115" t="s">
        <v>12193</v>
      </c>
    </row>
    <row r="349" spans="1:4" ht="14.15" customHeight="1" x14ac:dyDescent="0.35">
      <c r="A349" s="114" t="s">
        <v>2463</v>
      </c>
      <c r="B349" s="115" t="s">
        <v>12194</v>
      </c>
      <c r="C349" s="114" t="s">
        <v>12195</v>
      </c>
      <c r="D349" s="115" t="s">
        <v>12196</v>
      </c>
    </row>
    <row r="350" spans="1:4" ht="14.15" customHeight="1" x14ac:dyDescent="0.35">
      <c r="A350" s="114" t="s">
        <v>12197</v>
      </c>
      <c r="B350" s="115" t="s">
        <v>12198</v>
      </c>
      <c r="C350" s="114" t="s">
        <v>12199</v>
      </c>
      <c r="D350" s="115" t="s">
        <v>12200</v>
      </c>
    </row>
    <row r="351" spans="1:4" ht="14.15" customHeight="1" x14ac:dyDescent="0.35">
      <c r="A351" s="114" t="s">
        <v>12197</v>
      </c>
      <c r="B351" s="115" t="s">
        <v>12198</v>
      </c>
      <c r="C351" s="114" t="s">
        <v>12201</v>
      </c>
      <c r="D351" s="115" t="s">
        <v>12202</v>
      </c>
    </row>
    <row r="352" spans="1:4" ht="14.15" customHeight="1" x14ac:dyDescent="0.35">
      <c r="A352" s="114" t="s">
        <v>12197</v>
      </c>
      <c r="B352" s="115" t="s">
        <v>12198</v>
      </c>
      <c r="C352" s="114" t="s">
        <v>12203</v>
      </c>
      <c r="D352" s="115" t="s">
        <v>12204</v>
      </c>
    </row>
    <row r="353" spans="1:4" ht="14.15" customHeight="1" x14ac:dyDescent="0.35">
      <c r="A353" s="114" t="s">
        <v>12197</v>
      </c>
      <c r="B353" s="115" t="s">
        <v>12198</v>
      </c>
      <c r="C353" s="114" t="s">
        <v>12205</v>
      </c>
      <c r="D353" s="115" t="s">
        <v>12206</v>
      </c>
    </row>
    <row r="354" spans="1:4" ht="14.15" customHeight="1" x14ac:dyDescent="0.35">
      <c r="A354" s="114" t="s">
        <v>12197</v>
      </c>
      <c r="B354" s="115" t="s">
        <v>12198</v>
      </c>
      <c r="C354" s="114" t="s">
        <v>12207</v>
      </c>
      <c r="D354" s="115" t="s">
        <v>11584</v>
      </c>
    </row>
    <row r="355" spans="1:4" ht="14.15" customHeight="1" x14ac:dyDescent="0.35">
      <c r="A355" s="114" t="s">
        <v>12197</v>
      </c>
      <c r="B355" s="115" t="s">
        <v>12198</v>
      </c>
      <c r="C355" s="114" t="s">
        <v>12208</v>
      </c>
      <c r="D355" s="115" t="s">
        <v>11560</v>
      </c>
    </row>
    <row r="356" spans="1:4" ht="14.15" customHeight="1" x14ac:dyDescent="0.35">
      <c r="A356" s="114" t="s">
        <v>12197</v>
      </c>
      <c r="B356" s="115" t="s">
        <v>12198</v>
      </c>
      <c r="C356" s="114" t="s">
        <v>12209</v>
      </c>
      <c r="D356" s="115" t="s">
        <v>12210</v>
      </c>
    </row>
    <row r="357" spans="1:4" ht="14.15" customHeight="1" x14ac:dyDescent="0.35">
      <c r="A357" s="114" t="s">
        <v>12197</v>
      </c>
      <c r="B357" s="115" t="s">
        <v>12198</v>
      </c>
      <c r="C357" s="114" t="s">
        <v>12211</v>
      </c>
      <c r="D357" s="115" t="s">
        <v>12212</v>
      </c>
    </row>
    <row r="358" spans="1:4" ht="14.15" customHeight="1" x14ac:dyDescent="0.35">
      <c r="A358" s="114" t="s">
        <v>12197</v>
      </c>
      <c r="B358" s="115" t="s">
        <v>12198</v>
      </c>
      <c r="C358" s="114" t="s">
        <v>12213</v>
      </c>
      <c r="D358" s="115" t="s">
        <v>12214</v>
      </c>
    </row>
    <row r="359" spans="1:4" ht="14.15" customHeight="1" x14ac:dyDescent="0.35">
      <c r="A359" s="114" t="s">
        <v>12197</v>
      </c>
      <c r="B359" s="115" t="s">
        <v>12198</v>
      </c>
      <c r="C359" s="114" t="s">
        <v>12215</v>
      </c>
      <c r="D359" s="115" t="s">
        <v>12216</v>
      </c>
    </row>
    <row r="360" spans="1:4" ht="14.15" customHeight="1" x14ac:dyDescent="0.35">
      <c r="A360" s="114" t="s">
        <v>12197</v>
      </c>
      <c r="B360" s="115" t="s">
        <v>12198</v>
      </c>
      <c r="C360" s="114" t="s">
        <v>12217</v>
      </c>
      <c r="D360" s="115" t="s">
        <v>12218</v>
      </c>
    </row>
    <row r="361" spans="1:4" ht="14.15" customHeight="1" x14ac:dyDescent="0.35">
      <c r="A361" s="114" t="s">
        <v>12197</v>
      </c>
      <c r="B361" s="115" t="s">
        <v>12198</v>
      </c>
      <c r="C361" s="114" t="s">
        <v>12219</v>
      </c>
      <c r="D361" s="115" t="s">
        <v>12220</v>
      </c>
    </row>
    <row r="362" spans="1:4" ht="14.15" customHeight="1" x14ac:dyDescent="0.35">
      <c r="A362" s="114" t="s">
        <v>12197</v>
      </c>
      <c r="B362" s="115" t="s">
        <v>12198</v>
      </c>
      <c r="C362" s="114" t="s">
        <v>12221</v>
      </c>
      <c r="D362" s="115" t="s">
        <v>12222</v>
      </c>
    </row>
    <row r="363" spans="1:4" ht="14.15" customHeight="1" x14ac:dyDescent="0.35">
      <c r="A363" s="114" t="s">
        <v>12197</v>
      </c>
      <c r="B363" s="115" t="s">
        <v>12198</v>
      </c>
      <c r="C363" s="114" t="s">
        <v>12223</v>
      </c>
      <c r="D363" s="115" t="s">
        <v>12224</v>
      </c>
    </row>
    <row r="364" spans="1:4" ht="14.15" customHeight="1" x14ac:dyDescent="0.35">
      <c r="A364" s="114" t="s">
        <v>12197</v>
      </c>
      <c r="B364" s="115" t="s">
        <v>12198</v>
      </c>
      <c r="C364" s="114" t="s">
        <v>12225</v>
      </c>
      <c r="D364" s="115" t="s">
        <v>12226</v>
      </c>
    </row>
    <row r="365" spans="1:4" ht="14.15" customHeight="1" x14ac:dyDescent="0.35">
      <c r="A365" s="114" t="s">
        <v>12197</v>
      </c>
      <c r="B365" s="115" t="s">
        <v>12198</v>
      </c>
      <c r="C365" s="114" t="s">
        <v>12227</v>
      </c>
      <c r="D365" s="115" t="s">
        <v>12228</v>
      </c>
    </row>
    <row r="366" spans="1:4" ht="14.15" customHeight="1" x14ac:dyDescent="0.35">
      <c r="A366" s="114" t="s">
        <v>12197</v>
      </c>
      <c r="B366" s="115" t="s">
        <v>12198</v>
      </c>
      <c r="C366" s="114" t="s">
        <v>12229</v>
      </c>
      <c r="D366" s="115" t="s">
        <v>12230</v>
      </c>
    </row>
    <row r="367" spans="1:4" ht="14.15" customHeight="1" x14ac:dyDescent="0.35">
      <c r="A367" s="114" t="s">
        <v>12197</v>
      </c>
      <c r="B367" s="115" t="s">
        <v>12198</v>
      </c>
      <c r="C367" s="114" t="s">
        <v>12231</v>
      </c>
      <c r="D367" s="115" t="s">
        <v>12232</v>
      </c>
    </row>
    <row r="368" spans="1:4" ht="14.15" customHeight="1" x14ac:dyDescent="0.35">
      <c r="A368" s="114" t="s">
        <v>12197</v>
      </c>
      <c r="B368" s="115" t="s">
        <v>12198</v>
      </c>
      <c r="C368" s="114" t="s">
        <v>12233</v>
      </c>
      <c r="D368" s="115" t="s">
        <v>12234</v>
      </c>
    </row>
    <row r="369" spans="1:4" ht="14.15" customHeight="1" x14ac:dyDescent="0.35">
      <c r="A369" s="114" t="s">
        <v>12197</v>
      </c>
      <c r="B369" s="115" t="s">
        <v>12198</v>
      </c>
      <c r="C369" s="114" t="s">
        <v>12235</v>
      </c>
      <c r="D369" s="115" t="s">
        <v>12236</v>
      </c>
    </row>
    <row r="370" spans="1:4" ht="14.15" customHeight="1" x14ac:dyDescent="0.35">
      <c r="A370" s="114" t="s">
        <v>12197</v>
      </c>
      <c r="B370" s="115" t="s">
        <v>12198</v>
      </c>
      <c r="C370" s="114" t="s">
        <v>12237</v>
      </c>
      <c r="D370" s="115" t="s">
        <v>12238</v>
      </c>
    </row>
    <row r="371" spans="1:4" s="353" customFormat="1" ht="14.15" customHeight="1" x14ac:dyDescent="0.35">
      <c r="A371" s="354" t="s">
        <v>12197</v>
      </c>
      <c r="B371" s="118" t="s">
        <v>12198</v>
      </c>
      <c r="C371" s="117" t="s">
        <v>12239</v>
      </c>
      <c r="D371" s="118" t="s">
        <v>12240</v>
      </c>
    </row>
    <row r="372" spans="1:4" s="353" customFormat="1" ht="14.15" customHeight="1" x14ac:dyDescent="0.35">
      <c r="A372" s="354" t="s">
        <v>12197</v>
      </c>
      <c r="B372" s="118" t="s">
        <v>12198</v>
      </c>
      <c r="C372" s="117" t="s">
        <v>12241</v>
      </c>
      <c r="D372" s="118" t="s">
        <v>12242</v>
      </c>
    </row>
    <row r="373" spans="1:4" ht="14.15" customHeight="1" x14ac:dyDescent="0.35">
      <c r="A373" s="114" t="s">
        <v>12197</v>
      </c>
      <c r="B373" s="115" t="s">
        <v>12198</v>
      </c>
      <c r="C373" s="114" t="s">
        <v>12243</v>
      </c>
      <c r="D373" s="115" t="s">
        <v>12244</v>
      </c>
    </row>
    <row r="374" spans="1:4" ht="14.15" customHeight="1" x14ac:dyDescent="0.35">
      <c r="A374" s="114" t="s">
        <v>12197</v>
      </c>
      <c r="B374" s="115" t="s">
        <v>12198</v>
      </c>
      <c r="C374" s="114" t="s">
        <v>12245</v>
      </c>
      <c r="D374" s="115" t="s">
        <v>12246</v>
      </c>
    </row>
    <row r="375" spans="1:4" ht="14.15" customHeight="1" x14ac:dyDescent="0.35">
      <c r="A375" s="114" t="s">
        <v>12247</v>
      </c>
      <c r="B375" s="115" t="s">
        <v>12248</v>
      </c>
      <c r="C375" s="114" t="s">
        <v>12249</v>
      </c>
      <c r="D375" s="115" t="s">
        <v>12250</v>
      </c>
    </row>
    <row r="376" spans="1:4" ht="14.15" customHeight="1" x14ac:dyDescent="0.35">
      <c r="A376" s="114" t="s">
        <v>12251</v>
      </c>
      <c r="B376" s="115" t="s">
        <v>12252</v>
      </c>
      <c r="C376" s="114" t="s">
        <v>12253</v>
      </c>
      <c r="D376" s="115" t="s">
        <v>12254</v>
      </c>
    </row>
    <row r="377" spans="1:4" ht="14.15" customHeight="1" x14ac:dyDescent="0.35">
      <c r="A377" s="114" t="s">
        <v>12255</v>
      </c>
      <c r="B377" s="115" t="s">
        <v>12256</v>
      </c>
      <c r="C377" s="114" t="s">
        <v>12257</v>
      </c>
      <c r="D377" s="115" t="s">
        <v>12258</v>
      </c>
    </row>
    <row r="378" spans="1:4" ht="14.15" customHeight="1" x14ac:dyDescent="0.35">
      <c r="A378" s="114" t="s">
        <v>12255</v>
      </c>
      <c r="B378" s="115" t="s">
        <v>12256</v>
      </c>
      <c r="C378" s="114" t="s">
        <v>12259</v>
      </c>
      <c r="D378" s="115" t="s">
        <v>12260</v>
      </c>
    </row>
    <row r="379" spans="1:4" ht="14.15" customHeight="1" x14ac:dyDescent="0.35">
      <c r="A379" s="114" t="s">
        <v>12255</v>
      </c>
      <c r="B379" s="115" t="s">
        <v>12256</v>
      </c>
      <c r="C379" s="114" t="s">
        <v>12261</v>
      </c>
      <c r="D379" s="115" t="s">
        <v>12262</v>
      </c>
    </row>
    <row r="380" spans="1:4" ht="14.15" customHeight="1" x14ac:dyDescent="0.35">
      <c r="A380" s="114" t="s">
        <v>12263</v>
      </c>
      <c r="B380" s="115" t="s">
        <v>12264</v>
      </c>
      <c r="C380" s="114" t="s">
        <v>12265</v>
      </c>
      <c r="D380" s="115" t="s">
        <v>12266</v>
      </c>
    </row>
    <row r="381" spans="1:4" ht="14.15" customHeight="1" x14ac:dyDescent="0.35">
      <c r="A381" s="114" t="s">
        <v>12263</v>
      </c>
      <c r="B381" s="115" t="s">
        <v>12264</v>
      </c>
      <c r="C381" s="114" t="s">
        <v>12267</v>
      </c>
      <c r="D381" s="115" t="s">
        <v>12268</v>
      </c>
    </row>
    <row r="382" spans="1:4" ht="14.15" customHeight="1" x14ac:dyDescent="0.35">
      <c r="A382" s="114" t="s">
        <v>12263</v>
      </c>
      <c r="B382" s="115" t="s">
        <v>12264</v>
      </c>
      <c r="C382" s="114" t="s">
        <v>12269</v>
      </c>
      <c r="D382" s="115" t="s">
        <v>12270</v>
      </c>
    </row>
    <row r="383" spans="1:4" ht="14.15" customHeight="1" x14ac:dyDescent="0.35">
      <c r="A383" s="114" t="s">
        <v>12271</v>
      </c>
      <c r="B383" s="115" t="s">
        <v>12272</v>
      </c>
      <c r="C383" s="114" t="s">
        <v>12273</v>
      </c>
      <c r="D383" s="115" t="s">
        <v>12274</v>
      </c>
    </row>
    <row r="384" spans="1:4" ht="14.15" customHeight="1" x14ac:dyDescent="0.35">
      <c r="A384" s="114" t="s">
        <v>12271</v>
      </c>
      <c r="B384" s="115" t="s">
        <v>12272</v>
      </c>
      <c r="C384" s="114" t="s">
        <v>12275</v>
      </c>
      <c r="D384" s="115" t="s">
        <v>12276</v>
      </c>
    </row>
    <row r="385" spans="1:4" ht="14.15" customHeight="1" x14ac:dyDescent="0.35">
      <c r="A385" s="114" t="s">
        <v>12271</v>
      </c>
      <c r="B385" s="115" t="s">
        <v>12272</v>
      </c>
      <c r="C385" s="114" t="s">
        <v>12277</v>
      </c>
      <c r="D385" s="115" t="s">
        <v>12278</v>
      </c>
    </row>
    <row r="386" spans="1:4" ht="14.15" customHeight="1" x14ac:dyDescent="0.35">
      <c r="A386" s="114" t="s">
        <v>12271</v>
      </c>
      <c r="B386" s="115" t="s">
        <v>12272</v>
      </c>
      <c r="C386" s="114" t="s">
        <v>12279</v>
      </c>
      <c r="D386" s="115" t="s">
        <v>12280</v>
      </c>
    </row>
    <row r="387" spans="1:4" ht="14.15" customHeight="1" x14ac:dyDescent="0.35">
      <c r="A387" s="114" t="s">
        <v>12271</v>
      </c>
      <c r="B387" s="115" t="s">
        <v>12272</v>
      </c>
      <c r="C387" s="114" t="s">
        <v>12281</v>
      </c>
      <c r="D387" s="115" t="s">
        <v>12282</v>
      </c>
    </row>
    <row r="388" spans="1:4" ht="14.15" customHeight="1" x14ac:dyDescent="0.35">
      <c r="A388" s="114" t="s">
        <v>12283</v>
      </c>
      <c r="B388" s="115" t="s">
        <v>12284</v>
      </c>
      <c r="C388" s="114" t="s">
        <v>12285</v>
      </c>
      <c r="D388" s="115" t="s">
        <v>12286</v>
      </c>
    </row>
    <row r="389" spans="1:4" ht="14.15" customHeight="1" x14ac:dyDescent="0.35">
      <c r="A389" s="354" t="s">
        <v>12287</v>
      </c>
      <c r="B389" s="118" t="s">
        <v>12288</v>
      </c>
      <c r="C389" s="117" t="s">
        <v>12289</v>
      </c>
      <c r="D389" s="118" t="s">
        <v>12290</v>
      </c>
    </row>
    <row r="390" spans="1:4" ht="14.15" customHeight="1" x14ac:dyDescent="0.35">
      <c r="A390" s="114" t="s">
        <v>12291</v>
      </c>
      <c r="B390" s="115" t="s">
        <v>12292</v>
      </c>
      <c r="C390" s="114" t="s">
        <v>12293</v>
      </c>
      <c r="D390" s="115" t="s">
        <v>12294</v>
      </c>
    </row>
    <row r="391" spans="1:4" ht="14.15" customHeight="1" x14ac:dyDescent="0.35">
      <c r="A391" s="114" t="s">
        <v>12291</v>
      </c>
      <c r="B391" s="115" t="s">
        <v>12292</v>
      </c>
      <c r="C391" s="114" t="s">
        <v>12295</v>
      </c>
      <c r="D391" s="115" t="s">
        <v>12296</v>
      </c>
    </row>
    <row r="392" spans="1:4" ht="14.15" customHeight="1" x14ac:dyDescent="0.35">
      <c r="A392" s="114" t="s">
        <v>12291</v>
      </c>
      <c r="B392" s="115" t="s">
        <v>12292</v>
      </c>
      <c r="C392" s="114" t="s">
        <v>12297</v>
      </c>
      <c r="D392" s="115" t="s">
        <v>12298</v>
      </c>
    </row>
    <row r="393" spans="1:4" ht="14.15" customHeight="1" x14ac:dyDescent="0.35">
      <c r="A393" s="114" t="s">
        <v>2391</v>
      </c>
      <c r="B393" s="115" t="s">
        <v>12299</v>
      </c>
      <c r="C393" s="114" t="s">
        <v>11303</v>
      </c>
      <c r="D393" s="115" t="s">
        <v>12300</v>
      </c>
    </row>
    <row r="394" spans="1:4" ht="14.15" customHeight="1" x14ac:dyDescent="0.35">
      <c r="A394" s="114" t="s">
        <v>2391</v>
      </c>
      <c r="B394" s="115" t="s">
        <v>12299</v>
      </c>
      <c r="C394" s="114" t="s">
        <v>12301</v>
      </c>
      <c r="D394" s="115" t="s">
        <v>12302</v>
      </c>
    </row>
    <row r="395" spans="1:4" ht="14.15" customHeight="1" x14ac:dyDescent="0.35">
      <c r="A395" s="114" t="s">
        <v>2391</v>
      </c>
      <c r="B395" s="115" t="s">
        <v>12299</v>
      </c>
      <c r="C395" s="114" t="s">
        <v>12303</v>
      </c>
      <c r="D395" s="115" t="s">
        <v>12304</v>
      </c>
    </row>
    <row r="396" spans="1:4" ht="14.15" customHeight="1" x14ac:dyDescent="0.35">
      <c r="A396" s="114" t="s">
        <v>2391</v>
      </c>
      <c r="B396" s="115" t="s">
        <v>12299</v>
      </c>
      <c r="C396" s="114" t="s">
        <v>12305</v>
      </c>
      <c r="D396" s="115" t="s">
        <v>11574</v>
      </c>
    </row>
    <row r="397" spans="1:4" ht="14.15" customHeight="1" x14ac:dyDescent="0.35">
      <c r="A397" s="114" t="s">
        <v>2391</v>
      </c>
      <c r="B397" s="115" t="s">
        <v>12299</v>
      </c>
      <c r="C397" s="114" t="s">
        <v>12306</v>
      </c>
      <c r="D397" s="115" t="s">
        <v>12307</v>
      </c>
    </row>
    <row r="398" spans="1:4" ht="14.15" customHeight="1" x14ac:dyDescent="0.35">
      <c r="A398" s="114" t="s">
        <v>2391</v>
      </c>
      <c r="B398" s="115" t="s">
        <v>12299</v>
      </c>
      <c r="C398" s="114" t="s">
        <v>12308</v>
      </c>
      <c r="D398" s="115" t="s">
        <v>12309</v>
      </c>
    </row>
    <row r="399" spans="1:4" ht="14.15" customHeight="1" x14ac:dyDescent="0.35">
      <c r="A399" s="114" t="s">
        <v>2391</v>
      </c>
      <c r="B399" s="115" t="s">
        <v>12299</v>
      </c>
      <c r="C399" s="114" t="s">
        <v>12310</v>
      </c>
      <c r="D399" s="115" t="s">
        <v>12311</v>
      </c>
    </row>
    <row r="400" spans="1:4" ht="14.15" customHeight="1" x14ac:dyDescent="0.35">
      <c r="A400" s="114" t="s">
        <v>2391</v>
      </c>
      <c r="B400" s="115" t="s">
        <v>12299</v>
      </c>
      <c r="C400" s="114" t="s">
        <v>12312</v>
      </c>
      <c r="D400" s="115" t="s">
        <v>12313</v>
      </c>
    </row>
    <row r="401" spans="1:4" ht="14.15" customHeight="1" x14ac:dyDescent="0.35">
      <c r="A401" s="114" t="s">
        <v>2391</v>
      </c>
      <c r="B401" s="115" t="s">
        <v>12299</v>
      </c>
      <c r="C401" s="114" t="s">
        <v>12314</v>
      </c>
      <c r="D401" s="115" t="s">
        <v>12315</v>
      </c>
    </row>
    <row r="402" spans="1:4" ht="14.15" customHeight="1" x14ac:dyDescent="0.35">
      <c r="A402" s="355" t="s">
        <v>2391</v>
      </c>
      <c r="B402" s="349" t="s">
        <v>12299</v>
      </c>
      <c r="C402" s="348" t="s">
        <v>12316</v>
      </c>
      <c r="D402" s="349" t="s">
        <v>12317</v>
      </c>
    </row>
    <row r="403" spans="1:4" ht="14.15" customHeight="1" x14ac:dyDescent="0.35">
      <c r="A403" s="114" t="s">
        <v>2391</v>
      </c>
      <c r="B403" s="115" t="s">
        <v>12299</v>
      </c>
      <c r="C403" s="114" t="s">
        <v>12318</v>
      </c>
      <c r="D403" s="115" t="s">
        <v>12319</v>
      </c>
    </row>
    <row r="404" spans="1:4" ht="14.15" customHeight="1" x14ac:dyDescent="0.35">
      <c r="A404" s="354" t="s">
        <v>2391</v>
      </c>
      <c r="B404" s="118" t="s">
        <v>12299</v>
      </c>
      <c r="C404" s="117" t="s">
        <v>12320</v>
      </c>
      <c r="D404" s="118" t="s">
        <v>12321</v>
      </c>
    </row>
    <row r="405" spans="1:4" ht="14.15" customHeight="1" x14ac:dyDescent="0.35">
      <c r="A405" s="354" t="s">
        <v>2391</v>
      </c>
      <c r="B405" s="118" t="s">
        <v>12299</v>
      </c>
      <c r="C405" s="117" t="s">
        <v>12322</v>
      </c>
      <c r="D405" s="118" t="s">
        <v>12323</v>
      </c>
    </row>
    <row r="406" spans="1:4" ht="14.15" customHeight="1" x14ac:dyDescent="0.35">
      <c r="A406" s="354" t="s">
        <v>2391</v>
      </c>
      <c r="B406" s="118" t="s">
        <v>12299</v>
      </c>
      <c r="C406" s="117" t="s">
        <v>12324</v>
      </c>
      <c r="D406" s="118" t="s">
        <v>12325</v>
      </c>
    </row>
    <row r="407" spans="1:4" ht="14.15" customHeight="1" x14ac:dyDescent="0.35">
      <c r="A407" s="114" t="s">
        <v>2391</v>
      </c>
      <c r="B407" s="115" t="s">
        <v>12299</v>
      </c>
      <c r="C407" s="114" t="s">
        <v>12326</v>
      </c>
      <c r="D407" s="115" t="s">
        <v>12327</v>
      </c>
    </row>
    <row r="408" spans="1:4" ht="14.15" customHeight="1" x14ac:dyDescent="0.35">
      <c r="A408" s="114" t="s">
        <v>832</v>
      </c>
      <c r="B408" s="115" t="s">
        <v>12328</v>
      </c>
      <c r="C408" s="114" t="s">
        <v>12329</v>
      </c>
      <c r="D408" s="115" t="s">
        <v>12330</v>
      </c>
    </row>
    <row r="409" spans="1:4" ht="14.15" customHeight="1" x14ac:dyDescent="0.35">
      <c r="A409" s="114" t="s">
        <v>832</v>
      </c>
      <c r="B409" s="115" t="s">
        <v>12328</v>
      </c>
      <c r="C409" s="114" t="s">
        <v>11323</v>
      </c>
      <c r="D409" s="115" t="s">
        <v>12331</v>
      </c>
    </row>
    <row r="410" spans="1:4" ht="14.15" customHeight="1" x14ac:dyDescent="0.35">
      <c r="A410" s="114" t="s">
        <v>832</v>
      </c>
      <c r="B410" s="115" t="s">
        <v>12328</v>
      </c>
      <c r="C410" s="114" t="s">
        <v>12332</v>
      </c>
      <c r="D410" s="115" t="s">
        <v>12333</v>
      </c>
    </row>
    <row r="411" spans="1:4" ht="14.15" customHeight="1" x14ac:dyDescent="0.35">
      <c r="A411" s="114" t="s">
        <v>832</v>
      </c>
      <c r="B411" s="115" t="s">
        <v>12328</v>
      </c>
      <c r="C411" s="114" t="s">
        <v>12334</v>
      </c>
      <c r="D411" s="115" t="s">
        <v>11596</v>
      </c>
    </row>
    <row r="412" spans="1:4" ht="14.15" customHeight="1" x14ac:dyDescent="0.35">
      <c r="A412" s="114" t="s">
        <v>832</v>
      </c>
      <c r="B412" s="115" t="s">
        <v>12328</v>
      </c>
      <c r="C412" s="114" t="s">
        <v>12335</v>
      </c>
      <c r="D412" s="115" t="s">
        <v>11574</v>
      </c>
    </row>
    <row r="413" spans="1:4" ht="14.15" customHeight="1" x14ac:dyDescent="0.35">
      <c r="A413" s="114" t="s">
        <v>832</v>
      </c>
      <c r="B413" s="115" t="s">
        <v>12328</v>
      </c>
      <c r="C413" s="114" t="s">
        <v>12336</v>
      </c>
      <c r="D413" s="115" t="s">
        <v>12337</v>
      </c>
    </row>
    <row r="414" spans="1:4" ht="14.15" customHeight="1" x14ac:dyDescent="0.35">
      <c r="A414" s="114" t="s">
        <v>832</v>
      </c>
      <c r="B414" s="115" t="s">
        <v>12328</v>
      </c>
      <c r="C414" s="114" t="s">
        <v>12338</v>
      </c>
      <c r="D414" s="115" t="s">
        <v>12339</v>
      </c>
    </row>
    <row r="415" spans="1:4" ht="14.15" customHeight="1" x14ac:dyDescent="0.35">
      <c r="A415" s="114" t="s">
        <v>832</v>
      </c>
      <c r="B415" s="115" t="s">
        <v>12328</v>
      </c>
      <c r="C415" s="114" t="s">
        <v>12340</v>
      </c>
      <c r="D415" s="115" t="s">
        <v>12341</v>
      </c>
    </row>
    <row r="416" spans="1:4" ht="14.15" customHeight="1" x14ac:dyDescent="0.35">
      <c r="A416" s="114" t="s">
        <v>832</v>
      </c>
      <c r="B416" s="115" t="s">
        <v>12328</v>
      </c>
      <c r="C416" s="114" t="s">
        <v>12342</v>
      </c>
      <c r="D416" s="115" t="s">
        <v>12343</v>
      </c>
    </row>
    <row r="417" spans="1:4" ht="14.15" customHeight="1" x14ac:dyDescent="0.35">
      <c r="A417" s="114" t="s">
        <v>12344</v>
      </c>
      <c r="B417" s="115" t="s">
        <v>12345</v>
      </c>
      <c r="C417" s="114" t="s">
        <v>12346</v>
      </c>
      <c r="D417" s="115" t="s">
        <v>12347</v>
      </c>
    </row>
    <row r="418" spans="1:4" ht="14.15" customHeight="1" x14ac:dyDescent="0.35">
      <c r="A418" s="114" t="s">
        <v>12344</v>
      </c>
      <c r="B418" s="115" t="s">
        <v>12345</v>
      </c>
      <c r="C418" s="114" t="s">
        <v>12348</v>
      </c>
      <c r="D418" s="115" t="s">
        <v>12349</v>
      </c>
    </row>
    <row r="419" spans="1:4" ht="14.15" customHeight="1" x14ac:dyDescent="0.35">
      <c r="A419" s="114" t="s">
        <v>12344</v>
      </c>
      <c r="B419" s="115" t="s">
        <v>12345</v>
      </c>
      <c r="C419" s="114" t="s">
        <v>12350</v>
      </c>
      <c r="D419" s="115" t="s">
        <v>12351</v>
      </c>
    </row>
    <row r="420" spans="1:4" ht="14.15" customHeight="1" x14ac:dyDescent="0.35">
      <c r="A420" s="114" t="s">
        <v>12344</v>
      </c>
      <c r="B420" s="115" t="s">
        <v>12345</v>
      </c>
      <c r="C420" s="114" t="s">
        <v>12352</v>
      </c>
      <c r="D420" s="115" t="s">
        <v>12353</v>
      </c>
    </row>
    <row r="421" spans="1:4" ht="14.15" customHeight="1" x14ac:dyDescent="0.35">
      <c r="A421" s="114" t="s">
        <v>12344</v>
      </c>
      <c r="B421" s="115" t="s">
        <v>12345</v>
      </c>
      <c r="C421" s="114" t="s">
        <v>12354</v>
      </c>
      <c r="D421" s="115" t="s">
        <v>12355</v>
      </c>
    </row>
    <row r="422" spans="1:4" ht="14.15" customHeight="1" x14ac:dyDescent="0.35">
      <c r="A422" s="114" t="s">
        <v>12344</v>
      </c>
      <c r="B422" s="115" t="s">
        <v>12345</v>
      </c>
      <c r="C422" s="114" t="s">
        <v>12356</v>
      </c>
      <c r="D422" s="115" t="s">
        <v>12357</v>
      </c>
    </row>
    <row r="423" spans="1:4" ht="14.15" customHeight="1" x14ac:dyDescent="0.35">
      <c r="A423" s="114" t="s">
        <v>12344</v>
      </c>
      <c r="B423" s="115" t="s">
        <v>12345</v>
      </c>
      <c r="C423" s="114" t="s">
        <v>12358</v>
      </c>
      <c r="D423" s="115" t="s">
        <v>12359</v>
      </c>
    </row>
    <row r="424" spans="1:4" ht="14.15" customHeight="1" x14ac:dyDescent="0.35">
      <c r="A424" s="114" t="s">
        <v>12344</v>
      </c>
      <c r="B424" s="115" t="s">
        <v>12345</v>
      </c>
      <c r="C424" s="114" t="s">
        <v>12360</v>
      </c>
      <c r="D424" s="115" t="s">
        <v>12361</v>
      </c>
    </row>
    <row r="425" spans="1:4" ht="14.15" customHeight="1" x14ac:dyDescent="0.35">
      <c r="A425" s="114" t="s">
        <v>12344</v>
      </c>
      <c r="B425" s="115" t="s">
        <v>12345</v>
      </c>
      <c r="C425" s="114" t="s">
        <v>12362</v>
      </c>
      <c r="D425" s="115" t="s">
        <v>12363</v>
      </c>
    </row>
    <row r="426" spans="1:4" ht="14.15" customHeight="1" x14ac:dyDescent="0.35">
      <c r="A426" s="114" t="s">
        <v>12344</v>
      </c>
      <c r="B426" s="115" t="s">
        <v>12345</v>
      </c>
      <c r="C426" s="114" t="s">
        <v>12364</v>
      </c>
      <c r="D426" s="115" t="s">
        <v>12365</v>
      </c>
    </row>
    <row r="427" spans="1:4" ht="14.15" customHeight="1" x14ac:dyDescent="0.35">
      <c r="A427" s="114" t="s">
        <v>12344</v>
      </c>
      <c r="B427" s="115" t="s">
        <v>12345</v>
      </c>
      <c r="C427" s="114" t="s">
        <v>12366</v>
      </c>
      <c r="D427" s="115" t="s">
        <v>12367</v>
      </c>
    </row>
    <row r="428" spans="1:4" ht="14.15" customHeight="1" x14ac:dyDescent="0.35">
      <c r="A428" s="114" t="s">
        <v>12344</v>
      </c>
      <c r="B428" s="115" t="s">
        <v>12345</v>
      </c>
      <c r="C428" s="114" t="s">
        <v>12368</v>
      </c>
      <c r="D428" s="115" t="s">
        <v>12369</v>
      </c>
    </row>
    <row r="429" spans="1:4" ht="14.15" customHeight="1" x14ac:dyDescent="0.35">
      <c r="A429" s="114" t="s">
        <v>12344</v>
      </c>
      <c r="B429" s="115" t="s">
        <v>12345</v>
      </c>
      <c r="C429" s="114" t="s">
        <v>12370</v>
      </c>
      <c r="D429" s="115" t="s">
        <v>12371</v>
      </c>
    </row>
    <row r="430" spans="1:4" ht="14.15" customHeight="1" x14ac:dyDescent="0.35">
      <c r="A430" s="114" t="s">
        <v>12344</v>
      </c>
      <c r="B430" s="115" t="s">
        <v>12345</v>
      </c>
      <c r="C430" s="114" t="s">
        <v>12372</v>
      </c>
      <c r="D430" s="115" t="s">
        <v>12373</v>
      </c>
    </row>
    <row r="431" spans="1:4" ht="14.15" customHeight="1" x14ac:dyDescent="0.35">
      <c r="A431" s="114" t="s">
        <v>12344</v>
      </c>
      <c r="B431" s="115" t="s">
        <v>12345</v>
      </c>
      <c r="C431" s="114" t="s">
        <v>12374</v>
      </c>
      <c r="D431" s="115" t="s">
        <v>12375</v>
      </c>
    </row>
    <row r="432" spans="1:4" ht="14.15" customHeight="1" x14ac:dyDescent="0.35">
      <c r="A432" s="114" t="s">
        <v>12344</v>
      </c>
      <c r="B432" s="115" t="s">
        <v>12345</v>
      </c>
      <c r="C432" s="114" t="s">
        <v>12376</v>
      </c>
      <c r="D432" s="115" t="s">
        <v>12377</v>
      </c>
    </row>
    <row r="433" spans="1:4" ht="14.15" customHeight="1" x14ac:dyDescent="0.35">
      <c r="A433" s="114" t="s">
        <v>12344</v>
      </c>
      <c r="B433" s="115" t="s">
        <v>12345</v>
      </c>
      <c r="C433" s="114" t="s">
        <v>12378</v>
      </c>
      <c r="D433" s="115" t="s">
        <v>12379</v>
      </c>
    </row>
    <row r="434" spans="1:4" ht="14.15" customHeight="1" x14ac:dyDescent="0.35">
      <c r="A434" s="114" t="s">
        <v>12344</v>
      </c>
      <c r="B434" s="115" t="s">
        <v>12345</v>
      </c>
      <c r="C434" s="114" t="s">
        <v>12380</v>
      </c>
      <c r="D434" s="115" t="s">
        <v>12381</v>
      </c>
    </row>
    <row r="435" spans="1:4" ht="14.15" customHeight="1" x14ac:dyDescent="0.35">
      <c r="A435" s="114" t="s">
        <v>12344</v>
      </c>
      <c r="B435" s="115" t="s">
        <v>12345</v>
      </c>
      <c r="C435" s="114" t="s">
        <v>12382</v>
      </c>
      <c r="D435" s="115" t="s">
        <v>12383</v>
      </c>
    </row>
    <row r="436" spans="1:4" ht="14.15" customHeight="1" x14ac:dyDescent="0.35">
      <c r="A436" s="114" t="s">
        <v>12344</v>
      </c>
      <c r="B436" s="115" t="s">
        <v>12345</v>
      </c>
      <c r="C436" s="114" t="s">
        <v>12384</v>
      </c>
      <c r="D436" s="115" t="s">
        <v>12385</v>
      </c>
    </row>
    <row r="437" spans="1:4" ht="14.15" customHeight="1" x14ac:dyDescent="0.35">
      <c r="A437" s="114" t="s">
        <v>12344</v>
      </c>
      <c r="B437" s="115" t="s">
        <v>12345</v>
      </c>
      <c r="C437" s="114" t="s">
        <v>12386</v>
      </c>
      <c r="D437" s="115" t="s">
        <v>12387</v>
      </c>
    </row>
    <row r="438" spans="1:4" ht="14.15" customHeight="1" x14ac:dyDescent="0.35">
      <c r="A438" s="114" t="s">
        <v>12344</v>
      </c>
      <c r="B438" s="115" t="s">
        <v>12345</v>
      </c>
      <c r="C438" s="114" t="s">
        <v>12388</v>
      </c>
      <c r="D438" s="115" t="s">
        <v>12389</v>
      </c>
    </row>
    <row r="439" spans="1:4" ht="14.15" customHeight="1" x14ac:dyDescent="0.35">
      <c r="A439" s="158" t="s">
        <v>12344</v>
      </c>
      <c r="B439" s="115" t="s">
        <v>12345</v>
      </c>
      <c r="C439" s="114" t="s">
        <v>12390</v>
      </c>
      <c r="D439" s="157" t="s">
        <v>12391</v>
      </c>
    </row>
    <row r="440" spans="1:4" ht="14.15" customHeight="1" x14ac:dyDescent="0.35">
      <c r="A440" s="114" t="s">
        <v>12344</v>
      </c>
      <c r="B440" s="115" t="s">
        <v>12345</v>
      </c>
      <c r="C440" s="114" t="s">
        <v>12392</v>
      </c>
      <c r="D440" s="115" t="s">
        <v>12393</v>
      </c>
    </row>
    <row r="441" spans="1:4" ht="14.15" customHeight="1" x14ac:dyDescent="0.35">
      <c r="A441" s="114" t="s">
        <v>12344</v>
      </c>
      <c r="B441" s="115" t="s">
        <v>12345</v>
      </c>
      <c r="C441" s="114" t="s">
        <v>12394</v>
      </c>
      <c r="D441" s="115" t="s">
        <v>12395</v>
      </c>
    </row>
    <row r="442" spans="1:4" ht="14.15" customHeight="1" x14ac:dyDescent="0.35">
      <c r="A442" s="114" t="s">
        <v>12344</v>
      </c>
      <c r="B442" s="115" t="s">
        <v>12345</v>
      </c>
      <c r="C442" s="114" t="s">
        <v>12396</v>
      </c>
      <c r="D442" s="115" t="s">
        <v>12397</v>
      </c>
    </row>
    <row r="443" spans="1:4" ht="14.15" customHeight="1" x14ac:dyDescent="0.35">
      <c r="A443" s="114" t="s">
        <v>12344</v>
      </c>
      <c r="B443" s="115" t="s">
        <v>12345</v>
      </c>
      <c r="C443" s="114" t="s">
        <v>12398</v>
      </c>
      <c r="D443" s="115" t="s">
        <v>12399</v>
      </c>
    </row>
    <row r="444" spans="1:4" ht="14.15" customHeight="1" x14ac:dyDescent="0.35">
      <c r="A444" s="114" t="s">
        <v>12344</v>
      </c>
      <c r="B444" s="115" t="s">
        <v>12345</v>
      </c>
      <c r="C444" s="114" t="s">
        <v>12400</v>
      </c>
      <c r="D444" s="115" t="s">
        <v>12401</v>
      </c>
    </row>
    <row r="445" spans="1:4" ht="14.15" customHeight="1" x14ac:dyDescent="0.35">
      <c r="A445" s="114" t="s">
        <v>12344</v>
      </c>
      <c r="B445" s="115" t="s">
        <v>12345</v>
      </c>
      <c r="C445" s="114" t="s">
        <v>12402</v>
      </c>
      <c r="D445" s="115" t="s">
        <v>12403</v>
      </c>
    </row>
    <row r="446" spans="1:4" ht="14.15" customHeight="1" x14ac:dyDescent="0.35">
      <c r="A446" s="114" t="s">
        <v>12344</v>
      </c>
      <c r="B446" s="115" t="s">
        <v>12345</v>
      </c>
      <c r="C446" s="114" t="s">
        <v>12404</v>
      </c>
      <c r="D446" s="115" t="s">
        <v>12405</v>
      </c>
    </row>
    <row r="447" spans="1:4" ht="14.15" customHeight="1" x14ac:dyDescent="0.35">
      <c r="A447" s="114" t="s">
        <v>12344</v>
      </c>
      <c r="B447" s="115" t="s">
        <v>12345</v>
      </c>
      <c r="C447" s="114" t="s">
        <v>12406</v>
      </c>
      <c r="D447" s="115" t="s">
        <v>11675</v>
      </c>
    </row>
    <row r="448" spans="1:4" ht="14.15" customHeight="1" x14ac:dyDescent="0.35">
      <c r="A448" s="114" t="s">
        <v>12344</v>
      </c>
      <c r="B448" s="115" t="s">
        <v>12345</v>
      </c>
      <c r="C448" s="114" t="s">
        <v>12407</v>
      </c>
      <c r="D448" s="115" t="s">
        <v>12408</v>
      </c>
    </row>
    <row r="449" spans="1:4" ht="14.15" customHeight="1" x14ac:dyDescent="0.35">
      <c r="A449" s="114" t="s">
        <v>12344</v>
      </c>
      <c r="B449" s="115" t="s">
        <v>12345</v>
      </c>
      <c r="C449" s="114" t="s">
        <v>12409</v>
      </c>
      <c r="D449" s="115" t="s">
        <v>12410</v>
      </c>
    </row>
    <row r="450" spans="1:4" ht="14.15" customHeight="1" x14ac:dyDescent="0.35">
      <c r="A450" s="114" t="s">
        <v>12344</v>
      </c>
      <c r="B450" s="115" t="s">
        <v>12345</v>
      </c>
      <c r="C450" s="114" t="s">
        <v>12411</v>
      </c>
      <c r="D450" s="115" t="s">
        <v>12412</v>
      </c>
    </row>
    <row r="451" spans="1:4" ht="14.15" customHeight="1" x14ac:dyDescent="0.35">
      <c r="A451" s="114" t="s">
        <v>12344</v>
      </c>
      <c r="B451" s="115" t="s">
        <v>12345</v>
      </c>
      <c r="C451" s="114" t="s">
        <v>12413</v>
      </c>
      <c r="D451" s="115" t="s">
        <v>12414</v>
      </c>
    </row>
    <row r="452" spans="1:4" ht="14.15" customHeight="1" x14ac:dyDescent="0.35">
      <c r="A452" s="114" t="s">
        <v>12344</v>
      </c>
      <c r="B452" s="115" t="s">
        <v>12345</v>
      </c>
      <c r="C452" s="114" t="s">
        <v>12415</v>
      </c>
      <c r="D452" s="115" t="s">
        <v>12416</v>
      </c>
    </row>
    <row r="453" spans="1:4" ht="14.15" customHeight="1" x14ac:dyDescent="0.35">
      <c r="A453" s="114" t="s">
        <v>12344</v>
      </c>
      <c r="B453" s="115" t="s">
        <v>12345</v>
      </c>
      <c r="C453" s="114" t="s">
        <v>12417</v>
      </c>
      <c r="D453" s="115" t="s">
        <v>12418</v>
      </c>
    </row>
    <row r="454" spans="1:4" ht="14.15" customHeight="1" x14ac:dyDescent="0.35">
      <c r="A454" s="114" t="s">
        <v>12344</v>
      </c>
      <c r="B454" s="115" t="s">
        <v>12345</v>
      </c>
      <c r="C454" s="114" t="s">
        <v>12419</v>
      </c>
      <c r="D454" s="115" t="s">
        <v>12420</v>
      </c>
    </row>
    <row r="455" spans="1:4" ht="14.15" customHeight="1" x14ac:dyDescent="0.35">
      <c r="A455" s="114" t="s">
        <v>12344</v>
      </c>
      <c r="B455" s="115" t="s">
        <v>12345</v>
      </c>
      <c r="C455" s="114" t="s">
        <v>12421</v>
      </c>
      <c r="D455" s="115" t="s">
        <v>12422</v>
      </c>
    </row>
    <row r="456" spans="1:4" ht="14.15" customHeight="1" x14ac:dyDescent="0.35">
      <c r="A456" s="114" t="s">
        <v>12344</v>
      </c>
      <c r="B456" s="115" t="s">
        <v>12345</v>
      </c>
      <c r="C456" s="114" t="s">
        <v>12423</v>
      </c>
      <c r="D456" s="115" t="s">
        <v>12424</v>
      </c>
    </row>
    <row r="457" spans="1:4" ht="14.15" customHeight="1" x14ac:dyDescent="0.35">
      <c r="A457" s="114" t="s">
        <v>12344</v>
      </c>
      <c r="B457" s="115" t="s">
        <v>12345</v>
      </c>
      <c r="C457" s="114" t="s">
        <v>12425</v>
      </c>
      <c r="D457" s="115" t="s">
        <v>12426</v>
      </c>
    </row>
    <row r="458" spans="1:4" ht="14.15" customHeight="1" x14ac:dyDescent="0.35">
      <c r="A458" s="114" t="s">
        <v>12344</v>
      </c>
      <c r="B458" s="115" t="s">
        <v>12345</v>
      </c>
      <c r="C458" s="114" t="s">
        <v>12427</v>
      </c>
      <c r="D458" s="115" t="s">
        <v>12428</v>
      </c>
    </row>
    <row r="459" spans="1:4" ht="14.15" customHeight="1" x14ac:dyDescent="0.35">
      <c r="A459" s="114" t="s">
        <v>12344</v>
      </c>
      <c r="B459" s="115" t="s">
        <v>12345</v>
      </c>
      <c r="C459" s="114" t="s">
        <v>12429</v>
      </c>
      <c r="D459" s="115" t="s">
        <v>12430</v>
      </c>
    </row>
    <row r="460" spans="1:4" ht="14.15" customHeight="1" x14ac:dyDescent="0.35">
      <c r="A460" s="114" t="s">
        <v>12344</v>
      </c>
      <c r="B460" s="115" t="s">
        <v>12345</v>
      </c>
      <c r="C460" s="114" t="s">
        <v>12431</v>
      </c>
      <c r="D460" s="115" t="s">
        <v>12432</v>
      </c>
    </row>
    <row r="461" spans="1:4" ht="14.15" customHeight="1" x14ac:dyDescent="0.35">
      <c r="A461" s="114" t="s">
        <v>12344</v>
      </c>
      <c r="B461" s="115" t="s">
        <v>12345</v>
      </c>
      <c r="C461" s="114" t="s">
        <v>12433</v>
      </c>
      <c r="D461" s="115" t="s">
        <v>12434</v>
      </c>
    </row>
    <row r="462" spans="1:4" ht="14.15" customHeight="1" x14ac:dyDescent="0.35">
      <c r="A462" s="114" t="s">
        <v>12344</v>
      </c>
      <c r="B462" s="115" t="s">
        <v>12345</v>
      </c>
      <c r="C462" s="114" t="s">
        <v>12435</v>
      </c>
      <c r="D462" s="115" t="s">
        <v>12436</v>
      </c>
    </row>
    <row r="463" spans="1:4" ht="14.15" customHeight="1" x14ac:dyDescent="0.35">
      <c r="A463" s="114" t="s">
        <v>12344</v>
      </c>
      <c r="B463" s="115" t="s">
        <v>12345</v>
      </c>
      <c r="C463" s="114" t="s">
        <v>12437</v>
      </c>
      <c r="D463" s="115" t="s">
        <v>12438</v>
      </c>
    </row>
    <row r="464" spans="1:4" ht="14.15" customHeight="1" x14ac:dyDescent="0.35">
      <c r="A464" s="114" t="s">
        <v>12344</v>
      </c>
      <c r="B464" s="115" t="s">
        <v>12345</v>
      </c>
      <c r="C464" s="114" t="s">
        <v>12439</v>
      </c>
      <c r="D464" s="115" t="s">
        <v>12440</v>
      </c>
    </row>
    <row r="465" spans="1:4" ht="14.15" customHeight="1" x14ac:dyDescent="0.35">
      <c r="A465" s="114" t="s">
        <v>12344</v>
      </c>
      <c r="B465" s="115" t="s">
        <v>12345</v>
      </c>
      <c r="C465" s="114" t="s">
        <v>12441</v>
      </c>
      <c r="D465" s="115" t="s">
        <v>12442</v>
      </c>
    </row>
    <row r="466" spans="1:4" ht="14.15" customHeight="1" x14ac:dyDescent="0.35">
      <c r="A466" s="114" t="s">
        <v>12344</v>
      </c>
      <c r="B466" s="115" t="s">
        <v>12345</v>
      </c>
      <c r="C466" s="114" t="s">
        <v>12443</v>
      </c>
      <c r="D466" s="115" t="s">
        <v>12444</v>
      </c>
    </row>
    <row r="467" spans="1:4" ht="14.15" customHeight="1" x14ac:dyDescent="0.35">
      <c r="A467" s="114" t="s">
        <v>12344</v>
      </c>
      <c r="B467" s="115" t="s">
        <v>12345</v>
      </c>
      <c r="C467" s="114" t="s">
        <v>12445</v>
      </c>
      <c r="D467" s="115" t="s">
        <v>12446</v>
      </c>
    </row>
    <row r="468" spans="1:4" ht="14.15" customHeight="1" x14ac:dyDescent="0.35">
      <c r="A468" s="114" t="s">
        <v>12344</v>
      </c>
      <c r="B468" s="115" t="s">
        <v>12345</v>
      </c>
      <c r="C468" s="114" t="s">
        <v>12447</v>
      </c>
      <c r="D468" s="115" t="s">
        <v>12448</v>
      </c>
    </row>
    <row r="469" spans="1:4" ht="14.15" customHeight="1" x14ac:dyDescent="0.35">
      <c r="A469" s="114" t="s">
        <v>12344</v>
      </c>
      <c r="B469" s="115" t="s">
        <v>12345</v>
      </c>
      <c r="C469" s="114" t="s">
        <v>12449</v>
      </c>
      <c r="D469" s="115" t="s">
        <v>12450</v>
      </c>
    </row>
    <row r="470" spans="1:4" ht="14.15" customHeight="1" x14ac:dyDescent="0.35">
      <c r="A470" s="114" t="s">
        <v>12344</v>
      </c>
      <c r="B470" s="115" t="s">
        <v>12345</v>
      </c>
      <c r="C470" s="114" t="s">
        <v>12451</v>
      </c>
      <c r="D470" s="115" t="s">
        <v>12452</v>
      </c>
    </row>
    <row r="471" spans="1:4" ht="14.15" customHeight="1" x14ac:dyDescent="0.35">
      <c r="A471" s="114" t="s">
        <v>12344</v>
      </c>
      <c r="B471" s="115" t="s">
        <v>12345</v>
      </c>
      <c r="C471" s="114" t="s">
        <v>12453</v>
      </c>
      <c r="D471" s="115" t="s">
        <v>12454</v>
      </c>
    </row>
    <row r="472" spans="1:4" ht="14.15" customHeight="1" x14ac:dyDescent="0.35">
      <c r="A472" s="114" t="s">
        <v>12344</v>
      </c>
      <c r="B472" s="115" t="s">
        <v>12345</v>
      </c>
      <c r="C472" s="114" t="s">
        <v>12455</v>
      </c>
      <c r="D472" s="115" t="s">
        <v>12456</v>
      </c>
    </row>
    <row r="473" spans="1:4" ht="14.15" customHeight="1" x14ac:dyDescent="0.35">
      <c r="A473" s="114" t="s">
        <v>12344</v>
      </c>
      <c r="B473" s="115" t="s">
        <v>12345</v>
      </c>
      <c r="C473" s="114" t="s">
        <v>12457</v>
      </c>
      <c r="D473" s="115" t="s">
        <v>12458</v>
      </c>
    </row>
    <row r="474" spans="1:4" ht="14.15" customHeight="1" x14ac:dyDescent="0.35">
      <c r="A474" s="114" t="s">
        <v>12344</v>
      </c>
      <c r="B474" s="115" t="s">
        <v>12345</v>
      </c>
      <c r="C474" s="114" t="s">
        <v>12459</v>
      </c>
      <c r="D474" s="115" t="s">
        <v>12460</v>
      </c>
    </row>
    <row r="475" spans="1:4" ht="14.15" customHeight="1" x14ac:dyDescent="0.35">
      <c r="A475" s="354" t="s">
        <v>12344</v>
      </c>
      <c r="B475" s="118" t="s">
        <v>12345</v>
      </c>
      <c r="C475" s="117" t="s">
        <v>12461</v>
      </c>
      <c r="D475" s="118" t="s">
        <v>12462</v>
      </c>
    </row>
    <row r="476" spans="1:4" ht="14.15" customHeight="1" x14ac:dyDescent="0.35">
      <c r="A476" s="114" t="s">
        <v>12344</v>
      </c>
      <c r="B476" s="115" t="s">
        <v>12345</v>
      </c>
      <c r="C476" s="114" t="s">
        <v>12463</v>
      </c>
      <c r="D476" s="115" t="s">
        <v>12464</v>
      </c>
    </row>
    <row r="477" spans="1:4" ht="14.15" customHeight="1" x14ac:dyDescent="0.35">
      <c r="A477" s="114" t="s">
        <v>12344</v>
      </c>
      <c r="B477" s="115" t="s">
        <v>12345</v>
      </c>
      <c r="C477" s="114" t="s">
        <v>12465</v>
      </c>
      <c r="D477" s="115" t="s">
        <v>12466</v>
      </c>
    </row>
    <row r="478" spans="1:4" ht="14.15" customHeight="1" x14ac:dyDescent="0.35">
      <c r="A478" s="114" t="s">
        <v>12344</v>
      </c>
      <c r="B478" s="115" t="s">
        <v>12345</v>
      </c>
      <c r="C478" s="114" t="s">
        <v>12467</v>
      </c>
      <c r="D478" s="115" t="s">
        <v>12468</v>
      </c>
    </row>
    <row r="479" spans="1:4" ht="14.15" customHeight="1" x14ac:dyDescent="0.35">
      <c r="A479" s="158" t="s">
        <v>12469</v>
      </c>
      <c r="B479" s="115" t="s">
        <v>12470</v>
      </c>
      <c r="C479" s="114" t="s">
        <v>12471</v>
      </c>
      <c r="D479" s="157" t="s">
        <v>12472</v>
      </c>
    </row>
    <row r="480" spans="1:4" ht="14.15" customHeight="1" x14ac:dyDescent="0.35">
      <c r="A480" s="114" t="s">
        <v>12469</v>
      </c>
      <c r="B480" s="115" t="s">
        <v>12470</v>
      </c>
      <c r="C480" s="114" t="s">
        <v>12473</v>
      </c>
      <c r="D480" s="115" t="s">
        <v>12474</v>
      </c>
    </row>
    <row r="481" spans="1:4" ht="14.15" customHeight="1" x14ac:dyDescent="0.35">
      <c r="A481" s="354" t="s">
        <v>12469</v>
      </c>
      <c r="B481" s="118" t="s">
        <v>12470</v>
      </c>
      <c r="C481" s="117" t="s">
        <v>12475</v>
      </c>
      <c r="D481" s="118" t="s">
        <v>12476</v>
      </c>
    </row>
    <row r="482" spans="1:4" ht="14.15" customHeight="1" x14ac:dyDescent="0.35">
      <c r="A482" s="114" t="s">
        <v>12469</v>
      </c>
      <c r="B482" s="115" t="s">
        <v>12470</v>
      </c>
      <c r="C482" s="114" t="s">
        <v>12477</v>
      </c>
      <c r="D482" s="115" t="s">
        <v>12478</v>
      </c>
    </row>
    <row r="483" spans="1:4" ht="14.15" customHeight="1" x14ac:dyDescent="0.35">
      <c r="A483" s="114" t="s">
        <v>12479</v>
      </c>
      <c r="B483" s="115" t="s">
        <v>12480</v>
      </c>
      <c r="C483" s="114" t="s">
        <v>11315</v>
      </c>
      <c r="D483" s="115" t="s">
        <v>12481</v>
      </c>
    </row>
    <row r="484" spans="1:4" ht="14.15" customHeight="1" x14ac:dyDescent="0.35">
      <c r="A484" s="114" t="s">
        <v>12479</v>
      </c>
      <c r="B484" s="115" t="s">
        <v>12480</v>
      </c>
      <c r="C484" s="114" t="s">
        <v>12482</v>
      </c>
      <c r="D484" s="115" t="s">
        <v>12483</v>
      </c>
    </row>
    <row r="485" spans="1:4" ht="14.15" customHeight="1" x14ac:dyDescent="0.35">
      <c r="A485" s="114" t="s">
        <v>12479</v>
      </c>
      <c r="B485" s="115" t="s">
        <v>12480</v>
      </c>
      <c r="C485" s="114" t="s">
        <v>12484</v>
      </c>
      <c r="D485" s="115" t="s">
        <v>12485</v>
      </c>
    </row>
    <row r="486" spans="1:4" ht="14.15" customHeight="1" x14ac:dyDescent="0.35">
      <c r="A486" s="114" t="s">
        <v>12479</v>
      </c>
      <c r="B486" s="115" t="s">
        <v>12480</v>
      </c>
      <c r="C486" s="114" t="s">
        <v>12486</v>
      </c>
      <c r="D486" s="115" t="s">
        <v>12487</v>
      </c>
    </row>
    <row r="487" spans="1:4" ht="14.15" customHeight="1" x14ac:dyDescent="0.35">
      <c r="A487" s="114" t="s">
        <v>12479</v>
      </c>
      <c r="B487" s="115" t="s">
        <v>12480</v>
      </c>
      <c r="C487" s="114" t="s">
        <v>12488</v>
      </c>
      <c r="D487" s="115" t="s">
        <v>12489</v>
      </c>
    </row>
    <row r="488" spans="1:4" ht="14.15" customHeight="1" x14ac:dyDescent="0.35">
      <c r="A488" s="114" t="s">
        <v>12479</v>
      </c>
      <c r="B488" s="115" t="s">
        <v>12480</v>
      </c>
      <c r="C488" s="114" t="s">
        <v>12490</v>
      </c>
      <c r="D488" s="115" t="s">
        <v>12491</v>
      </c>
    </row>
    <row r="489" spans="1:4" ht="14.15" customHeight="1" x14ac:dyDescent="0.35">
      <c r="A489" s="114" t="s">
        <v>2436</v>
      </c>
      <c r="B489" s="115" t="s">
        <v>12492</v>
      </c>
      <c r="C489" s="114" t="s">
        <v>12493</v>
      </c>
      <c r="D489" s="115" t="s">
        <v>12494</v>
      </c>
    </row>
    <row r="490" spans="1:4" ht="14.15" customHeight="1" x14ac:dyDescent="0.35">
      <c r="A490" s="114" t="s">
        <v>2436</v>
      </c>
      <c r="B490" s="115" t="s">
        <v>12492</v>
      </c>
      <c r="C490" s="114" t="s">
        <v>12495</v>
      </c>
      <c r="D490" s="115" t="s">
        <v>12496</v>
      </c>
    </row>
    <row r="491" spans="1:4" ht="14.15" customHeight="1" x14ac:dyDescent="0.35">
      <c r="A491" s="114" t="s">
        <v>2436</v>
      </c>
      <c r="B491" s="115" t="s">
        <v>12492</v>
      </c>
      <c r="C491" s="114" t="s">
        <v>11276</v>
      </c>
      <c r="D491" s="115" t="s">
        <v>12497</v>
      </c>
    </row>
    <row r="492" spans="1:4" ht="14.15" customHeight="1" x14ac:dyDescent="0.35">
      <c r="A492" s="114" t="s">
        <v>12498</v>
      </c>
      <c r="B492" s="115" t="s">
        <v>12499</v>
      </c>
      <c r="C492" s="114" t="s">
        <v>12500</v>
      </c>
      <c r="D492" s="115" t="s">
        <v>12501</v>
      </c>
    </row>
    <row r="493" spans="1:4" ht="14.15" customHeight="1" x14ac:dyDescent="0.35">
      <c r="A493" s="114" t="s">
        <v>12498</v>
      </c>
      <c r="B493" s="115" t="s">
        <v>12499</v>
      </c>
      <c r="C493" s="114" t="s">
        <v>12502</v>
      </c>
      <c r="D493" s="115" t="s">
        <v>12503</v>
      </c>
    </row>
    <row r="494" spans="1:4" ht="14.15" customHeight="1" x14ac:dyDescent="0.35">
      <c r="A494" s="114" t="s">
        <v>12498</v>
      </c>
      <c r="B494" s="115" t="s">
        <v>12499</v>
      </c>
      <c r="C494" s="114" t="s">
        <v>12504</v>
      </c>
      <c r="D494" s="115" t="s">
        <v>12505</v>
      </c>
    </row>
    <row r="495" spans="1:4" ht="14.15" customHeight="1" x14ac:dyDescent="0.35">
      <c r="A495" s="114" t="s">
        <v>12498</v>
      </c>
      <c r="B495" s="115" t="s">
        <v>12499</v>
      </c>
      <c r="C495" s="114" t="s">
        <v>12506</v>
      </c>
      <c r="D495" s="115" t="s">
        <v>12507</v>
      </c>
    </row>
    <row r="496" spans="1:4" ht="14.15" customHeight="1" x14ac:dyDescent="0.35">
      <c r="A496" s="114" t="s">
        <v>12498</v>
      </c>
      <c r="B496" s="115" t="s">
        <v>12499</v>
      </c>
      <c r="C496" s="114" t="s">
        <v>12508</v>
      </c>
      <c r="D496" s="115" t="s">
        <v>12509</v>
      </c>
    </row>
    <row r="497" spans="1:4" ht="14.15" customHeight="1" x14ac:dyDescent="0.35">
      <c r="A497" s="114" t="s">
        <v>12498</v>
      </c>
      <c r="B497" s="115" t="s">
        <v>12499</v>
      </c>
      <c r="C497" s="114" t="s">
        <v>12510</v>
      </c>
      <c r="D497" s="115" t="s">
        <v>12511</v>
      </c>
    </row>
    <row r="498" spans="1:4" ht="14.15" customHeight="1" x14ac:dyDescent="0.35">
      <c r="A498" s="114" t="s">
        <v>2426</v>
      </c>
      <c r="B498" s="115" t="s">
        <v>12512</v>
      </c>
      <c r="C498" s="114" t="s">
        <v>12513</v>
      </c>
      <c r="D498" s="115" t="s">
        <v>12514</v>
      </c>
    </row>
    <row r="499" spans="1:4" ht="14.15" customHeight="1" x14ac:dyDescent="0.35">
      <c r="A499" s="114" t="s">
        <v>2426</v>
      </c>
      <c r="B499" s="115" t="s">
        <v>12512</v>
      </c>
      <c r="C499" s="114" t="s">
        <v>12515</v>
      </c>
      <c r="D499" s="115" t="s">
        <v>12516</v>
      </c>
    </row>
    <row r="500" spans="1:4" ht="14.15" customHeight="1" x14ac:dyDescent="0.35">
      <c r="A500" s="114" t="s">
        <v>2426</v>
      </c>
      <c r="B500" s="115" t="s">
        <v>12512</v>
      </c>
      <c r="C500" s="114" t="s">
        <v>12517</v>
      </c>
      <c r="D500" s="115" t="s">
        <v>12518</v>
      </c>
    </row>
    <row r="501" spans="1:4" ht="14.15" customHeight="1" x14ac:dyDescent="0.35">
      <c r="A501" s="114" t="s">
        <v>2314</v>
      </c>
      <c r="B501" s="115" t="s">
        <v>12519</v>
      </c>
      <c r="C501" s="114" t="s">
        <v>12520</v>
      </c>
      <c r="D501" s="115" t="s">
        <v>12521</v>
      </c>
    </row>
    <row r="502" spans="1:4" ht="14.15" customHeight="1" x14ac:dyDescent="0.35">
      <c r="A502" s="114" t="s">
        <v>12522</v>
      </c>
      <c r="B502" s="115" t="s">
        <v>12523</v>
      </c>
      <c r="C502" s="114" t="s">
        <v>12524</v>
      </c>
      <c r="D502" s="115" t="s">
        <v>12525</v>
      </c>
    </row>
    <row r="503" spans="1:4" ht="14.15" customHeight="1" x14ac:dyDescent="0.35">
      <c r="A503" s="114" t="s">
        <v>12522</v>
      </c>
      <c r="B503" s="115" t="s">
        <v>12523</v>
      </c>
      <c r="C503" s="114" t="s">
        <v>12526</v>
      </c>
      <c r="D503" s="115" t="s">
        <v>12527</v>
      </c>
    </row>
    <row r="504" spans="1:4" ht="14.15" customHeight="1" x14ac:dyDescent="0.35">
      <c r="A504" s="114" t="s">
        <v>12522</v>
      </c>
      <c r="B504" s="115" t="s">
        <v>12523</v>
      </c>
      <c r="C504" s="114" t="s">
        <v>12528</v>
      </c>
      <c r="D504" s="115" t="s">
        <v>12529</v>
      </c>
    </row>
    <row r="505" spans="1:4" ht="14.15" customHeight="1" x14ac:dyDescent="0.35">
      <c r="A505" s="114" t="s">
        <v>12522</v>
      </c>
      <c r="B505" s="115" t="s">
        <v>12523</v>
      </c>
      <c r="C505" s="114" t="s">
        <v>12530</v>
      </c>
      <c r="D505" s="115" t="s">
        <v>12531</v>
      </c>
    </row>
    <row r="506" spans="1:4" ht="14.15" customHeight="1" x14ac:dyDescent="0.35">
      <c r="A506" s="114" t="s">
        <v>12522</v>
      </c>
      <c r="B506" s="115" t="s">
        <v>12523</v>
      </c>
      <c r="C506" s="114" t="s">
        <v>12532</v>
      </c>
      <c r="D506" s="115" t="s">
        <v>12533</v>
      </c>
    </row>
    <row r="507" spans="1:4" ht="14.15" customHeight="1" x14ac:dyDescent="0.35">
      <c r="A507" s="114" t="s">
        <v>12522</v>
      </c>
      <c r="B507" s="115" t="s">
        <v>12523</v>
      </c>
      <c r="C507" s="114" t="s">
        <v>12534</v>
      </c>
      <c r="D507" s="115" t="s">
        <v>12535</v>
      </c>
    </row>
    <row r="508" spans="1:4" ht="14.15" customHeight="1" x14ac:dyDescent="0.35">
      <c r="A508" s="114" t="s">
        <v>12522</v>
      </c>
      <c r="B508" s="115" t="s">
        <v>12523</v>
      </c>
      <c r="C508" s="114" t="s">
        <v>12536</v>
      </c>
      <c r="D508" s="115" t="s">
        <v>12537</v>
      </c>
    </row>
    <row r="509" spans="1:4" ht="14.15" customHeight="1" x14ac:dyDescent="0.35">
      <c r="A509" s="114" t="s">
        <v>12522</v>
      </c>
      <c r="B509" s="115" t="s">
        <v>12523</v>
      </c>
      <c r="C509" s="114" t="s">
        <v>12538</v>
      </c>
      <c r="D509" s="115" t="s">
        <v>12539</v>
      </c>
    </row>
    <row r="510" spans="1:4" ht="14.15" customHeight="1" x14ac:dyDescent="0.35">
      <c r="A510" s="114" t="s">
        <v>12522</v>
      </c>
      <c r="B510" s="115" t="s">
        <v>12523</v>
      </c>
      <c r="C510" s="114" t="s">
        <v>12540</v>
      </c>
      <c r="D510" s="115" t="s">
        <v>12541</v>
      </c>
    </row>
    <row r="511" spans="1:4" ht="14.15" customHeight="1" x14ac:dyDescent="0.35">
      <c r="A511" s="114" t="s">
        <v>12522</v>
      </c>
      <c r="B511" s="115" t="s">
        <v>12523</v>
      </c>
      <c r="C511" s="114" t="s">
        <v>12542</v>
      </c>
      <c r="D511" s="115" t="s">
        <v>12543</v>
      </c>
    </row>
    <row r="512" spans="1:4" ht="14.15" customHeight="1" x14ac:dyDescent="0.35">
      <c r="A512" s="114" t="s">
        <v>12522</v>
      </c>
      <c r="B512" s="115" t="s">
        <v>12523</v>
      </c>
      <c r="C512" s="114" t="s">
        <v>12544</v>
      </c>
      <c r="D512" s="115" t="s">
        <v>12545</v>
      </c>
    </row>
    <row r="513" spans="1:4" ht="14.15" customHeight="1" x14ac:dyDescent="0.35">
      <c r="A513" s="158" t="s">
        <v>12522</v>
      </c>
      <c r="B513" s="115" t="s">
        <v>12523</v>
      </c>
      <c r="C513" s="114" t="s">
        <v>12546</v>
      </c>
      <c r="D513" s="157" t="s">
        <v>12547</v>
      </c>
    </row>
    <row r="514" spans="1:4" ht="14.15" customHeight="1" x14ac:dyDescent="0.35">
      <c r="A514" s="354" t="s">
        <v>12522</v>
      </c>
      <c r="B514" s="118" t="s">
        <v>12523</v>
      </c>
      <c r="C514" s="117" t="s">
        <v>12548</v>
      </c>
      <c r="D514" s="118" t="s">
        <v>12549</v>
      </c>
    </row>
    <row r="515" spans="1:4" ht="14.15" customHeight="1" x14ac:dyDescent="0.35">
      <c r="A515" s="114" t="s">
        <v>12522</v>
      </c>
      <c r="B515" s="115" t="s">
        <v>12523</v>
      </c>
      <c r="C515" s="114" t="s">
        <v>12550</v>
      </c>
      <c r="D515" s="115" t="s">
        <v>12551</v>
      </c>
    </row>
    <row r="516" spans="1:4" ht="14.15" customHeight="1" x14ac:dyDescent="0.35">
      <c r="A516" s="114" t="s">
        <v>12552</v>
      </c>
      <c r="B516" s="115" t="s">
        <v>12553</v>
      </c>
      <c r="C516" s="114" t="s">
        <v>12554</v>
      </c>
      <c r="D516" s="115" t="s">
        <v>12555</v>
      </c>
    </row>
    <row r="517" spans="1:4" ht="14.15" customHeight="1" x14ac:dyDescent="0.35">
      <c r="A517" s="114" t="s">
        <v>12552</v>
      </c>
      <c r="B517" s="115" t="s">
        <v>12553</v>
      </c>
      <c r="C517" s="114" t="s">
        <v>12556</v>
      </c>
      <c r="D517" s="115" t="s">
        <v>12557</v>
      </c>
    </row>
    <row r="518" spans="1:4" ht="14.15" customHeight="1" x14ac:dyDescent="0.35">
      <c r="A518" s="114" t="s">
        <v>12552</v>
      </c>
      <c r="B518" s="115" t="s">
        <v>12553</v>
      </c>
      <c r="C518" s="114" t="s">
        <v>12558</v>
      </c>
      <c r="D518" s="115" t="s">
        <v>12559</v>
      </c>
    </row>
    <row r="519" spans="1:4" ht="14.15" customHeight="1" x14ac:dyDescent="0.35">
      <c r="A519" s="114" t="s">
        <v>12552</v>
      </c>
      <c r="B519" s="115" t="s">
        <v>12553</v>
      </c>
      <c r="C519" s="114" t="s">
        <v>12560</v>
      </c>
      <c r="D519" s="115" t="s">
        <v>12561</v>
      </c>
    </row>
    <row r="520" spans="1:4" ht="14.15" customHeight="1" x14ac:dyDescent="0.35">
      <c r="A520" s="114" t="s">
        <v>12552</v>
      </c>
      <c r="B520" s="115" t="s">
        <v>12553</v>
      </c>
      <c r="C520" s="114" t="s">
        <v>12562</v>
      </c>
      <c r="D520" s="115" t="s">
        <v>12563</v>
      </c>
    </row>
    <row r="521" spans="1:4" ht="14.15" customHeight="1" x14ac:dyDescent="0.35">
      <c r="A521" s="114" t="s">
        <v>12552</v>
      </c>
      <c r="B521" s="115" t="s">
        <v>12553</v>
      </c>
      <c r="C521" s="114" t="s">
        <v>12564</v>
      </c>
      <c r="D521" s="115" t="s">
        <v>12565</v>
      </c>
    </row>
    <row r="522" spans="1:4" ht="14.15" customHeight="1" x14ac:dyDescent="0.35">
      <c r="A522" s="114" t="s">
        <v>12552</v>
      </c>
      <c r="B522" s="115" t="s">
        <v>12553</v>
      </c>
      <c r="C522" s="114" t="s">
        <v>12566</v>
      </c>
      <c r="D522" s="115" t="s">
        <v>12567</v>
      </c>
    </row>
    <row r="523" spans="1:4" ht="14.15" customHeight="1" x14ac:dyDescent="0.35">
      <c r="A523" s="114" t="s">
        <v>12552</v>
      </c>
      <c r="B523" s="115" t="s">
        <v>12553</v>
      </c>
      <c r="C523" s="114" t="s">
        <v>12568</v>
      </c>
      <c r="D523" s="115" t="s">
        <v>12569</v>
      </c>
    </row>
    <row r="524" spans="1:4" ht="14.15" customHeight="1" x14ac:dyDescent="0.35">
      <c r="A524" s="114" t="s">
        <v>12552</v>
      </c>
      <c r="B524" s="115" t="s">
        <v>12553</v>
      </c>
      <c r="C524" s="114" t="s">
        <v>12570</v>
      </c>
      <c r="D524" s="115" t="s">
        <v>11555</v>
      </c>
    </row>
    <row r="525" spans="1:4" ht="14.15" customHeight="1" x14ac:dyDescent="0.35">
      <c r="A525" s="114" t="s">
        <v>12552</v>
      </c>
      <c r="B525" s="115" t="s">
        <v>12553</v>
      </c>
      <c r="C525" s="114" t="s">
        <v>12571</v>
      </c>
      <c r="D525" s="115" t="s">
        <v>12572</v>
      </c>
    </row>
    <row r="526" spans="1:4" ht="14.15" customHeight="1" x14ac:dyDescent="0.35">
      <c r="A526" s="114" t="s">
        <v>12552</v>
      </c>
      <c r="B526" s="115" t="s">
        <v>12553</v>
      </c>
      <c r="C526" s="114" t="s">
        <v>12573</v>
      </c>
      <c r="D526" s="115" t="s">
        <v>12574</v>
      </c>
    </row>
    <row r="527" spans="1:4" ht="14.15" customHeight="1" x14ac:dyDescent="0.35">
      <c r="A527" s="114" t="s">
        <v>12552</v>
      </c>
      <c r="B527" s="115" t="s">
        <v>12553</v>
      </c>
      <c r="C527" s="114" t="s">
        <v>12575</v>
      </c>
      <c r="D527" s="115" t="s">
        <v>12576</v>
      </c>
    </row>
    <row r="528" spans="1:4" ht="14.15" customHeight="1" x14ac:dyDescent="0.35">
      <c r="A528" s="114" t="s">
        <v>12552</v>
      </c>
      <c r="B528" s="115" t="s">
        <v>12553</v>
      </c>
      <c r="C528" s="114" t="s">
        <v>12577</v>
      </c>
      <c r="D528" s="115" t="s">
        <v>12578</v>
      </c>
    </row>
    <row r="529" spans="1:4" ht="14.15" customHeight="1" x14ac:dyDescent="0.35">
      <c r="A529" s="114" t="s">
        <v>12552</v>
      </c>
      <c r="B529" s="115" t="s">
        <v>12553</v>
      </c>
      <c r="C529" s="114" t="s">
        <v>12579</v>
      </c>
      <c r="D529" s="115" t="s">
        <v>12580</v>
      </c>
    </row>
    <row r="530" spans="1:4" ht="14.15" customHeight="1" x14ac:dyDescent="0.35">
      <c r="A530" s="114" t="s">
        <v>12552</v>
      </c>
      <c r="B530" s="115" t="s">
        <v>12553</v>
      </c>
      <c r="C530" s="114" t="s">
        <v>12581</v>
      </c>
      <c r="D530" s="115" t="s">
        <v>12582</v>
      </c>
    </row>
    <row r="531" spans="1:4" ht="14.15" customHeight="1" x14ac:dyDescent="0.35">
      <c r="A531" s="114" t="s">
        <v>12552</v>
      </c>
      <c r="B531" s="115" t="s">
        <v>12553</v>
      </c>
      <c r="C531" s="114" t="s">
        <v>12583</v>
      </c>
      <c r="D531" s="115" t="s">
        <v>12584</v>
      </c>
    </row>
    <row r="532" spans="1:4" ht="14.15" customHeight="1" x14ac:dyDescent="0.35">
      <c r="A532" s="114" t="s">
        <v>2422</v>
      </c>
      <c r="B532" s="115" t="s">
        <v>12585</v>
      </c>
      <c r="C532" s="114" t="s">
        <v>12586</v>
      </c>
      <c r="D532" s="115" t="s">
        <v>12587</v>
      </c>
    </row>
    <row r="533" spans="1:4" ht="14.15" customHeight="1" x14ac:dyDescent="0.35">
      <c r="A533" s="114" t="s">
        <v>2422</v>
      </c>
      <c r="B533" s="115" t="s">
        <v>12585</v>
      </c>
      <c r="C533" s="114" t="s">
        <v>12588</v>
      </c>
      <c r="D533" s="115" t="s">
        <v>12589</v>
      </c>
    </row>
    <row r="534" spans="1:4" ht="14.15" customHeight="1" x14ac:dyDescent="0.35">
      <c r="A534" s="114" t="s">
        <v>2422</v>
      </c>
      <c r="B534" s="115" t="s">
        <v>12585</v>
      </c>
      <c r="C534" s="114" t="s">
        <v>12590</v>
      </c>
      <c r="D534" s="115" t="s">
        <v>12591</v>
      </c>
    </row>
    <row r="535" spans="1:4" ht="14.15" customHeight="1" x14ac:dyDescent="0.35">
      <c r="A535" s="114" t="s">
        <v>2422</v>
      </c>
      <c r="B535" s="115" t="s">
        <v>12585</v>
      </c>
      <c r="C535" s="114" t="s">
        <v>12592</v>
      </c>
      <c r="D535" s="115" t="s">
        <v>12593</v>
      </c>
    </row>
    <row r="536" spans="1:4" ht="14.15" customHeight="1" x14ac:dyDescent="0.35">
      <c r="A536" s="114" t="s">
        <v>2422</v>
      </c>
      <c r="B536" s="115" t="s">
        <v>12585</v>
      </c>
      <c r="C536" s="114" t="s">
        <v>12594</v>
      </c>
      <c r="D536" s="115" t="s">
        <v>12595</v>
      </c>
    </row>
    <row r="537" spans="1:4" ht="14.15" customHeight="1" x14ac:dyDescent="0.35">
      <c r="A537" s="114" t="s">
        <v>2422</v>
      </c>
      <c r="B537" s="115" t="s">
        <v>12585</v>
      </c>
      <c r="C537" s="114" t="s">
        <v>12596</v>
      </c>
      <c r="D537" s="115" t="s">
        <v>12597</v>
      </c>
    </row>
    <row r="538" spans="1:4" ht="14.15" customHeight="1" x14ac:dyDescent="0.35">
      <c r="A538" s="114" t="s">
        <v>2422</v>
      </c>
      <c r="B538" s="115" t="s">
        <v>12585</v>
      </c>
      <c r="C538" s="114" t="s">
        <v>12598</v>
      </c>
      <c r="D538" s="115" t="s">
        <v>12599</v>
      </c>
    </row>
    <row r="539" spans="1:4" ht="14.15" customHeight="1" x14ac:dyDescent="0.35">
      <c r="A539" s="114" t="s">
        <v>2422</v>
      </c>
      <c r="B539" s="115" t="s">
        <v>12585</v>
      </c>
      <c r="C539" s="114" t="s">
        <v>12600</v>
      </c>
      <c r="D539" s="115" t="s">
        <v>12601</v>
      </c>
    </row>
    <row r="540" spans="1:4" ht="14.15" customHeight="1" x14ac:dyDescent="0.35">
      <c r="A540" s="114" t="s">
        <v>2422</v>
      </c>
      <c r="B540" s="115" t="s">
        <v>12585</v>
      </c>
      <c r="C540" s="114" t="s">
        <v>12602</v>
      </c>
      <c r="D540" s="115" t="s">
        <v>12603</v>
      </c>
    </row>
    <row r="541" spans="1:4" ht="14.15" customHeight="1" x14ac:dyDescent="0.35">
      <c r="A541" s="114" t="s">
        <v>2422</v>
      </c>
      <c r="B541" s="115" t="s">
        <v>12585</v>
      </c>
      <c r="C541" s="114" t="s">
        <v>12604</v>
      </c>
      <c r="D541" s="115" t="s">
        <v>12605</v>
      </c>
    </row>
    <row r="542" spans="1:4" ht="14.15" customHeight="1" x14ac:dyDescent="0.35">
      <c r="A542" s="114" t="s">
        <v>2422</v>
      </c>
      <c r="B542" s="115" t="s">
        <v>12585</v>
      </c>
      <c r="C542" s="114" t="s">
        <v>12606</v>
      </c>
      <c r="D542" s="115" t="s">
        <v>12607</v>
      </c>
    </row>
    <row r="543" spans="1:4" ht="14.15" customHeight="1" x14ac:dyDescent="0.35">
      <c r="A543" s="114" t="s">
        <v>2422</v>
      </c>
      <c r="B543" s="115" t="s">
        <v>12585</v>
      </c>
      <c r="C543" s="114" t="s">
        <v>12608</v>
      </c>
      <c r="D543" s="115" t="s">
        <v>12609</v>
      </c>
    </row>
    <row r="544" spans="1:4" ht="14.15" customHeight="1" x14ac:dyDescent="0.35">
      <c r="A544" s="114" t="s">
        <v>2422</v>
      </c>
      <c r="B544" s="115" t="s">
        <v>12585</v>
      </c>
      <c r="C544" s="114" t="s">
        <v>12610</v>
      </c>
      <c r="D544" s="115" t="s">
        <v>12611</v>
      </c>
    </row>
    <row r="545" spans="1:4" ht="14.15" customHeight="1" x14ac:dyDescent="0.35">
      <c r="A545" s="114" t="s">
        <v>12612</v>
      </c>
      <c r="B545" s="115" t="s">
        <v>12613</v>
      </c>
      <c r="C545" s="114" t="s">
        <v>12614</v>
      </c>
      <c r="D545" s="115" t="s">
        <v>12615</v>
      </c>
    </row>
    <row r="546" spans="1:4" ht="14.15" customHeight="1" x14ac:dyDescent="0.35">
      <c r="A546" s="114" t="s">
        <v>12612</v>
      </c>
      <c r="B546" s="115" t="s">
        <v>12613</v>
      </c>
      <c r="C546" s="114" t="s">
        <v>12616</v>
      </c>
      <c r="D546" s="115" t="s">
        <v>12617</v>
      </c>
    </row>
    <row r="547" spans="1:4" ht="14.15" customHeight="1" x14ac:dyDescent="0.35">
      <c r="A547" s="114" t="s">
        <v>12612</v>
      </c>
      <c r="B547" s="115" t="s">
        <v>12613</v>
      </c>
      <c r="C547" s="114" t="s">
        <v>12618</v>
      </c>
      <c r="D547" s="115" t="s">
        <v>12619</v>
      </c>
    </row>
    <row r="548" spans="1:4" ht="14.15" customHeight="1" x14ac:dyDescent="0.35">
      <c r="A548" s="114" t="s">
        <v>12612</v>
      </c>
      <c r="B548" s="115" t="s">
        <v>12613</v>
      </c>
      <c r="C548" s="114" t="s">
        <v>12620</v>
      </c>
      <c r="D548" s="115" t="s">
        <v>12621</v>
      </c>
    </row>
    <row r="549" spans="1:4" ht="14.15" customHeight="1" x14ac:dyDescent="0.35">
      <c r="A549" s="114" t="s">
        <v>12622</v>
      </c>
      <c r="B549" s="115" t="s">
        <v>12623</v>
      </c>
      <c r="C549" s="114" t="s">
        <v>12624</v>
      </c>
      <c r="D549" s="115" t="s">
        <v>12625</v>
      </c>
    </row>
    <row r="550" spans="1:4" ht="14.15" customHeight="1" x14ac:dyDescent="0.35">
      <c r="A550" s="158" t="s">
        <v>12626</v>
      </c>
      <c r="B550" s="115" t="s">
        <v>12627</v>
      </c>
      <c r="C550" s="114" t="s">
        <v>11331</v>
      </c>
      <c r="D550" s="157" t="s">
        <v>12628</v>
      </c>
    </row>
    <row r="551" spans="1:4" ht="14.15" customHeight="1" x14ac:dyDescent="0.35">
      <c r="A551" s="158" t="s">
        <v>12626</v>
      </c>
      <c r="B551" s="115" t="s">
        <v>12627</v>
      </c>
      <c r="C551" s="114" t="s">
        <v>11311</v>
      </c>
      <c r="D551" s="157" t="s">
        <v>12629</v>
      </c>
    </row>
    <row r="552" spans="1:4" ht="14.15" customHeight="1" x14ac:dyDescent="0.35">
      <c r="A552" s="114" t="s">
        <v>12626</v>
      </c>
      <c r="B552" s="115" t="s">
        <v>12627</v>
      </c>
      <c r="C552" s="114" t="s">
        <v>12630</v>
      </c>
      <c r="D552" s="115" t="s">
        <v>12631</v>
      </c>
    </row>
    <row r="553" spans="1:4" ht="14.15" customHeight="1" x14ac:dyDescent="0.35">
      <c r="A553" s="114" t="s">
        <v>12626</v>
      </c>
      <c r="B553" s="115" t="s">
        <v>12627</v>
      </c>
      <c r="C553" s="114" t="s">
        <v>12632</v>
      </c>
      <c r="D553" s="115" t="s">
        <v>12633</v>
      </c>
    </row>
    <row r="554" spans="1:4" ht="14.15" customHeight="1" x14ac:dyDescent="0.35">
      <c r="A554" s="114" t="s">
        <v>12626</v>
      </c>
      <c r="B554" s="115" t="s">
        <v>12627</v>
      </c>
      <c r="C554" s="114" t="s">
        <v>12634</v>
      </c>
      <c r="D554" s="115" t="s">
        <v>12635</v>
      </c>
    </row>
    <row r="555" spans="1:4" ht="14.15" customHeight="1" x14ac:dyDescent="0.35">
      <c r="A555" s="114" t="s">
        <v>12626</v>
      </c>
      <c r="B555" s="115" t="s">
        <v>12627</v>
      </c>
      <c r="C555" s="114" t="s">
        <v>12636</v>
      </c>
      <c r="D555" s="115" t="s">
        <v>12637</v>
      </c>
    </row>
    <row r="556" spans="1:4" ht="14.15" customHeight="1" x14ac:dyDescent="0.35">
      <c r="A556" s="114" t="s">
        <v>12626</v>
      </c>
      <c r="B556" s="115" t="s">
        <v>12627</v>
      </c>
      <c r="C556" s="114" t="s">
        <v>12638</v>
      </c>
      <c r="D556" s="115" t="s">
        <v>12639</v>
      </c>
    </row>
    <row r="557" spans="1:4" ht="14.15" customHeight="1" x14ac:dyDescent="0.35">
      <c r="A557" s="114" t="s">
        <v>12626</v>
      </c>
      <c r="B557" s="115" t="s">
        <v>12627</v>
      </c>
      <c r="C557" s="114" t="s">
        <v>12640</v>
      </c>
      <c r="D557" s="115" t="s">
        <v>12641</v>
      </c>
    </row>
    <row r="558" spans="1:4" ht="14.15" customHeight="1" x14ac:dyDescent="0.35">
      <c r="A558" s="114" t="s">
        <v>12626</v>
      </c>
      <c r="B558" s="115" t="s">
        <v>12627</v>
      </c>
      <c r="C558" s="114" t="s">
        <v>12642</v>
      </c>
      <c r="D558" s="115" t="s">
        <v>12643</v>
      </c>
    </row>
    <row r="559" spans="1:4" ht="14.15" customHeight="1" x14ac:dyDescent="0.35">
      <c r="A559" s="114" t="s">
        <v>12626</v>
      </c>
      <c r="B559" s="115" t="s">
        <v>12627</v>
      </c>
      <c r="C559" s="114" t="s">
        <v>12644</v>
      </c>
      <c r="D559" s="115" t="s">
        <v>12645</v>
      </c>
    </row>
    <row r="560" spans="1:4" ht="14.15" customHeight="1" x14ac:dyDescent="0.35">
      <c r="A560" s="114" t="s">
        <v>12626</v>
      </c>
      <c r="B560" s="115" t="s">
        <v>12627</v>
      </c>
      <c r="C560" s="114" t="s">
        <v>12646</v>
      </c>
      <c r="D560" s="115" t="s">
        <v>12647</v>
      </c>
    </row>
    <row r="561" spans="1:4" ht="14.15" customHeight="1" x14ac:dyDescent="0.35">
      <c r="A561" s="114" t="s">
        <v>12626</v>
      </c>
      <c r="B561" s="115" t="s">
        <v>12627</v>
      </c>
      <c r="C561" s="114" t="s">
        <v>12648</v>
      </c>
      <c r="D561" s="115" t="s">
        <v>12649</v>
      </c>
    </row>
    <row r="562" spans="1:4" ht="14.15" customHeight="1" x14ac:dyDescent="0.35">
      <c r="A562" s="114" t="s">
        <v>12626</v>
      </c>
      <c r="B562" s="115" t="s">
        <v>12627</v>
      </c>
      <c r="C562" s="114" t="s">
        <v>12650</v>
      </c>
      <c r="D562" s="115" t="s">
        <v>12651</v>
      </c>
    </row>
    <row r="563" spans="1:4" ht="14.15" customHeight="1" x14ac:dyDescent="0.35">
      <c r="A563" s="114" t="s">
        <v>12626</v>
      </c>
      <c r="B563" s="115" t="s">
        <v>12627</v>
      </c>
      <c r="C563" s="114" t="s">
        <v>12652</v>
      </c>
      <c r="D563" s="115" t="s">
        <v>12653</v>
      </c>
    </row>
    <row r="564" spans="1:4" ht="14.15" customHeight="1" x14ac:dyDescent="0.35">
      <c r="A564" s="114" t="s">
        <v>12626</v>
      </c>
      <c r="B564" s="115" t="s">
        <v>12627</v>
      </c>
      <c r="C564" s="114" t="s">
        <v>12654</v>
      </c>
      <c r="D564" s="115" t="s">
        <v>12655</v>
      </c>
    </row>
    <row r="565" spans="1:4" ht="14.15" customHeight="1" x14ac:dyDescent="0.35">
      <c r="A565" s="114" t="s">
        <v>12626</v>
      </c>
      <c r="B565" s="115" t="s">
        <v>12627</v>
      </c>
      <c r="C565" s="114" t="s">
        <v>12656</v>
      </c>
      <c r="D565" s="115" t="s">
        <v>12657</v>
      </c>
    </row>
    <row r="566" spans="1:4" ht="14.15" customHeight="1" x14ac:dyDescent="0.35">
      <c r="A566" s="114" t="s">
        <v>12626</v>
      </c>
      <c r="B566" s="115" t="s">
        <v>12627</v>
      </c>
      <c r="C566" s="114" t="s">
        <v>12658</v>
      </c>
      <c r="D566" s="115" t="s">
        <v>12659</v>
      </c>
    </row>
    <row r="567" spans="1:4" ht="14.15" customHeight="1" x14ac:dyDescent="0.35">
      <c r="A567" s="114" t="s">
        <v>12626</v>
      </c>
      <c r="B567" s="115" t="s">
        <v>12627</v>
      </c>
      <c r="C567" s="114" t="s">
        <v>12660</v>
      </c>
      <c r="D567" s="115" t="s">
        <v>12661</v>
      </c>
    </row>
    <row r="568" spans="1:4" ht="14.15" customHeight="1" x14ac:dyDescent="0.35">
      <c r="A568" s="114" t="s">
        <v>12662</v>
      </c>
      <c r="B568" s="115" t="s">
        <v>12663</v>
      </c>
      <c r="C568" s="114" t="s">
        <v>12664</v>
      </c>
      <c r="D568" s="115" t="s">
        <v>12665</v>
      </c>
    </row>
    <row r="569" spans="1:4" ht="14.15" customHeight="1" x14ac:dyDescent="0.35">
      <c r="A569" s="114" t="s">
        <v>12666</v>
      </c>
      <c r="B569" s="115" t="s">
        <v>12667</v>
      </c>
      <c r="C569" s="114" t="s">
        <v>12668</v>
      </c>
      <c r="D569" s="115" t="s">
        <v>12669</v>
      </c>
    </row>
    <row r="570" spans="1:4" ht="14.15" customHeight="1" x14ac:dyDescent="0.35">
      <c r="A570" s="114" t="s">
        <v>12666</v>
      </c>
      <c r="B570" s="115" t="s">
        <v>12667</v>
      </c>
      <c r="C570" s="114" t="s">
        <v>12670</v>
      </c>
      <c r="D570" s="115" t="s">
        <v>12671</v>
      </c>
    </row>
    <row r="571" spans="1:4" ht="14.15" customHeight="1" x14ac:dyDescent="0.35">
      <c r="A571" s="114" t="s">
        <v>12666</v>
      </c>
      <c r="B571" s="115" t="s">
        <v>12667</v>
      </c>
      <c r="C571" s="114" t="s">
        <v>12672</v>
      </c>
      <c r="D571" s="115" t="s">
        <v>12673</v>
      </c>
    </row>
    <row r="572" spans="1:4" ht="14.15" customHeight="1" x14ac:dyDescent="0.35">
      <c r="A572" s="114" t="s">
        <v>12674</v>
      </c>
      <c r="B572" s="115" t="s">
        <v>12675</v>
      </c>
      <c r="C572" s="114" t="s">
        <v>12676</v>
      </c>
      <c r="D572" s="115" t="s">
        <v>12677</v>
      </c>
    </row>
    <row r="573" spans="1:4" ht="14.15" customHeight="1" x14ac:dyDescent="0.35">
      <c r="A573" s="114" t="s">
        <v>12674</v>
      </c>
      <c r="B573" s="115" t="s">
        <v>12675</v>
      </c>
      <c r="C573" s="114" t="s">
        <v>12678</v>
      </c>
      <c r="D573" s="115" t="s">
        <v>12679</v>
      </c>
    </row>
    <row r="574" spans="1:4" ht="14.15" customHeight="1" x14ac:dyDescent="0.35">
      <c r="A574" s="114" t="s">
        <v>12674</v>
      </c>
      <c r="B574" s="115" t="s">
        <v>12675</v>
      </c>
      <c r="C574" s="114" t="s">
        <v>12680</v>
      </c>
      <c r="D574" s="115" t="s">
        <v>12681</v>
      </c>
    </row>
    <row r="575" spans="1:4" ht="14.15" customHeight="1" x14ac:dyDescent="0.35">
      <c r="A575" s="114" t="s">
        <v>12674</v>
      </c>
      <c r="B575" s="115" t="s">
        <v>12675</v>
      </c>
      <c r="C575" s="114" t="s">
        <v>12682</v>
      </c>
      <c r="D575" s="115" t="s">
        <v>12683</v>
      </c>
    </row>
    <row r="576" spans="1:4" ht="14.15" customHeight="1" x14ac:dyDescent="0.35">
      <c r="A576" s="114" t="s">
        <v>12674</v>
      </c>
      <c r="B576" s="115" t="s">
        <v>12675</v>
      </c>
      <c r="C576" s="114" t="s">
        <v>12684</v>
      </c>
      <c r="D576" s="115" t="s">
        <v>11741</v>
      </c>
    </row>
    <row r="577" spans="1:4" ht="14.15" customHeight="1" x14ac:dyDescent="0.35">
      <c r="A577" s="114" t="s">
        <v>12674</v>
      </c>
      <c r="B577" s="115" t="s">
        <v>12675</v>
      </c>
      <c r="C577" s="114" t="s">
        <v>12685</v>
      </c>
      <c r="D577" s="115" t="s">
        <v>11570</v>
      </c>
    </row>
    <row r="578" spans="1:4" ht="14.15" customHeight="1" x14ac:dyDescent="0.35">
      <c r="A578" s="114" t="s">
        <v>12674</v>
      </c>
      <c r="B578" s="115" t="s">
        <v>12675</v>
      </c>
      <c r="C578" s="114" t="s">
        <v>12686</v>
      </c>
      <c r="D578" s="115" t="s">
        <v>12687</v>
      </c>
    </row>
    <row r="579" spans="1:4" ht="14.15" customHeight="1" x14ac:dyDescent="0.35">
      <c r="A579" s="114" t="s">
        <v>12674</v>
      </c>
      <c r="B579" s="115" t="s">
        <v>12675</v>
      </c>
      <c r="C579" s="114" t="s">
        <v>12688</v>
      </c>
      <c r="D579" s="115" t="s">
        <v>12689</v>
      </c>
    </row>
    <row r="580" spans="1:4" ht="14.15" customHeight="1" x14ac:dyDescent="0.35">
      <c r="A580" s="114" t="s">
        <v>12674</v>
      </c>
      <c r="B580" s="115" t="s">
        <v>12675</v>
      </c>
      <c r="C580" s="114" t="s">
        <v>12690</v>
      </c>
      <c r="D580" s="115" t="s">
        <v>12691</v>
      </c>
    </row>
    <row r="581" spans="1:4" ht="14.15" customHeight="1" x14ac:dyDescent="0.35">
      <c r="A581" s="114" t="s">
        <v>12674</v>
      </c>
      <c r="B581" s="115" t="s">
        <v>12675</v>
      </c>
      <c r="C581" s="114" t="s">
        <v>12692</v>
      </c>
      <c r="D581" s="115" t="s">
        <v>12693</v>
      </c>
    </row>
    <row r="582" spans="1:4" ht="14.15" customHeight="1" x14ac:dyDescent="0.35">
      <c r="A582" s="114" t="s">
        <v>12674</v>
      </c>
      <c r="B582" s="115" t="s">
        <v>12675</v>
      </c>
      <c r="C582" s="114" t="s">
        <v>12694</v>
      </c>
      <c r="D582" s="115" t="s">
        <v>12695</v>
      </c>
    </row>
    <row r="583" spans="1:4" ht="14.15" customHeight="1" x14ac:dyDescent="0.35">
      <c r="A583" s="114" t="s">
        <v>12674</v>
      </c>
      <c r="B583" s="115" t="s">
        <v>12675</v>
      </c>
      <c r="C583" s="114" t="s">
        <v>12696</v>
      </c>
      <c r="D583" s="115" t="s">
        <v>12697</v>
      </c>
    </row>
    <row r="584" spans="1:4" ht="14.15" customHeight="1" x14ac:dyDescent="0.35">
      <c r="A584" s="114" t="s">
        <v>12674</v>
      </c>
      <c r="B584" s="115" t="s">
        <v>12675</v>
      </c>
      <c r="C584" s="114" t="s">
        <v>12698</v>
      </c>
      <c r="D584" s="115" t="s">
        <v>12699</v>
      </c>
    </row>
    <row r="585" spans="1:4" ht="14.15" customHeight="1" x14ac:dyDescent="0.35">
      <c r="A585" s="114" t="s">
        <v>12700</v>
      </c>
      <c r="B585" s="115" t="s">
        <v>12701</v>
      </c>
      <c r="C585" s="114" t="s">
        <v>12702</v>
      </c>
      <c r="D585" s="115" t="s">
        <v>12703</v>
      </c>
    </row>
    <row r="586" spans="1:4" ht="14.15" customHeight="1" x14ac:dyDescent="0.35">
      <c r="A586" s="114" t="s">
        <v>12700</v>
      </c>
      <c r="B586" s="115" t="s">
        <v>12701</v>
      </c>
      <c r="C586" s="114" t="s">
        <v>12704</v>
      </c>
      <c r="D586" s="115" t="s">
        <v>12705</v>
      </c>
    </row>
    <row r="587" spans="1:4" ht="14.15" customHeight="1" x14ac:dyDescent="0.35">
      <c r="A587" s="114" t="s">
        <v>12700</v>
      </c>
      <c r="B587" s="115" t="s">
        <v>12701</v>
      </c>
      <c r="C587" s="114" t="s">
        <v>12706</v>
      </c>
      <c r="D587" s="115" t="s">
        <v>12707</v>
      </c>
    </row>
    <row r="588" spans="1:4" ht="14.15" customHeight="1" x14ac:dyDescent="0.35">
      <c r="A588" s="114" t="s">
        <v>12700</v>
      </c>
      <c r="B588" s="115" t="s">
        <v>12701</v>
      </c>
      <c r="C588" s="114" t="s">
        <v>12708</v>
      </c>
      <c r="D588" s="115" t="s">
        <v>12709</v>
      </c>
    </row>
    <row r="589" spans="1:4" ht="14.15" customHeight="1" x14ac:dyDescent="0.35">
      <c r="A589" s="114" t="s">
        <v>12700</v>
      </c>
      <c r="B589" s="115" t="s">
        <v>12701</v>
      </c>
      <c r="C589" s="114" t="s">
        <v>12710</v>
      </c>
      <c r="D589" s="115" t="s">
        <v>12711</v>
      </c>
    </row>
    <row r="590" spans="1:4" ht="14.15" customHeight="1" x14ac:dyDescent="0.35">
      <c r="A590" s="114" t="s">
        <v>12700</v>
      </c>
      <c r="B590" s="115" t="s">
        <v>12701</v>
      </c>
      <c r="C590" s="114" t="s">
        <v>12712</v>
      </c>
      <c r="D590" s="115" t="s">
        <v>11582</v>
      </c>
    </row>
    <row r="591" spans="1:4" ht="14.15" customHeight="1" x14ac:dyDescent="0.35">
      <c r="A591" s="114" t="s">
        <v>12700</v>
      </c>
      <c r="B591" s="115" t="s">
        <v>12701</v>
      </c>
      <c r="C591" s="114" t="s">
        <v>12713</v>
      </c>
      <c r="D591" s="115" t="s">
        <v>12714</v>
      </c>
    </row>
    <row r="592" spans="1:4" ht="14.15" customHeight="1" x14ac:dyDescent="0.35">
      <c r="A592" s="114" t="s">
        <v>12715</v>
      </c>
      <c r="B592" s="115" t="s">
        <v>12716</v>
      </c>
      <c r="C592" s="114" t="s">
        <v>12717</v>
      </c>
      <c r="D592" s="115" t="s">
        <v>12718</v>
      </c>
    </row>
    <row r="593" spans="1:4" ht="14.15" customHeight="1" x14ac:dyDescent="0.35">
      <c r="A593" s="114" t="s">
        <v>12715</v>
      </c>
      <c r="B593" s="115" t="s">
        <v>12716</v>
      </c>
      <c r="C593" s="114" t="s">
        <v>12719</v>
      </c>
      <c r="D593" s="115" t="s">
        <v>12720</v>
      </c>
    </row>
    <row r="594" spans="1:4" ht="14.15" customHeight="1" x14ac:dyDescent="0.35">
      <c r="A594" s="114" t="s">
        <v>12715</v>
      </c>
      <c r="B594" s="115" t="s">
        <v>12716</v>
      </c>
      <c r="C594" s="114" t="s">
        <v>12721</v>
      </c>
      <c r="D594" s="115" t="s">
        <v>12722</v>
      </c>
    </row>
    <row r="595" spans="1:4" ht="14.15" customHeight="1" x14ac:dyDescent="0.35">
      <c r="A595" s="114" t="s">
        <v>12715</v>
      </c>
      <c r="B595" s="115" t="s">
        <v>12716</v>
      </c>
      <c r="C595" s="114" t="s">
        <v>12723</v>
      </c>
      <c r="D595" s="115" t="s">
        <v>12155</v>
      </c>
    </row>
    <row r="596" spans="1:4" ht="14.15" customHeight="1" x14ac:dyDescent="0.35">
      <c r="A596" s="114" t="s">
        <v>12715</v>
      </c>
      <c r="B596" s="115" t="s">
        <v>12716</v>
      </c>
      <c r="C596" s="114" t="s">
        <v>12724</v>
      </c>
      <c r="D596" s="115" t="s">
        <v>12725</v>
      </c>
    </row>
    <row r="597" spans="1:4" ht="14.15" customHeight="1" x14ac:dyDescent="0.35">
      <c r="A597" s="114" t="s">
        <v>12726</v>
      </c>
      <c r="B597" s="115" t="s">
        <v>12727</v>
      </c>
      <c r="C597" s="114" t="s">
        <v>12728</v>
      </c>
      <c r="D597" s="115" t="s">
        <v>12729</v>
      </c>
    </row>
    <row r="598" spans="1:4" ht="14.15" customHeight="1" x14ac:dyDescent="0.35">
      <c r="A598" s="114" t="s">
        <v>12726</v>
      </c>
      <c r="B598" s="115" t="s">
        <v>12727</v>
      </c>
      <c r="C598" s="114" t="s">
        <v>12730</v>
      </c>
      <c r="D598" s="115" t="s">
        <v>12731</v>
      </c>
    </row>
    <row r="599" spans="1:4" ht="14.15" customHeight="1" x14ac:dyDescent="0.35">
      <c r="A599" s="114" t="s">
        <v>12726</v>
      </c>
      <c r="B599" s="115" t="s">
        <v>12727</v>
      </c>
      <c r="C599" s="114" t="s">
        <v>12732</v>
      </c>
      <c r="D599" s="115" t="s">
        <v>12733</v>
      </c>
    </row>
    <row r="600" spans="1:4" ht="14.15" customHeight="1" x14ac:dyDescent="0.35">
      <c r="A600" s="114" t="s">
        <v>12726</v>
      </c>
      <c r="B600" s="115" t="s">
        <v>12727</v>
      </c>
      <c r="C600" s="114" t="s">
        <v>12734</v>
      </c>
      <c r="D600" s="115" t="s">
        <v>12735</v>
      </c>
    </row>
    <row r="601" spans="1:4" ht="14.15" customHeight="1" x14ac:dyDescent="0.35">
      <c r="A601" s="114" t="s">
        <v>12726</v>
      </c>
      <c r="B601" s="115" t="s">
        <v>12727</v>
      </c>
      <c r="C601" s="114" t="s">
        <v>12736</v>
      </c>
      <c r="D601" s="115" t="s">
        <v>12737</v>
      </c>
    </row>
    <row r="602" spans="1:4" ht="14.15" customHeight="1" x14ac:dyDescent="0.35">
      <c r="A602" s="114" t="s">
        <v>12726</v>
      </c>
      <c r="B602" s="115" t="s">
        <v>12727</v>
      </c>
      <c r="C602" s="114" t="s">
        <v>12738</v>
      </c>
      <c r="D602" s="115" t="s">
        <v>12739</v>
      </c>
    </row>
    <row r="603" spans="1:4" ht="14.15" customHeight="1" x14ac:dyDescent="0.35">
      <c r="A603" s="114" t="s">
        <v>12740</v>
      </c>
      <c r="B603" s="115" t="s">
        <v>12741</v>
      </c>
      <c r="C603" s="114" t="s">
        <v>12742</v>
      </c>
      <c r="D603" s="115" t="s">
        <v>12743</v>
      </c>
    </row>
    <row r="604" spans="1:4" ht="14.15" customHeight="1" x14ac:dyDescent="0.35">
      <c r="A604" s="114" t="s">
        <v>12740</v>
      </c>
      <c r="B604" s="115" t="s">
        <v>12741</v>
      </c>
      <c r="C604" s="114" t="s">
        <v>12744</v>
      </c>
      <c r="D604" s="115" t="s">
        <v>12745</v>
      </c>
    </row>
    <row r="605" spans="1:4" ht="14.15" customHeight="1" x14ac:dyDescent="0.35">
      <c r="A605" s="114" t="s">
        <v>12746</v>
      </c>
      <c r="B605" s="115" t="s">
        <v>12747</v>
      </c>
      <c r="C605" s="114" t="s">
        <v>12748</v>
      </c>
      <c r="D605" s="115" t="s">
        <v>12749</v>
      </c>
    </row>
    <row r="606" spans="1:4" ht="14.15" customHeight="1" x14ac:dyDescent="0.35">
      <c r="A606" s="114" t="s">
        <v>12746</v>
      </c>
      <c r="B606" s="115" t="s">
        <v>12747</v>
      </c>
      <c r="C606" s="114" t="s">
        <v>12750</v>
      </c>
      <c r="D606" s="115" t="s">
        <v>12751</v>
      </c>
    </row>
    <row r="607" spans="1:4" ht="14.15" customHeight="1" x14ac:dyDescent="0.35">
      <c r="A607" s="114" t="s">
        <v>12746</v>
      </c>
      <c r="B607" s="115" t="s">
        <v>12747</v>
      </c>
      <c r="C607" s="114" t="s">
        <v>12752</v>
      </c>
      <c r="D607" s="115" t="s">
        <v>12753</v>
      </c>
    </row>
    <row r="608" spans="1:4" ht="14.15" customHeight="1" x14ac:dyDescent="0.35">
      <c r="A608" s="114" t="s">
        <v>12754</v>
      </c>
      <c r="B608" s="115" t="s">
        <v>12755</v>
      </c>
      <c r="C608" s="114" t="s">
        <v>12756</v>
      </c>
      <c r="D608" s="115" t="s">
        <v>12757</v>
      </c>
    </row>
    <row r="609" spans="1:4" ht="14.15" customHeight="1" x14ac:dyDescent="0.35">
      <c r="A609" s="114" t="s">
        <v>12758</v>
      </c>
      <c r="B609" s="115" t="s">
        <v>12759</v>
      </c>
      <c r="C609" s="114" t="s">
        <v>12760</v>
      </c>
      <c r="D609" s="115" t="s">
        <v>12761</v>
      </c>
    </row>
    <row r="610" spans="1:4" ht="14.15" customHeight="1" x14ac:dyDescent="0.35">
      <c r="A610" s="114" t="s">
        <v>12762</v>
      </c>
      <c r="B610" s="115" t="s">
        <v>12763</v>
      </c>
      <c r="C610" s="114" t="s">
        <v>12764</v>
      </c>
      <c r="D610" s="115" t="s">
        <v>12765</v>
      </c>
    </row>
    <row r="611" spans="1:4" ht="14.15" customHeight="1" x14ac:dyDescent="0.35">
      <c r="A611" s="114" t="s">
        <v>12762</v>
      </c>
      <c r="B611" s="115" t="s">
        <v>12763</v>
      </c>
      <c r="C611" s="114" t="s">
        <v>12766</v>
      </c>
      <c r="D611" s="115" t="s">
        <v>12767</v>
      </c>
    </row>
    <row r="612" spans="1:4" ht="14.15" customHeight="1" x14ac:dyDescent="0.35">
      <c r="A612" s="114" t="s">
        <v>12762</v>
      </c>
      <c r="B612" s="115" t="s">
        <v>12763</v>
      </c>
      <c r="C612" s="114" t="s">
        <v>12768</v>
      </c>
      <c r="D612" s="115" t="s">
        <v>12769</v>
      </c>
    </row>
    <row r="613" spans="1:4" ht="14.15" customHeight="1" x14ac:dyDescent="0.35">
      <c r="A613" s="114" t="s">
        <v>12762</v>
      </c>
      <c r="B613" s="115" t="s">
        <v>12763</v>
      </c>
      <c r="C613" s="114" t="s">
        <v>12770</v>
      </c>
      <c r="D613" s="115" t="s">
        <v>12771</v>
      </c>
    </row>
    <row r="614" spans="1:4" ht="14.15" customHeight="1" x14ac:dyDescent="0.35">
      <c r="A614" s="114" t="s">
        <v>12762</v>
      </c>
      <c r="B614" s="115" t="s">
        <v>12763</v>
      </c>
      <c r="C614" s="114" t="s">
        <v>12772</v>
      </c>
      <c r="D614" s="115" t="s">
        <v>12773</v>
      </c>
    </row>
    <row r="615" spans="1:4" ht="14.15" customHeight="1" x14ac:dyDescent="0.35">
      <c r="A615" s="114" t="s">
        <v>12762</v>
      </c>
      <c r="B615" s="115" t="s">
        <v>12763</v>
      </c>
      <c r="C615" s="114" t="s">
        <v>12774</v>
      </c>
      <c r="D615" s="115" t="s">
        <v>12775</v>
      </c>
    </row>
    <row r="616" spans="1:4" ht="14.15" customHeight="1" x14ac:dyDescent="0.35">
      <c r="A616" s="114" t="s">
        <v>12762</v>
      </c>
      <c r="B616" s="115" t="s">
        <v>12763</v>
      </c>
      <c r="C616" s="114" t="s">
        <v>12776</v>
      </c>
      <c r="D616" s="115" t="s">
        <v>12777</v>
      </c>
    </row>
    <row r="617" spans="1:4" ht="14.15" customHeight="1" x14ac:dyDescent="0.35">
      <c r="A617" s="114" t="s">
        <v>12762</v>
      </c>
      <c r="B617" s="115" t="s">
        <v>12763</v>
      </c>
      <c r="C617" s="114" t="s">
        <v>12778</v>
      </c>
      <c r="D617" s="115" t="s">
        <v>12779</v>
      </c>
    </row>
    <row r="618" spans="1:4" ht="14.15" customHeight="1" x14ac:dyDescent="0.35">
      <c r="A618" s="114" t="s">
        <v>12780</v>
      </c>
      <c r="B618" s="115" t="s">
        <v>12781</v>
      </c>
      <c r="C618" s="114" t="s">
        <v>12782</v>
      </c>
      <c r="D618" s="115" t="s">
        <v>12783</v>
      </c>
    </row>
    <row r="619" spans="1:4" ht="14.15" customHeight="1" x14ac:dyDescent="0.35">
      <c r="A619" s="114" t="s">
        <v>12780</v>
      </c>
      <c r="B619" s="115" t="s">
        <v>12781</v>
      </c>
      <c r="C619" s="114" t="s">
        <v>12784</v>
      </c>
      <c r="D619" s="115" t="s">
        <v>12785</v>
      </c>
    </row>
    <row r="620" spans="1:4" ht="14.15" customHeight="1" x14ac:dyDescent="0.35">
      <c r="A620" s="114" t="s">
        <v>12780</v>
      </c>
      <c r="B620" s="115" t="s">
        <v>12781</v>
      </c>
      <c r="C620" s="114" t="s">
        <v>12786</v>
      </c>
      <c r="D620" s="115" t="s">
        <v>12787</v>
      </c>
    </row>
    <row r="621" spans="1:4" ht="14.15" customHeight="1" x14ac:dyDescent="0.35">
      <c r="A621" s="114" t="s">
        <v>12788</v>
      </c>
      <c r="B621" s="115" t="s">
        <v>12789</v>
      </c>
      <c r="C621" s="114" t="s">
        <v>12790</v>
      </c>
      <c r="D621" s="115" t="s">
        <v>12791</v>
      </c>
    </row>
    <row r="622" spans="1:4" ht="14.15" customHeight="1" x14ac:dyDescent="0.35">
      <c r="A622" s="114" t="s">
        <v>12788</v>
      </c>
      <c r="B622" s="115" t="s">
        <v>12789</v>
      </c>
      <c r="C622" s="114" t="s">
        <v>12792</v>
      </c>
      <c r="D622" s="115" t="s">
        <v>12793</v>
      </c>
    </row>
    <row r="623" spans="1:4" ht="14.15" customHeight="1" x14ac:dyDescent="0.35">
      <c r="A623" s="114" t="s">
        <v>12788</v>
      </c>
      <c r="B623" s="115" t="s">
        <v>12789</v>
      </c>
      <c r="C623" s="114" t="s">
        <v>11309</v>
      </c>
      <c r="D623" s="115" t="s">
        <v>12794</v>
      </c>
    </row>
    <row r="624" spans="1:4" ht="14.15" customHeight="1" x14ac:dyDescent="0.35">
      <c r="A624" s="114" t="s">
        <v>12788</v>
      </c>
      <c r="B624" s="115" t="s">
        <v>12789</v>
      </c>
      <c r="C624" s="114" t="s">
        <v>12795</v>
      </c>
      <c r="D624" s="115" t="s">
        <v>12796</v>
      </c>
    </row>
    <row r="625" spans="1:4" ht="14.15" customHeight="1" x14ac:dyDescent="0.35">
      <c r="A625" s="114" t="s">
        <v>12788</v>
      </c>
      <c r="B625" s="115" t="s">
        <v>12789</v>
      </c>
      <c r="C625" s="114" t="s">
        <v>12797</v>
      </c>
      <c r="D625" s="115" t="s">
        <v>12798</v>
      </c>
    </row>
    <row r="626" spans="1:4" ht="14.15" customHeight="1" x14ac:dyDescent="0.35">
      <c r="A626" s="114" t="s">
        <v>12788</v>
      </c>
      <c r="B626" s="115" t="s">
        <v>12789</v>
      </c>
      <c r="C626" s="114" t="s">
        <v>12799</v>
      </c>
      <c r="D626" s="115" t="s">
        <v>12800</v>
      </c>
    </row>
    <row r="627" spans="1:4" ht="14.15" customHeight="1" x14ac:dyDescent="0.35">
      <c r="A627" s="114" t="s">
        <v>12788</v>
      </c>
      <c r="B627" s="115" t="s">
        <v>12789</v>
      </c>
      <c r="C627" s="114" t="s">
        <v>12801</v>
      </c>
      <c r="D627" s="115" t="s">
        <v>12802</v>
      </c>
    </row>
    <row r="628" spans="1:4" ht="14.15" customHeight="1" x14ac:dyDescent="0.35">
      <c r="A628" s="114" t="s">
        <v>12788</v>
      </c>
      <c r="B628" s="115" t="s">
        <v>12789</v>
      </c>
      <c r="C628" s="114" t="s">
        <v>12803</v>
      </c>
      <c r="D628" s="115" t="s">
        <v>12804</v>
      </c>
    </row>
    <row r="629" spans="1:4" ht="14.15" customHeight="1" x14ac:dyDescent="0.35">
      <c r="A629" s="114" t="s">
        <v>12788</v>
      </c>
      <c r="B629" s="115" t="s">
        <v>12789</v>
      </c>
      <c r="C629" s="114" t="s">
        <v>12805</v>
      </c>
      <c r="D629" s="115" t="s">
        <v>12806</v>
      </c>
    </row>
    <row r="630" spans="1:4" ht="14.15" customHeight="1" x14ac:dyDescent="0.35">
      <c r="A630" s="114" t="s">
        <v>12788</v>
      </c>
      <c r="B630" s="115" t="s">
        <v>12789</v>
      </c>
      <c r="C630" s="114" t="s">
        <v>12807</v>
      </c>
      <c r="D630" s="115" t="s">
        <v>12808</v>
      </c>
    </row>
    <row r="631" spans="1:4" ht="14.15" customHeight="1" x14ac:dyDescent="0.35">
      <c r="A631" s="114" t="s">
        <v>12788</v>
      </c>
      <c r="B631" s="115" t="s">
        <v>12789</v>
      </c>
      <c r="C631" s="114" t="s">
        <v>12809</v>
      </c>
      <c r="D631" s="115" t="s">
        <v>12810</v>
      </c>
    </row>
    <row r="632" spans="1:4" ht="14.15" customHeight="1" x14ac:dyDescent="0.35">
      <c r="A632" s="114" t="s">
        <v>12788</v>
      </c>
      <c r="B632" s="115" t="s">
        <v>12789</v>
      </c>
      <c r="C632" s="114" t="s">
        <v>12811</v>
      </c>
      <c r="D632" s="115" t="s">
        <v>11803</v>
      </c>
    </row>
    <row r="633" spans="1:4" ht="14.15" customHeight="1" x14ac:dyDescent="0.35">
      <c r="A633" s="114" t="s">
        <v>12788</v>
      </c>
      <c r="B633" s="115" t="s">
        <v>12789</v>
      </c>
      <c r="C633" s="114" t="s">
        <v>12812</v>
      </c>
      <c r="D633" s="115" t="s">
        <v>12813</v>
      </c>
    </row>
    <row r="634" spans="1:4" ht="14.15" customHeight="1" x14ac:dyDescent="0.35">
      <c r="A634" s="114" t="s">
        <v>12788</v>
      </c>
      <c r="B634" s="115" t="s">
        <v>12789</v>
      </c>
      <c r="C634" s="114" t="s">
        <v>11388</v>
      </c>
      <c r="D634" s="115" t="s">
        <v>12814</v>
      </c>
    </row>
    <row r="635" spans="1:4" ht="14.15" customHeight="1" x14ac:dyDescent="0.35">
      <c r="A635" s="114" t="s">
        <v>12788</v>
      </c>
      <c r="B635" s="115" t="s">
        <v>12789</v>
      </c>
      <c r="C635" s="114" t="s">
        <v>12815</v>
      </c>
      <c r="D635" s="115" t="s">
        <v>12816</v>
      </c>
    </row>
    <row r="636" spans="1:4" ht="14.15" customHeight="1" x14ac:dyDescent="0.35">
      <c r="A636" s="114" t="s">
        <v>12817</v>
      </c>
      <c r="B636" s="115" t="s">
        <v>12818</v>
      </c>
      <c r="C636" s="114" t="s">
        <v>12819</v>
      </c>
      <c r="D636" s="115" t="s">
        <v>12820</v>
      </c>
    </row>
    <row r="637" spans="1:4" ht="14.15" customHeight="1" x14ac:dyDescent="0.35">
      <c r="A637" s="354" t="s">
        <v>12821</v>
      </c>
      <c r="B637" s="118" t="s">
        <v>12822</v>
      </c>
      <c r="C637" s="117" t="s">
        <v>12823</v>
      </c>
      <c r="D637" s="118" t="s">
        <v>12824</v>
      </c>
    </row>
    <row r="638" spans="1:4" ht="14.15" customHeight="1" x14ac:dyDescent="0.35">
      <c r="A638" s="114" t="s">
        <v>12825</v>
      </c>
      <c r="B638" s="115" t="s">
        <v>12826</v>
      </c>
      <c r="C638" s="114" t="s">
        <v>12827</v>
      </c>
      <c r="D638" s="115" t="s">
        <v>12828</v>
      </c>
    </row>
    <row r="639" spans="1:4" ht="14.15" customHeight="1" x14ac:dyDescent="0.35">
      <c r="A639" s="114" t="s">
        <v>2433</v>
      </c>
      <c r="B639" s="115" t="s">
        <v>12829</v>
      </c>
      <c r="C639" s="114" t="s">
        <v>12830</v>
      </c>
      <c r="D639" s="115" t="s">
        <v>12831</v>
      </c>
    </row>
    <row r="640" spans="1:4" ht="14.15" customHeight="1" x14ac:dyDescent="0.35">
      <c r="A640" s="114" t="s">
        <v>2433</v>
      </c>
      <c r="B640" s="115" t="s">
        <v>12829</v>
      </c>
      <c r="C640" s="114" t="s">
        <v>11307</v>
      </c>
      <c r="D640" s="115" t="s">
        <v>12832</v>
      </c>
    </row>
    <row r="641" spans="1:4" ht="14.15" customHeight="1" x14ac:dyDescent="0.35">
      <c r="A641" s="114" t="s">
        <v>2433</v>
      </c>
      <c r="B641" s="115" t="s">
        <v>12829</v>
      </c>
      <c r="C641" s="114" t="s">
        <v>12833</v>
      </c>
      <c r="D641" s="115" t="s">
        <v>12834</v>
      </c>
    </row>
    <row r="642" spans="1:4" ht="14.15" customHeight="1" x14ac:dyDescent="0.35">
      <c r="A642" s="114" t="s">
        <v>2433</v>
      </c>
      <c r="B642" s="115" t="s">
        <v>12829</v>
      </c>
      <c r="C642" s="114" t="s">
        <v>12835</v>
      </c>
      <c r="D642" s="115" t="s">
        <v>12836</v>
      </c>
    </row>
    <row r="643" spans="1:4" ht="14.15" customHeight="1" x14ac:dyDescent="0.35">
      <c r="A643" s="114" t="s">
        <v>2433</v>
      </c>
      <c r="B643" s="115" t="s">
        <v>12829</v>
      </c>
      <c r="C643" s="114" t="s">
        <v>12837</v>
      </c>
      <c r="D643" s="115" t="s">
        <v>12838</v>
      </c>
    </row>
    <row r="644" spans="1:4" ht="14.15" customHeight="1" x14ac:dyDescent="0.35">
      <c r="A644" s="114" t="s">
        <v>2433</v>
      </c>
      <c r="B644" s="115" t="s">
        <v>12829</v>
      </c>
      <c r="C644" s="114" t="s">
        <v>12839</v>
      </c>
      <c r="D644" s="115" t="s">
        <v>12840</v>
      </c>
    </row>
    <row r="645" spans="1:4" ht="14.15" customHeight="1" x14ac:dyDescent="0.35">
      <c r="A645" s="114" t="s">
        <v>2433</v>
      </c>
      <c r="B645" s="115" t="s">
        <v>12829</v>
      </c>
      <c r="C645" s="114" t="s">
        <v>12841</v>
      </c>
      <c r="D645" s="115" t="s">
        <v>12842</v>
      </c>
    </row>
    <row r="646" spans="1:4" ht="14.15" customHeight="1" x14ac:dyDescent="0.35">
      <c r="A646" s="114" t="s">
        <v>2433</v>
      </c>
      <c r="B646" s="115" t="s">
        <v>12829</v>
      </c>
      <c r="C646" s="114" t="s">
        <v>12843</v>
      </c>
      <c r="D646" s="115" t="s">
        <v>12844</v>
      </c>
    </row>
    <row r="647" spans="1:4" ht="14.15" customHeight="1" x14ac:dyDescent="0.35">
      <c r="A647" s="114" t="s">
        <v>12845</v>
      </c>
      <c r="B647" s="115" t="s">
        <v>12846</v>
      </c>
      <c r="C647" s="114" t="s">
        <v>12847</v>
      </c>
      <c r="D647" s="115" t="s">
        <v>12848</v>
      </c>
    </row>
    <row r="648" spans="1:4" ht="14.15" customHeight="1" x14ac:dyDescent="0.35">
      <c r="A648" s="114" t="s">
        <v>12845</v>
      </c>
      <c r="B648" s="115" t="s">
        <v>12846</v>
      </c>
      <c r="C648" s="114" t="s">
        <v>11364</v>
      </c>
      <c r="D648" s="115" t="s">
        <v>12849</v>
      </c>
    </row>
    <row r="649" spans="1:4" ht="14.15" customHeight="1" x14ac:dyDescent="0.35">
      <c r="A649" s="114" t="s">
        <v>12845</v>
      </c>
      <c r="B649" s="115" t="s">
        <v>12846</v>
      </c>
      <c r="C649" s="114" t="s">
        <v>12850</v>
      </c>
      <c r="D649" s="115" t="s">
        <v>12851</v>
      </c>
    </row>
    <row r="650" spans="1:4" ht="14.15" customHeight="1" x14ac:dyDescent="0.35">
      <c r="A650" s="114" t="s">
        <v>12845</v>
      </c>
      <c r="B650" s="115" t="s">
        <v>12846</v>
      </c>
      <c r="C650" s="114" t="s">
        <v>12852</v>
      </c>
      <c r="D650" s="115" t="s">
        <v>12853</v>
      </c>
    </row>
    <row r="651" spans="1:4" ht="14.15" customHeight="1" x14ac:dyDescent="0.35">
      <c r="A651" s="114" t="s">
        <v>12845</v>
      </c>
      <c r="B651" s="115" t="s">
        <v>12846</v>
      </c>
      <c r="C651" s="114" t="s">
        <v>12854</v>
      </c>
      <c r="D651" s="115" t="s">
        <v>12855</v>
      </c>
    </row>
    <row r="652" spans="1:4" ht="14.15" customHeight="1" x14ac:dyDescent="0.35">
      <c r="A652" s="114" t="s">
        <v>12845</v>
      </c>
      <c r="B652" s="115" t="s">
        <v>12846</v>
      </c>
      <c r="C652" s="114" t="s">
        <v>12856</v>
      </c>
      <c r="D652" s="115" t="s">
        <v>12857</v>
      </c>
    </row>
    <row r="653" spans="1:4" ht="14.15" customHeight="1" x14ac:dyDescent="0.35">
      <c r="A653" s="114" t="s">
        <v>12845</v>
      </c>
      <c r="B653" s="115" t="s">
        <v>12846</v>
      </c>
      <c r="C653" s="114" t="s">
        <v>12858</v>
      </c>
      <c r="D653" s="115" t="s">
        <v>12859</v>
      </c>
    </row>
    <row r="654" spans="1:4" ht="14.15" customHeight="1" x14ac:dyDescent="0.35">
      <c r="A654" s="114" t="s">
        <v>12845</v>
      </c>
      <c r="B654" s="115" t="s">
        <v>12846</v>
      </c>
      <c r="C654" s="114" t="s">
        <v>12860</v>
      </c>
      <c r="D654" s="115" t="s">
        <v>12861</v>
      </c>
    </row>
    <row r="655" spans="1:4" ht="14.15" customHeight="1" x14ac:dyDescent="0.35">
      <c r="A655" s="114" t="s">
        <v>12845</v>
      </c>
      <c r="B655" s="115" t="s">
        <v>12846</v>
      </c>
      <c r="C655" s="114" t="s">
        <v>12862</v>
      </c>
      <c r="D655" s="115" t="s">
        <v>12863</v>
      </c>
    </row>
    <row r="656" spans="1:4" ht="14.15" customHeight="1" x14ac:dyDescent="0.35">
      <c r="A656" s="114" t="s">
        <v>12845</v>
      </c>
      <c r="B656" s="115" t="s">
        <v>12846</v>
      </c>
      <c r="C656" s="114" t="s">
        <v>12864</v>
      </c>
      <c r="D656" s="115" t="s">
        <v>12865</v>
      </c>
    </row>
    <row r="657" spans="1:4" ht="14.15" customHeight="1" x14ac:dyDescent="0.35">
      <c r="A657" s="114" t="s">
        <v>12845</v>
      </c>
      <c r="B657" s="115" t="s">
        <v>12846</v>
      </c>
      <c r="C657" s="114" t="s">
        <v>12866</v>
      </c>
      <c r="D657" s="115" t="s">
        <v>12867</v>
      </c>
    </row>
    <row r="658" spans="1:4" ht="14.15" customHeight="1" x14ac:dyDescent="0.35">
      <c r="A658" s="114" t="s">
        <v>2383</v>
      </c>
      <c r="B658" s="115" t="s">
        <v>12868</v>
      </c>
      <c r="C658" s="114" t="s">
        <v>12869</v>
      </c>
      <c r="D658" s="115" t="s">
        <v>12870</v>
      </c>
    </row>
    <row r="659" spans="1:4" ht="14.15" customHeight="1" x14ac:dyDescent="0.35">
      <c r="A659" s="114" t="s">
        <v>2383</v>
      </c>
      <c r="B659" s="115" t="s">
        <v>12868</v>
      </c>
      <c r="C659" s="114" t="s">
        <v>12871</v>
      </c>
      <c r="D659" s="115" t="s">
        <v>12872</v>
      </c>
    </row>
    <row r="660" spans="1:4" ht="14.15" customHeight="1" x14ac:dyDescent="0.35">
      <c r="A660" s="114" t="s">
        <v>2383</v>
      </c>
      <c r="B660" s="115" t="s">
        <v>12868</v>
      </c>
      <c r="C660" s="114" t="s">
        <v>12873</v>
      </c>
      <c r="D660" s="115" t="s">
        <v>12874</v>
      </c>
    </row>
    <row r="661" spans="1:4" ht="14.15" customHeight="1" x14ac:dyDescent="0.35">
      <c r="A661" s="114" t="s">
        <v>2383</v>
      </c>
      <c r="B661" s="115" t="s">
        <v>12868</v>
      </c>
      <c r="C661" s="114" t="s">
        <v>12875</v>
      </c>
      <c r="D661" s="115" t="s">
        <v>12876</v>
      </c>
    </row>
    <row r="662" spans="1:4" ht="14.15" customHeight="1" x14ac:dyDescent="0.35">
      <c r="A662" s="114" t="s">
        <v>2383</v>
      </c>
      <c r="B662" s="115" t="s">
        <v>12868</v>
      </c>
      <c r="C662" s="114" t="s">
        <v>12877</v>
      </c>
      <c r="D662" s="115" t="s">
        <v>12878</v>
      </c>
    </row>
    <row r="663" spans="1:4" ht="14.15" customHeight="1" x14ac:dyDescent="0.35">
      <c r="A663" s="114" t="s">
        <v>2383</v>
      </c>
      <c r="B663" s="115" t="s">
        <v>12868</v>
      </c>
      <c r="C663" s="114" t="s">
        <v>12879</v>
      </c>
      <c r="D663" s="115" t="s">
        <v>12880</v>
      </c>
    </row>
    <row r="664" spans="1:4" ht="14.15" customHeight="1" x14ac:dyDescent="0.35">
      <c r="A664" s="114" t="s">
        <v>12881</v>
      </c>
      <c r="B664" s="115" t="s">
        <v>12882</v>
      </c>
      <c r="C664" s="114" t="s">
        <v>12883</v>
      </c>
      <c r="D664" s="115" t="s">
        <v>12884</v>
      </c>
    </row>
    <row r="665" spans="1:4" ht="14.15" customHeight="1" x14ac:dyDescent="0.35">
      <c r="A665" s="114" t="s">
        <v>12881</v>
      </c>
      <c r="B665" s="115" t="s">
        <v>12882</v>
      </c>
      <c r="C665" s="114" t="s">
        <v>12885</v>
      </c>
      <c r="D665" s="115" t="s">
        <v>12886</v>
      </c>
    </row>
    <row r="666" spans="1:4" ht="14.15" customHeight="1" x14ac:dyDescent="0.35">
      <c r="A666" s="114" t="s">
        <v>12881</v>
      </c>
      <c r="B666" s="115" t="s">
        <v>12882</v>
      </c>
      <c r="C666" s="114" t="s">
        <v>12887</v>
      </c>
      <c r="D666" s="115" t="s">
        <v>12888</v>
      </c>
    </row>
    <row r="667" spans="1:4" ht="14.15" customHeight="1" x14ac:dyDescent="0.35">
      <c r="A667" s="114" t="s">
        <v>12889</v>
      </c>
      <c r="B667" s="115" t="s">
        <v>12890</v>
      </c>
      <c r="C667" s="114" t="s">
        <v>12891</v>
      </c>
      <c r="D667" s="115" t="s">
        <v>12892</v>
      </c>
    </row>
    <row r="668" spans="1:4" ht="14.15" customHeight="1" x14ac:dyDescent="0.35">
      <c r="A668" s="114" t="s">
        <v>12889</v>
      </c>
      <c r="B668" s="115" t="s">
        <v>12890</v>
      </c>
      <c r="C668" s="114" t="s">
        <v>11341</v>
      </c>
      <c r="D668" s="115" t="s">
        <v>12893</v>
      </c>
    </row>
    <row r="669" spans="1:4" ht="14.15" customHeight="1" x14ac:dyDescent="0.35">
      <c r="A669" s="114" t="s">
        <v>12894</v>
      </c>
      <c r="B669" s="115" t="s">
        <v>12895</v>
      </c>
      <c r="C669" s="114" t="s">
        <v>12896</v>
      </c>
      <c r="D669" s="115" t="s">
        <v>12897</v>
      </c>
    </row>
    <row r="670" spans="1:4" ht="14.15" customHeight="1" x14ac:dyDescent="0.35">
      <c r="A670" s="114" t="s">
        <v>12894</v>
      </c>
      <c r="B670" s="115" t="s">
        <v>12895</v>
      </c>
      <c r="C670" s="114" t="s">
        <v>12898</v>
      </c>
      <c r="D670" s="115" t="s">
        <v>12899</v>
      </c>
    </row>
    <row r="671" spans="1:4" ht="14.15" customHeight="1" x14ac:dyDescent="0.35">
      <c r="A671" s="114" t="s">
        <v>12894</v>
      </c>
      <c r="B671" s="115" t="s">
        <v>12895</v>
      </c>
      <c r="C671" s="114" t="s">
        <v>12900</v>
      </c>
      <c r="D671" s="115" t="s">
        <v>12901</v>
      </c>
    </row>
    <row r="672" spans="1:4" ht="14.15" customHeight="1" x14ac:dyDescent="0.35">
      <c r="A672" s="114" t="s">
        <v>12894</v>
      </c>
      <c r="B672" s="115" t="s">
        <v>12895</v>
      </c>
      <c r="C672" s="114" t="s">
        <v>12902</v>
      </c>
      <c r="D672" s="115" t="s">
        <v>12903</v>
      </c>
    </row>
    <row r="673" spans="1:4" ht="14.15" customHeight="1" x14ac:dyDescent="0.35">
      <c r="A673" s="114" t="s">
        <v>12894</v>
      </c>
      <c r="B673" s="115" t="s">
        <v>12895</v>
      </c>
      <c r="C673" s="114" t="s">
        <v>12904</v>
      </c>
      <c r="D673" s="115" t="s">
        <v>12905</v>
      </c>
    </row>
    <row r="674" spans="1:4" ht="14.15" customHeight="1" x14ac:dyDescent="0.35">
      <c r="A674" s="114" t="s">
        <v>12894</v>
      </c>
      <c r="B674" s="115" t="s">
        <v>12895</v>
      </c>
      <c r="C674" s="114" t="s">
        <v>12906</v>
      </c>
      <c r="D674" s="115" t="s">
        <v>12633</v>
      </c>
    </row>
    <row r="675" spans="1:4" ht="14.15" customHeight="1" x14ac:dyDescent="0.35">
      <c r="A675" s="114" t="s">
        <v>12894</v>
      </c>
      <c r="B675" s="115" t="s">
        <v>12895</v>
      </c>
      <c r="C675" s="114" t="s">
        <v>12907</v>
      </c>
      <c r="D675" s="115" t="s">
        <v>12908</v>
      </c>
    </row>
    <row r="676" spans="1:4" ht="14.15" customHeight="1" x14ac:dyDescent="0.35">
      <c r="A676" s="114" t="s">
        <v>12894</v>
      </c>
      <c r="B676" s="115" t="s">
        <v>12895</v>
      </c>
      <c r="C676" s="114" t="s">
        <v>12909</v>
      </c>
      <c r="D676" s="115" t="s">
        <v>12910</v>
      </c>
    </row>
    <row r="677" spans="1:4" ht="14.15" customHeight="1" x14ac:dyDescent="0.35">
      <c r="A677" s="114" t="s">
        <v>12894</v>
      </c>
      <c r="B677" s="115" t="s">
        <v>12895</v>
      </c>
      <c r="C677" s="114" t="s">
        <v>12911</v>
      </c>
      <c r="D677" s="115" t="s">
        <v>11568</v>
      </c>
    </row>
    <row r="678" spans="1:4" ht="14.15" customHeight="1" x14ac:dyDescent="0.35">
      <c r="A678" s="114" t="s">
        <v>12894</v>
      </c>
      <c r="B678" s="115" t="s">
        <v>12895</v>
      </c>
      <c r="C678" s="114" t="s">
        <v>12912</v>
      </c>
      <c r="D678" s="115" t="s">
        <v>12913</v>
      </c>
    </row>
    <row r="679" spans="1:4" ht="14.15" customHeight="1" x14ac:dyDescent="0.35">
      <c r="A679" s="114" t="s">
        <v>12894</v>
      </c>
      <c r="B679" s="115" t="s">
        <v>12895</v>
      </c>
      <c r="C679" s="114" t="s">
        <v>12914</v>
      </c>
      <c r="D679" s="115" t="s">
        <v>11562</v>
      </c>
    </row>
    <row r="680" spans="1:4" ht="14.15" customHeight="1" x14ac:dyDescent="0.35">
      <c r="A680" s="114" t="s">
        <v>12894</v>
      </c>
      <c r="B680" s="115" t="s">
        <v>12895</v>
      </c>
      <c r="C680" s="114" t="s">
        <v>12915</v>
      </c>
      <c r="D680" s="115" t="s">
        <v>12916</v>
      </c>
    </row>
    <row r="681" spans="1:4" ht="14.15" customHeight="1" x14ac:dyDescent="0.35">
      <c r="A681" s="114" t="s">
        <v>12894</v>
      </c>
      <c r="B681" s="115" t="s">
        <v>12895</v>
      </c>
      <c r="C681" s="114" t="s">
        <v>12917</v>
      </c>
      <c r="D681" s="115" t="s">
        <v>12918</v>
      </c>
    </row>
    <row r="682" spans="1:4" ht="14.15" customHeight="1" x14ac:dyDescent="0.35">
      <c r="A682" s="114" t="s">
        <v>12894</v>
      </c>
      <c r="B682" s="115" t="s">
        <v>12895</v>
      </c>
      <c r="C682" s="114" t="s">
        <v>12919</v>
      </c>
      <c r="D682" s="115" t="s">
        <v>12920</v>
      </c>
    </row>
    <row r="683" spans="1:4" ht="14.15" customHeight="1" x14ac:dyDescent="0.35">
      <c r="A683" s="114" t="s">
        <v>12894</v>
      </c>
      <c r="B683" s="115" t="s">
        <v>12895</v>
      </c>
      <c r="C683" s="114" t="s">
        <v>12921</v>
      </c>
      <c r="D683" s="115" t="s">
        <v>12922</v>
      </c>
    </row>
    <row r="684" spans="1:4" ht="14.15" customHeight="1" x14ac:dyDescent="0.35">
      <c r="A684" s="114" t="s">
        <v>12894</v>
      </c>
      <c r="B684" s="115" t="s">
        <v>12895</v>
      </c>
      <c r="C684" s="114" t="s">
        <v>12923</v>
      </c>
      <c r="D684" s="115" t="s">
        <v>12924</v>
      </c>
    </row>
    <row r="685" spans="1:4" ht="14.15" customHeight="1" x14ac:dyDescent="0.35">
      <c r="A685" s="114" t="s">
        <v>12894</v>
      </c>
      <c r="B685" s="115" t="s">
        <v>12895</v>
      </c>
      <c r="C685" s="114" t="s">
        <v>12925</v>
      </c>
      <c r="D685" s="115" t="s">
        <v>12926</v>
      </c>
    </row>
    <row r="686" spans="1:4" ht="14.15" customHeight="1" x14ac:dyDescent="0.35">
      <c r="A686" s="114" t="s">
        <v>12894</v>
      </c>
      <c r="B686" s="115" t="s">
        <v>12895</v>
      </c>
      <c r="C686" s="114" t="s">
        <v>12927</v>
      </c>
      <c r="D686" s="115" t="s">
        <v>12928</v>
      </c>
    </row>
    <row r="687" spans="1:4" ht="14.15" customHeight="1" x14ac:dyDescent="0.35">
      <c r="A687" s="114" t="s">
        <v>12894</v>
      </c>
      <c r="B687" s="115" t="s">
        <v>12895</v>
      </c>
      <c r="C687" s="114" t="s">
        <v>12929</v>
      </c>
      <c r="D687" s="115" t="s">
        <v>12930</v>
      </c>
    </row>
    <row r="688" spans="1:4" ht="14.15" customHeight="1" x14ac:dyDescent="0.35">
      <c r="A688" s="114" t="s">
        <v>12894</v>
      </c>
      <c r="B688" s="115" t="s">
        <v>12895</v>
      </c>
      <c r="C688" s="114" t="s">
        <v>12931</v>
      </c>
      <c r="D688" s="115" t="s">
        <v>12932</v>
      </c>
    </row>
    <row r="689" spans="1:4" ht="14.15" customHeight="1" x14ac:dyDescent="0.35">
      <c r="A689" s="114" t="s">
        <v>12894</v>
      </c>
      <c r="B689" s="115" t="s">
        <v>12895</v>
      </c>
      <c r="C689" s="114" t="s">
        <v>12933</v>
      </c>
      <c r="D689" s="115" t="s">
        <v>12934</v>
      </c>
    </row>
    <row r="690" spans="1:4" ht="14.15" customHeight="1" x14ac:dyDescent="0.35">
      <c r="A690" s="114" t="s">
        <v>12894</v>
      </c>
      <c r="B690" s="115" t="s">
        <v>12895</v>
      </c>
      <c r="C690" s="114" t="s">
        <v>12935</v>
      </c>
      <c r="D690" s="115" t="s">
        <v>12936</v>
      </c>
    </row>
    <row r="691" spans="1:4" ht="14.15" customHeight="1" x14ac:dyDescent="0.35">
      <c r="A691" s="114" t="s">
        <v>12894</v>
      </c>
      <c r="B691" s="115" t="s">
        <v>12895</v>
      </c>
      <c r="C691" s="114" t="s">
        <v>12937</v>
      </c>
      <c r="D691" s="115" t="s">
        <v>12938</v>
      </c>
    </row>
    <row r="692" spans="1:4" ht="14.15" customHeight="1" x14ac:dyDescent="0.35">
      <c r="A692" s="114" t="s">
        <v>12894</v>
      </c>
      <c r="B692" s="115" t="s">
        <v>12895</v>
      </c>
      <c r="C692" s="114" t="s">
        <v>12939</v>
      </c>
      <c r="D692" s="115" t="s">
        <v>12940</v>
      </c>
    </row>
    <row r="693" spans="1:4" ht="14.15" customHeight="1" x14ac:dyDescent="0.35">
      <c r="A693" s="114" t="s">
        <v>12894</v>
      </c>
      <c r="B693" s="115" t="s">
        <v>12895</v>
      </c>
      <c r="C693" s="114" t="s">
        <v>12941</v>
      </c>
      <c r="D693" s="115" t="s">
        <v>12942</v>
      </c>
    </row>
    <row r="694" spans="1:4" ht="14.15" customHeight="1" x14ac:dyDescent="0.35">
      <c r="A694" s="114" t="s">
        <v>12894</v>
      </c>
      <c r="B694" s="115" t="s">
        <v>12895</v>
      </c>
      <c r="C694" s="114" t="s">
        <v>12943</v>
      </c>
      <c r="D694" s="115" t="s">
        <v>12944</v>
      </c>
    </row>
    <row r="695" spans="1:4" ht="14.15" customHeight="1" x14ac:dyDescent="0.35">
      <c r="A695" s="354" t="s">
        <v>12894</v>
      </c>
      <c r="B695" s="118" t="s">
        <v>12895</v>
      </c>
      <c r="C695" s="117" t="s">
        <v>12945</v>
      </c>
      <c r="D695" s="118" t="s">
        <v>12946</v>
      </c>
    </row>
    <row r="696" spans="1:4" ht="14.15" customHeight="1" x14ac:dyDescent="0.35">
      <c r="A696" s="114" t="s">
        <v>12894</v>
      </c>
      <c r="B696" s="115" t="s">
        <v>12895</v>
      </c>
      <c r="C696" s="114" t="s">
        <v>12947</v>
      </c>
      <c r="D696" s="115" t="s">
        <v>12948</v>
      </c>
    </row>
    <row r="697" spans="1:4" ht="14.15" customHeight="1" x14ac:dyDescent="0.35">
      <c r="A697" s="114" t="s">
        <v>12894</v>
      </c>
      <c r="B697" s="115" t="s">
        <v>12895</v>
      </c>
      <c r="C697" s="114" t="s">
        <v>12949</v>
      </c>
      <c r="D697" s="115" t="s">
        <v>12950</v>
      </c>
    </row>
    <row r="698" spans="1:4" ht="14.15" customHeight="1" x14ac:dyDescent="0.35">
      <c r="A698" s="114" t="s">
        <v>12951</v>
      </c>
      <c r="B698" s="115" t="s">
        <v>12952</v>
      </c>
      <c r="C698" s="114" t="s">
        <v>12953</v>
      </c>
      <c r="D698" s="115" t="s">
        <v>12954</v>
      </c>
    </row>
    <row r="699" spans="1:4" ht="14.15" customHeight="1" x14ac:dyDescent="0.35">
      <c r="A699" s="114" t="s">
        <v>12951</v>
      </c>
      <c r="B699" s="115" t="s">
        <v>12952</v>
      </c>
      <c r="C699" s="114" t="s">
        <v>12955</v>
      </c>
      <c r="D699" s="115" t="s">
        <v>12956</v>
      </c>
    </row>
    <row r="700" spans="1:4" ht="14.15" customHeight="1" x14ac:dyDescent="0.35">
      <c r="A700" s="114" t="s">
        <v>12951</v>
      </c>
      <c r="B700" s="115" t="s">
        <v>12952</v>
      </c>
      <c r="C700" s="114" t="s">
        <v>12957</v>
      </c>
      <c r="D700" s="115" t="s">
        <v>12958</v>
      </c>
    </row>
    <row r="701" spans="1:4" ht="14.15" customHeight="1" x14ac:dyDescent="0.35">
      <c r="A701" s="114" t="s">
        <v>12951</v>
      </c>
      <c r="B701" s="115" t="s">
        <v>12952</v>
      </c>
      <c r="C701" s="114" t="s">
        <v>12959</v>
      </c>
      <c r="D701" s="115" t="s">
        <v>12960</v>
      </c>
    </row>
    <row r="702" spans="1:4" ht="14.15" customHeight="1" x14ac:dyDescent="0.35">
      <c r="A702" s="114" t="s">
        <v>12951</v>
      </c>
      <c r="B702" s="115" t="s">
        <v>12952</v>
      </c>
      <c r="C702" s="114" t="s">
        <v>12961</v>
      </c>
      <c r="D702" s="115" t="s">
        <v>12962</v>
      </c>
    </row>
    <row r="703" spans="1:4" ht="14.15" customHeight="1" x14ac:dyDescent="0.35">
      <c r="A703" s="114" t="s">
        <v>12963</v>
      </c>
      <c r="B703" s="115" t="s">
        <v>12964</v>
      </c>
      <c r="C703" s="114" t="s">
        <v>12965</v>
      </c>
      <c r="D703" s="115" t="s">
        <v>12966</v>
      </c>
    </row>
    <row r="704" spans="1:4" ht="14.15" customHeight="1" x14ac:dyDescent="0.35">
      <c r="A704" s="114" t="s">
        <v>12967</v>
      </c>
      <c r="B704" s="115" t="s">
        <v>12968</v>
      </c>
      <c r="C704" s="114" t="s">
        <v>12969</v>
      </c>
      <c r="D704" s="115" t="s">
        <v>12970</v>
      </c>
    </row>
    <row r="705" spans="1:4" ht="14.15" customHeight="1" x14ac:dyDescent="0.35">
      <c r="A705" s="114" t="s">
        <v>12967</v>
      </c>
      <c r="B705" s="115" t="s">
        <v>12968</v>
      </c>
      <c r="C705" s="114" t="s">
        <v>12971</v>
      </c>
      <c r="D705" s="115" t="s">
        <v>12972</v>
      </c>
    </row>
    <row r="706" spans="1:4" ht="14.15" customHeight="1" x14ac:dyDescent="0.35">
      <c r="A706" s="114" t="s">
        <v>12967</v>
      </c>
      <c r="B706" s="115" t="s">
        <v>12968</v>
      </c>
      <c r="C706" s="114" t="s">
        <v>12973</v>
      </c>
      <c r="D706" s="115" t="s">
        <v>12974</v>
      </c>
    </row>
    <row r="707" spans="1:4" ht="14.15" customHeight="1" x14ac:dyDescent="0.35">
      <c r="A707" s="114" t="s">
        <v>12967</v>
      </c>
      <c r="B707" s="115" t="s">
        <v>12968</v>
      </c>
      <c r="C707" s="114" t="s">
        <v>12975</v>
      </c>
      <c r="D707" s="115" t="s">
        <v>12976</v>
      </c>
    </row>
    <row r="708" spans="1:4" ht="14.15" customHeight="1" x14ac:dyDescent="0.35">
      <c r="A708" s="114" t="s">
        <v>12977</v>
      </c>
      <c r="B708" s="115" t="s">
        <v>12978</v>
      </c>
      <c r="C708" s="114" t="s">
        <v>12979</v>
      </c>
      <c r="D708" s="115" t="s">
        <v>12980</v>
      </c>
    </row>
    <row r="709" spans="1:4" ht="14.15" customHeight="1" x14ac:dyDescent="0.35">
      <c r="A709" s="114" t="s">
        <v>12981</v>
      </c>
      <c r="B709" s="115" t="s">
        <v>12982</v>
      </c>
      <c r="C709" s="114" t="s">
        <v>12983</v>
      </c>
      <c r="D709" s="115" t="s">
        <v>12984</v>
      </c>
    </row>
    <row r="710" spans="1:4" ht="14.15" customHeight="1" x14ac:dyDescent="0.35">
      <c r="A710" s="114" t="s">
        <v>12985</v>
      </c>
      <c r="B710" s="115" t="s">
        <v>12986</v>
      </c>
      <c r="C710" s="114" t="s">
        <v>12987</v>
      </c>
      <c r="D710" s="115" t="s">
        <v>12988</v>
      </c>
    </row>
    <row r="711" spans="1:4" ht="14.15" customHeight="1" x14ac:dyDescent="0.35">
      <c r="A711" s="114" t="s">
        <v>12989</v>
      </c>
      <c r="B711" s="115" t="s">
        <v>12990</v>
      </c>
      <c r="C711" s="114" t="s">
        <v>12991</v>
      </c>
      <c r="D711" s="115" t="s">
        <v>12992</v>
      </c>
    </row>
    <row r="712" spans="1:4" ht="14.15" customHeight="1" x14ac:dyDescent="0.35">
      <c r="A712" s="114" t="s">
        <v>12989</v>
      </c>
      <c r="B712" s="115" t="s">
        <v>12990</v>
      </c>
      <c r="C712" s="114" t="s">
        <v>12993</v>
      </c>
      <c r="D712" s="115" t="s">
        <v>12994</v>
      </c>
    </row>
    <row r="713" spans="1:4" ht="14.15" customHeight="1" x14ac:dyDescent="0.35">
      <c r="A713" s="114" t="s">
        <v>12989</v>
      </c>
      <c r="B713" s="115" t="s">
        <v>12990</v>
      </c>
      <c r="C713" s="114" t="s">
        <v>12995</v>
      </c>
      <c r="D713" s="115" t="s">
        <v>12155</v>
      </c>
    </row>
    <row r="714" spans="1:4" ht="14.15" customHeight="1" x14ac:dyDescent="0.35">
      <c r="A714" s="114" t="s">
        <v>12989</v>
      </c>
      <c r="B714" s="115" t="s">
        <v>12990</v>
      </c>
      <c r="C714" s="114" t="s">
        <v>12996</v>
      </c>
      <c r="D714" s="115" t="s">
        <v>12997</v>
      </c>
    </row>
    <row r="715" spans="1:4" ht="14.15" customHeight="1" x14ac:dyDescent="0.35">
      <c r="A715" s="114" t="s">
        <v>12998</v>
      </c>
      <c r="B715" s="115" t="s">
        <v>12999</v>
      </c>
      <c r="C715" s="114" t="s">
        <v>13000</v>
      </c>
      <c r="D715" s="115" t="s">
        <v>13001</v>
      </c>
    </row>
    <row r="716" spans="1:4" ht="14.15" customHeight="1" x14ac:dyDescent="0.35">
      <c r="A716" s="355" t="s">
        <v>12998</v>
      </c>
      <c r="B716" s="349" t="s">
        <v>12999</v>
      </c>
      <c r="C716" s="348" t="s">
        <v>13002</v>
      </c>
      <c r="D716" s="349" t="s">
        <v>13003</v>
      </c>
    </row>
    <row r="717" spans="1:4" ht="14.15" customHeight="1" x14ac:dyDescent="0.35">
      <c r="A717" s="114" t="s">
        <v>12998</v>
      </c>
      <c r="B717" s="115" t="s">
        <v>12999</v>
      </c>
      <c r="C717" s="114" t="s">
        <v>13004</v>
      </c>
      <c r="D717" s="115" t="s">
        <v>13005</v>
      </c>
    </row>
    <row r="718" spans="1:4" ht="14.15" customHeight="1" x14ac:dyDescent="0.35">
      <c r="A718" s="114" t="s">
        <v>12998</v>
      </c>
      <c r="B718" s="115" t="s">
        <v>12999</v>
      </c>
      <c r="C718" s="114" t="s">
        <v>13006</v>
      </c>
      <c r="D718" s="115" t="s">
        <v>13007</v>
      </c>
    </row>
    <row r="719" spans="1:4" ht="14.15" customHeight="1" x14ac:dyDescent="0.35">
      <c r="A719" s="114" t="s">
        <v>12998</v>
      </c>
      <c r="B719" s="115" t="s">
        <v>12999</v>
      </c>
      <c r="C719" s="114" t="s">
        <v>13008</v>
      </c>
      <c r="D719" s="115" t="s">
        <v>13009</v>
      </c>
    </row>
    <row r="720" spans="1:4" ht="14.15" customHeight="1" x14ac:dyDescent="0.35">
      <c r="A720" s="114" t="s">
        <v>12998</v>
      </c>
      <c r="B720" s="115" t="s">
        <v>12999</v>
      </c>
      <c r="C720" s="114" t="s">
        <v>13010</v>
      </c>
      <c r="D720" s="115" t="s">
        <v>13011</v>
      </c>
    </row>
    <row r="721" spans="1:4" ht="14.15" customHeight="1" x14ac:dyDescent="0.35">
      <c r="A721" s="114" t="s">
        <v>12998</v>
      </c>
      <c r="B721" s="115" t="s">
        <v>12999</v>
      </c>
      <c r="C721" s="114" t="s">
        <v>13012</v>
      </c>
      <c r="D721" s="115" t="s">
        <v>13013</v>
      </c>
    </row>
    <row r="722" spans="1:4" ht="14.15" customHeight="1" x14ac:dyDescent="0.35">
      <c r="A722" s="114" t="s">
        <v>13014</v>
      </c>
      <c r="B722" s="115" t="s">
        <v>13015</v>
      </c>
      <c r="C722" s="114" t="s">
        <v>13016</v>
      </c>
      <c r="D722" s="115" t="s">
        <v>11541</v>
      </c>
    </row>
    <row r="723" spans="1:4" ht="14.15" customHeight="1" x14ac:dyDescent="0.35">
      <c r="A723" s="114" t="s">
        <v>13014</v>
      </c>
      <c r="B723" s="115" t="s">
        <v>13015</v>
      </c>
      <c r="C723" s="114" t="s">
        <v>13017</v>
      </c>
      <c r="D723" s="115" t="s">
        <v>13018</v>
      </c>
    </row>
    <row r="724" spans="1:4" ht="14.15" customHeight="1" x14ac:dyDescent="0.35">
      <c r="A724" s="114" t="s">
        <v>13014</v>
      </c>
      <c r="B724" s="115" t="s">
        <v>13015</v>
      </c>
      <c r="C724" s="114" t="s">
        <v>13019</v>
      </c>
      <c r="D724" s="115" t="s">
        <v>13020</v>
      </c>
    </row>
    <row r="725" spans="1:4" ht="14.15" customHeight="1" x14ac:dyDescent="0.35">
      <c r="A725" s="114" t="s">
        <v>13014</v>
      </c>
      <c r="B725" s="115" t="s">
        <v>13015</v>
      </c>
      <c r="C725" s="114" t="s">
        <v>13021</v>
      </c>
      <c r="D725" s="115" t="s">
        <v>13022</v>
      </c>
    </row>
    <row r="726" spans="1:4" ht="14.15" customHeight="1" x14ac:dyDescent="0.35">
      <c r="A726" s="114" t="s">
        <v>13014</v>
      </c>
      <c r="B726" s="115" t="s">
        <v>13015</v>
      </c>
      <c r="C726" s="114" t="s">
        <v>13023</v>
      </c>
      <c r="D726" s="115" t="s">
        <v>13024</v>
      </c>
    </row>
    <row r="727" spans="1:4" ht="14.15" customHeight="1" x14ac:dyDescent="0.35">
      <c r="A727" s="114" t="s">
        <v>13014</v>
      </c>
      <c r="B727" s="115" t="s">
        <v>13015</v>
      </c>
      <c r="C727" s="114" t="s">
        <v>13025</v>
      </c>
      <c r="D727" s="115" t="s">
        <v>13026</v>
      </c>
    </row>
    <row r="728" spans="1:4" ht="14.15" customHeight="1" x14ac:dyDescent="0.35">
      <c r="A728" s="114" t="s">
        <v>13014</v>
      </c>
      <c r="B728" s="115" t="s">
        <v>13015</v>
      </c>
      <c r="C728" s="114" t="s">
        <v>13027</v>
      </c>
      <c r="D728" s="115" t="s">
        <v>13028</v>
      </c>
    </row>
    <row r="729" spans="1:4" ht="14.15" customHeight="1" x14ac:dyDescent="0.35">
      <c r="A729" s="114" t="s">
        <v>13014</v>
      </c>
      <c r="B729" s="115" t="s">
        <v>13015</v>
      </c>
      <c r="C729" s="114" t="s">
        <v>13029</v>
      </c>
      <c r="D729" s="115" t="s">
        <v>13030</v>
      </c>
    </row>
    <row r="730" spans="1:4" ht="14.15" customHeight="1" x14ac:dyDescent="0.35">
      <c r="A730" s="114" t="s">
        <v>13014</v>
      </c>
      <c r="B730" s="115" t="s">
        <v>13015</v>
      </c>
      <c r="C730" s="114" t="s">
        <v>13031</v>
      </c>
      <c r="D730" s="115" t="s">
        <v>13032</v>
      </c>
    </row>
    <row r="731" spans="1:4" ht="14.15" customHeight="1" x14ac:dyDescent="0.35">
      <c r="A731" s="114" t="s">
        <v>13033</v>
      </c>
      <c r="B731" s="115" t="s">
        <v>13034</v>
      </c>
      <c r="C731" s="114" t="s">
        <v>13035</v>
      </c>
      <c r="D731" s="115" t="s">
        <v>13036</v>
      </c>
    </row>
    <row r="732" spans="1:4" ht="14.15" customHeight="1" x14ac:dyDescent="0.35">
      <c r="A732" s="114" t="s">
        <v>13037</v>
      </c>
      <c r="B732" s="115" t="s">
        <v>13038</v>
      </c>
      <c r="C732" s="114" t="s">
        <v>13039</v>
      </c>
      <c r="D732" s="115" t="s">
        <v>13040</v>
      </c>
    </row>
    <row r="733" spans="1:4" ht="14.15" customHeight="1" x14ac:dyDescent="0.35">
      <c r="A733" s="114" t="s">
        <v>13037</v>
      </c>
      <c r="B733" s="115" t="s">
        <v>13038</v>
      </c>
      <c r="C733" s="114" t="s">
        <v>13041</v>
      </c>
      <c r="D733" s="115" t="s">
        <v>13042</v>
      </c>
    </row>
    <row r="734" spans="1:4" ht="14.15" customHeight="1" x14ac:dyDescent="0.35">
      <c r="A734" s="114" t="s">
        <v>13037</v>
      </c>
      <c r="B734" s="115" t="s">
        <v>13038</v>
      </c>
      <c r="C734" s="114" t="s">
        <v>13043</v>
      </c>
      <c r="D734" s="115" t="s">
        <v>13044</v>
      </c>
    </row>
    <row r="735" spans="1:4" ht="14.15" customHeight="1" x14ac:dyDescent="0.35">
      <c r="A735" s="114" t="s">
        <v>13037</v>
      </c>
      <c r="B735" s="115" t="s">
        <v>13038</v>
      </c>
      <c r="C735" s="114" t="s">
        <v>13045</v>
      </c>
      <c r="D735" s="115" t="s">
        <v>12155</v>
      </c>
    </row>
    <row r="736" spans="1:4" ht="14.15" customHeight="1" x14ac:dyDescent="0.35">
      <c r="A736" s="114" t="s">
        <v>13037</v>
      </c>
      <c r="B736" s="115" t="s">
        <v>13038</v>
      </c>
      <c r="C736" s="114" t="s">
        <v>13046</v>
      </c>
      <c r="D736" s="115" t="s">
        <v>13047</v>
      </c>
    </row>
    <row r="737" spans="1:4" ht="14.15" customHeight="1" x14ac:dyDescent="0.35">
      <c r="A737" s="114" t="s">
        <v>13048</v>
      </c>
      <c r="B737" s="115" t="s">
        <v>13049</v>
      </c>
      <c r="C737" s="114" t="s">
        <v>13050</v>
      </c>
      <c r="D737" s="115" t="s">
        <v>13051</v>
      </c>
    </row>
    <row r="738" spans="1:4" ht="14.15" customHeight="1" x14ac:dyDescent="0.35">
      <c r="A738" s="114" t="s">
        <v>13052</v>
      </c>
      <c r="B738" s="115" t="s">
        <v>13053</v>
      </c>
      <c r="C738" s="114" t="s">
        <v>11313</v>
      </c>
      <c r="D738" s="115" t="s">
        <v>13054</v>
      </c>
    </row>
    <row r="739" spans="1:4" ht="14.15" customHeight="1" x14ac:dyDescent="0.35">
      <c r="A739" s="114" t="s">
        <v>13052</v>
      </c>
      <c r="B739" s="115" t="s">
        <v>13053</v>
      </c>
      <c r="C739" s="114" t="s">
        <v>13055</v>
      </c>
      <c r="D739" s="115" t="s">
        <v>13056</v>
      </c>
    </row>
    <row r="740" spans="1:4" ht="14.15" customHeight="1" x14ac:dyDescent="0.35">
      <c r="A740" s="114" t="s">
        <v>13052</v>
      </c>
      <c r="B740" s="115" t="s">
        <v>13053</v>
      </c>
      <c r="C740" s="114" t="s">
        <v>13057</v>
      </c>
      <c r="D740" s="115" t="s">
        <v>13058</v>
      </c>
    </row>
    <row r="741" spans="1:4" ht="14.15" customHeight="1" x14ac:dyDescent="0.35">
      <c r="A741" s="114" t="s">
        <v>13052</v>
      </c>
      <c r="B741" s="115" t="s">
        <v>13053</v>
      </c>
      <c r="C741" s="114" t="s">
        <v>13059</v>
      </c>
      <c r="D741" s="115" t="s">
        <v>12220</v>
      </c>
    </row>
    <row r="742" spans="1:4" ht="14.15" customHeight="1" x14ac:dyDescent="0.35">
      <c r="A742" s="114" t="s">
        <v>13052</v>
      </c>
      <c r="B742" s="115" t="s">
        <v>13053</v>
      </c>
      <c r="C742" s="114" t="s">
        <v>13060</v>
      </c>
      <c r="D742" s="115" t="s">
        <v>13061</v>
      </c>
    </row>
    <row r="743" spans="1:4" ht="14.15" customHeight="1" x14ac:dyDescent="0.35">
      <c r="A743" s="114" t="s">
        <v>13052</v>
      </c>
      <c r="B743" s="115" t="s">
        <v>13053</v>
      </c>
      <c r="C743" s="114" t="s">
        <v>13062</v>
      </c>
      <c r="D743" s="115" t="s">
        <v>13063</v>
      </c>
    </row>
    <row r="744" spans="1:4" ht="14.15" customHeight="1" x14ac:dyDescent="0.35">
      <c r="A744" s="114" t="s">
        <v>13052</v>
      </c>
      <c r="B744" s="115" t="s">
        <v>13053</v>
      </c>
      <c r="C744" s="114" t="s">
        <v>13064</v>
      </c>
      <c r="D744" s="115" t="s">
        <v>13065</v>
      </c>
    </row>
    <row r="745" spans="1:4" ht="14.15" customHeight="1" x14ac:dyDescent="0.35">
      <c r="A745" s="114" t="s">
        <v>13052</v>
      </c>
      <c r="B745" s="115" t="s">
        <v>13053</v>
      </c>
      <c r="C745" s="114" t="s">
        <v>13066</v>
      </c>
      <c r="D745" s="115" t="s">
        <v>13067</v>
      </c>
    </row>
    <row r="746" spans="1:4" ht="14.15" customHeight="1" x14ac:dyDescent="0.35">
      <c r="A746" s="354" t="s">
        <v>13052</v>
      </c>
      <c r="B746" s="118" t="s">
        <v>13053</v>
      </c>
      <c r="C746" s="117" t="s">
        <v>13068</v>
      </c>
      <c r="D746" s="118" t="s">
        <v>13069</v>
      </c>
    </row>
    <row r="747" spans="1:4" ht="14.15" customHeight="1" x14ac:dyDescent="0.35">
      <c r="A747" s="114" t="s">
        <v>13052</v>
      </c>
      <c r="B747" s="115" t="s">
        <v>13053</v>
      </c>
      <c r="C747" s="114" t="s">
        <v>13070</v>
      </c>
      <c r="D747" s="115" t="s">
        <v>13071</v>
      </c>
    </row>
    <row r="748" spans="1:4" ht="14.15" customHeight="1" x14ac:dyDescent="0.35">
      <c r="A748" s="114" t="s">
        <v>13072</v>
      </c>
      <c r="B748" s="115" t="s">
        <v>13073</v>
      </c>
      <c r="C748" s="114" t="s">
        <v>13074</v>
      </c>
      <c r="D748" s="115" t="s">
        <v>13075</v>
      </c>
    </row>
    <row r="749" spans="1:4" ht="14.15" customHeight="1" x14ac:dyDescent="0.35">
      <c r="A749" s="114" t="s">
        <v>13076</v>
      </c>
      <c r="B749" s="115" t="s">
        <v>13077</v>
      </c>
      <c r="C749" s="114" t="s">
        <v>13078</v>
      </c>
      <c r="D749" s="115" t="s">
        <v>13079</v>
      </c>
    </row>
    <row r="750" spans="1:4" ht="14.15" customHeight="1" x14ac:dyDescent="0.35">
      <c r="A750" s="354" t="s">
        <v>13080</v>
      </c>
      <c r="B750" s="118" t="s">
        <v>13081</v>
      </c>
      <c r="C750" s="117" t="s">
        <v>13082</v>
      </c>
      <c r="D750" s="118" t="s">
        <v>13083</v>
      </c>
    </row>
    <row r="751" spans="1:4" ht="14.15" customHeight="1" x14ac:dyDescent="0.35">
      <c r="A751" s="114" t="s">
        <v>13084</v>
      </c>
      <c r="B751" s="115" t="s">
        <v>13085</v>
      </c>
      <c r="C751" s="114" t="s">
        <v>13086</v>
      </c>
      <c r="D751" s="115" t="s">
        <v>13087</v>
      </c>
    </row>
    <row r="752" spans="1:4" ht="14.15" customHeight="1" x14ac:dyDescent="0.35">
      <c r="A752" s="114" t="s">
        <v>13084</v>
      </c>
      <c r="B752" s="115" t="s">
        <v>13085</v>
      </c>
      <c r="C752" s="114" t="s">
        <v>13088</v>
      </c>
      <c r="D752" s="115" t="s">
        <v>13089</v>
      </c>
    </row>
    <row r="753" spans="1:4" ht="14.15" customHeight="1" x14ac:dyDescent="0.35">
      <c r="A753" s="114" t="s">
        <v>13084</v>
      </c>
      <c r="B753" s="115" t="s">
        <v>13085</v>
      </c>
      <c r="C753" s="114" t="s">
        <v>13090</v>
      </c>
      <c r="D753" s="115" t="s">
        <v>13091</v>
      </c>
    </row>
    <row r="754" spans="1:4" ht="14.15" customHeight="1" x14ac:dyDescent="0.35">
      <c r="A754" s="114" t="s">
        <v>13092</v>
      </c>
      <c r="B754" s="115" t="s">
        <v>13093</v>
      </c>
      <c r="C754" s="114" t="s">
        <v>13094</v>
      </c>
      <c r="D754" s="115" t="s">
        <v>13095</v>
      </c>
    </row>
    <row r="755" spans="1:4" ht="14.15" customHeight="1" x14ac:dyDescent="0.35">
      <c r="A755" s="114" t="s">
        <v>13092</v>
      </c>
      <c r="B755" s="115" t="s">
        <v>13093</v>
      </c>
      <c r="C755" s="114" t="s">
        <v>13096</v>
      </c>
      <c r="D755" s="115" t="s">
        <v>13097</v>
      </c>
    </row>
    <row r="756" spans="1:4" ht="14.15" customHeight="1" x14ac:dyDescent="0.35">
      <c r="A756" s="114" t="s">
        <v>13092</v>
      </c>
      <c r="B756" s="115" t="s">
        <v>13093</v>
      </c>
      <c r="C756" s="114" t="s">
        <v>13098</v>
      </c>
      <c r="D756" s="115" t="s">
        <v>13099</v>
      </c>
    </row>
    <row r="757" spans="1:4" ht="14.15" customHeight="1" x14ac:dyDescent="0.35">
      <c r="A757" s="114" t="s">
        <v>13092</v>
      </c>
      <c r="B757" s="115" t="s">
        <v>13093</v>
      </c>
      <c r="C757" s="114" t="s">
        <v>13100</v>
      </c>
      <c r="D757" s="115" t="s">
        <v>13101</v>
      </c>
    </row>
    <row r="758" spans="1:4" ht="14.15" customHeight="1" x14ac:dyDescent="0.35">
      <c r="A758" s="114" t="s">
        <v>2557</v>
      </c>
      <c r="B758" s="115" t="s">
        <v>13102</v>
      </c>
      <c r="C758" s="114" t="s">
        <v>13103</v>
      </c>
      <c r="D758" s="115" t="s">
        <v>13104</v>
      </c>
    </row>
    <row r="759" spans="1:4" ht="14.15" customHeight="1" x14ac:dyDescent="0.35">
      <c r="A759" s="114" t="s">
        <v>2557</v>
      </c>
      <c r="B759" s="115" t="s">
        <v>13102</v>
      </c>
      <c r="C759" s="114" t="s">
        <v>13105</v>
      </c>
      <c r="D759" s="115" t="s">
        <v>13106</v>
      </c>
    </row>
    <row r="760" spans="1:4" ht="14.15" customHeight="1" x14ac:dyDescent="0.35">
      <c r="A760" s="114" t="s">
        <v>2557</v>
      </c>
      <c r="B760" s="115" t="s">
        <v>13102</v>
      </c>
      <c r="C760" s="114" t="s">
        <v>13107</v>
      </c>
      <c r="D760" s="115" t="s">
        <v>13108</v>
      </c>
    </row>
    <row r="761" spans="1:4" ht="14.15" customHeight="1" x14ac:dyDescent="0.35">
      <c r="A761" s="114" t="s">
        <v>2557</v>
      </c>
      <c r="B761" s="115" t="s">
        <v>13102</v>
      </c>
      <c r="C761" s="114" t="s">
        <v>13109</v>
      </c>
      <c r="D761" s="115" t="s">
        <v>13110</v>
      </c>
    </row>
    <row r="762" spans="1:4" ht="14.15" customHeight="1" x14ac:dyDescent="0.35">
      <c r="A762" s="114" t="s">
        <v>2557</v>
      </c>
      <c r="B762" s="115" t="s">
        <v>13102</v>
      </c>
      <c r="C762" s="114" t="s">
        <v>13111</v>
      </c>
      <c r="D762" s="115" t="s">
        <v>13112</v>
      </c>
    </row>
    <row r="763" spans="1:4" ht="14.15" customHeight="1" x14ac:dyDescent="0.35">
      <c r="A763" s="114" t="s">
        <v>2557</v>
      </c>
      <c r="B763" s="115" t="s">
        <v>13102</v>
      </c>
      <c r="C763" s="114" t="s">
        <v>13113</v>
      </c>
      <c r="D763" s="115" t="s">
        <v>13114</v>
      </c>
    </row>
    <row r="764" spans="1:4" ht="14.15" customHeight="1" x14ac:dyDescent="0.35">
      <c r="A764" s="114" t="s">
        <v>2557</v>
      </c>
      <c r="B764" s="115" t="s">
        <v>13102</v>
      </c>
      <c r="C764" s="114" t="s">
        <v>13115</v>
      </c>
      <c r="D764" s="115" t="s">
        <v>13116</v>
      </c>
    </row>
    <row r="765" spans="1:4" ht="14.15" customHeight="1" x14ac:dyDescent="0.35">
      <c r="A765" s="114" t="s">
        <v>2557</v>
      </c>
      <c r="B765" s="115" t="s">
        <v>13102</v>
      </c>
      <c r="C765" s="114" t="s">
        <v>13117</v>
      </c>
      <c r="D765" s="115" t="s">
        <v>13118</v>
      </c>
    </row>
    <row r="766" spans="1:4" ht="14.15" customHeight="1" x14ac:dyDescent="0.35">
      <c r="A766" s="114" t="s">
        <v>2557</v>
      </c>
      <c r="B766" s="115" t="s">
        <v>13102</v>
      </c>
      <c r="C766" s="114" t="s">
        <v>13119</v>
      </c>
      <c r="D766" s="115" t="s">
        <v>13120</v>
      </c>
    </row>
    <row r="767" spans="1:4" ht="14.15" customHeight="1" x14ac:dyDescent="0.35">
      <c r="A767" s="114" t="s">
        <v>2557</v>
      </c>
      <c r="B767" s="115" t="s">
        <v>13102</v>
      </c>
      <c r="C767" s="114" t="s">
        <v>13121</v>
      </c>
      <c r="D767" s="115" t="s">
        <v>13122</v>
      </c>
    </row>
    <row r="768" spans="1:4" ht="14.15" customHeight="1" x14ac:dyDescent="0.35">
      <c r="A768" s="114" t="s">
        <v>2557</v>
      </c>
      <c r="B768" s="115" t="s">
        <v>13102</v>
      </c>
      <c r="C768" s="114" t="s">
        <v>13123</v>
      </c>
      <c r="D768" s="115" t="s">
        <v>13124</v>
      </c>
    </row>
    <row r="769" spans="1:4" ht="14.15" customHeight="1" x14ac:dyDescent="0.35">
      <c r="A769" s="114" t="s">
        <v>2557</v>
      </c>
      <c r="B769" s="115" t="s">
        <v>13102</v>
      </c>
      <c r="C769" s="114" t="s">
        <v>13125</v>
      </c>
      <c r="D769" s="115" t="s">
        <v>13126</v>
      </c>
    </row>
    <row r="770" spans="1:4" ht="14.15" customHeight="1" x14ac:dyDescent="0.35">
      <c r="A770" s="114" t="s">
        <v>2557</v>
      </c>
      <c r="B770" s="115" t="s">
        <v>13102</v>
      </c>
      <c r="C770" s="114" t="s">
        <v>13127</v>
      </c>
      <c r="D770" s="115" t="s">
        <v>11555</v>
      </c>
    </row>
    <row r="771" spans="1:4" ht="14.15" customHeight="1" x14ac:dyDescent="0.35">
      <c r="A771" s="114" t="s">
        <v>2557</v>
      </c>
      <c r="B771" s="115" t="s">
        <v>13102</v>
      </c>
      <c r="C771" s="114" t="s">
        <v>13128</v>
      </c>
      <c r="D771" s="115" t="s">
        <v>13129</v>
      </c>
    </row>
    <row r="772" spans="1:4" ht="14.15" customHeight="1" x14ac:dyDescent="0.35">
      <c r="A772" s="114" t="s">
        <v>2557</v>
      </c>
      <c r="B772" s="115" t="s">
        <v>13102</v>
      </c>
      <c r="C772" s="114" t="s">
        <v>13130</v>
      </c>
      <c r="D772" s="115" t="s">
        <v>13131</v>
      </c>
    </row>
    <row r="773" spans="1:4" ht="14.15" customHeight="1" x14ac:dyDescent="0.35">
      <c r="A773" s="114" t="s">
        <v>2557</v>
      </c>
      <c r="B773" s="115" t="s">
        <v>13102</v>
      </c>
      <c r="C773" s="114" t="s">
        <v>13132</v>
      </c>
      <c r="D773" s="115" t="s">
        <v>13133</v>
      </c>
    </row>
    <row r="774" spans="1:4" ht="14.15" customHeight="1" x14ac:dyDescent="0.35">
      <c r="A774" s="114" t="s">
        <v>2557</v>
      </c>
      <c r="B774" s="115" t="s">
        <v>13102</v>
      </c>
      <c r="C774" s="114" t="s">
        <v>13134</v>
      </c>
      <c r="D774" s="115" t="s">
        <v>11574</v>
      </c>
    </row>
    <row r="775" spans="1:4" ht="14.15" customHeight="1" x14ac:dyDescent="0.35">
      <c r="A775" s="114" t="s">
        <v>2557</v>
      </c>
      <c r="B775" s="115" t="s">
        <v>13102</v>
      </c>
      <c r="C775" s="114" t="s">
        <v>13135</v>
      </c>
      <c r="D775" s="115" t="s">
        <v>13136</v>
      </c>
    </row>
    <row r="776" spans="1:4" ht="14.15" customHeight="1" x14ac:dyDescent="0.35">
      <c r="A776" s="114" t="s">
        <v>2557</v>
      </c>
      <c r="B776" s="115" t="s">
        <v>13102</v>
      </c>
      <c r="C776" s="114" t="s">
        <v>13137</v>
      </c>
      <c r="D776" s="115" t="s">
        <v>13138</v>
      </c>
    </row>
    <row r="777" spans="1:4" ht="14.15" customHeight="1" x14ac:dyDescent="0.35">
      <c r="A777" s="114" t="s">
        <v>2557</v>
      </c>
      <c r="B777" s="115" t="s">
        <v>13102</v>
      </c>
      <c r="C777" s="114" t="s">
        <v>13139</v>
      </c>
      <c r="D777" s="115" t="s">
        <v>13140</v>
      </c>
    </row>
    <row r="778" spans="1:4" ht="14.15" customHeight="1" x14ac:dyDescent="0.35">
      <c r="A778" s="114" t="s">
        <v>2557</v>
      </c>
      <c r="B778" s="115" t="s">
        <v>13102</v>
      </c>
      <c r="C778" s="114" t="s">
        <v>13141</v>
      </c>
      <c r="D778" s="115" t="s">
        <v>13142</v>
      </c>
    </row>
    <row r="779" spans="1:4" ht="14.15" customHeight="1" x14ac:dyDescent="0.35">
      <c r="A779" s="114" t="s">
        <v>2557</v>
      </c>
      <c r="B779" s="115" t="s">
        <v>13102</v>
      </c>
      <c r="C779" s="114" t="s">
        <v>13143</v>
      </c>
      <c r="D779" s="115" t="s">
        <v>13144</v>
      </c>
    </row>
    <row r="780" spans="1:4" ht="14.15" customHeight="1" x14ac:dyDescent="0.35">
      <c r="A780" s="114" t="s">
        <v>2557</v>
      </c>
      <c r="B780" s="115" t="s">
        <v>13102</v>
      </c>
      <c r="C780" s="114" t="s">
        <v>13145</v>
      </c>
      <c r="D780" s="115" t="s">
        <v>13146</v>
      </c>
    </row>
    <row r="781" spans="1:4" ht="14.15" customHeight="1" x14ac:dyDescent="0.35">
      <c r="A781" s="114" t="s">
        <v>2557</v>
      </c>
      <c r="B781" s="115" t="s">
        <v>13102</v>
      </c>
      <c r="C781" s="114" t="s">
        <v>13147</v>
      </c>
      <c r="D781" s="115" t="s">
        <v>13148</v>
      </c>
    </row>
    <row r="782" spans="1:4" ht="14.15" customHeight="1" x14ac:dyDescent="0.35">
      <c r="A782" s="114" t="s">
        <v>2557</v>
      </c>
      <c r="B782" s="115" t="s">
        <v>13102</v>
      </c>
      <c r="C782" s="114" t="s">
        <v>13149</v>
      </c>
      <c r="D782" s="115" t="s">
        <v>13150</v>
      </c>
    </row>
    <row r="783" spans="1:4" ht="14.15" customHeight="1" x14ac:dyDescent="0.35">
      <c r="A783" s="114" t="s">
        <v>2557</v>
      </c>
      <c r="B783" s="115" t="s">
        <v>13102</v>
      </c>
      <c r="C783" s="114" t="s">
        <v>13151</v>
      </c>
      <c r="D783" s="115" t="s">
        <v>13152</v>
      </c>
    </row>
    <row r="784" spans="1:4" ht="14.15" customHeight="1" x14ac:dyDescent="0.35">
      <c r="A784" s="114" t="s">
        <v>2557</v>
      </c>
      <c r="B784" s="115" t="s">
        <v>13102</v>
      </c>
      <c r="C784" s="114" t="s">
        <v>13153</v>
      </c>
      <c r="D784" s="115" t="s">
        <v>13154</v>
      </c>
    </row>
    <row r="785" spans="1:4" ht="14.15" customHeight="1" x14ac:dyDescent="0.35">
      <c r="A785" s="114" t="s">
        <v>2557</v>
      </c>
      <c r="B785" s="115" t="s">
        <v>13102</v>
      </c>
      <c r="C785" s="114" t="s">
        <v>11278</v>
      </c>
      <c r="D785" s="115" t="s">
        <v>13155</v>
      </c>
    </row>
    <row r="786" spans="1:4" ht="14.15" customHeight="1" x14ac:dyDescent="0.35">
      <c r="A786" s="114" t="s">
        <v>2557</v>
      </c>
      <c r="B786" s="115" t="s">
        <v>13102</v>
      </c>
      <c r="C786" s="114" t="s">
        <v>13156</v>
      </c>
      <c r="D786" s="115" t="s">
        <v>13157</v>
      </c>
    </row>
    <row r="787" spans="1:4" ht="14.15" customHeight="1" x14ac:dyDescent="0.35">
      <c r="A787" s="114" t="s">
        <v>2557</v>
      </c>
      <c r="B787" s="115" t="s">
        <v>13102</v>
      </c>
      <c r="C787" s="114" t="s">
        <v>13158</v>
      </c>
      <c r="D787" s="115" t="s">
        <v>13159</v>
      </c>
    </row>
    <row r="788" spans="1:4" ht="14.15" customHeight="1" x14ac:dyDescent="0.35">
      <c r="A788" s="114" t="s">
        <v>2424</v>
      </c>
      <c r="B788" s="115" t="s">
        <v>13160</v>
      </c>
      <c r="C788" s="114" t="s">
        <v>13161</v>
      </c>
      <c r="D788" s="115" t="s">
        <v>13162</v>
      </c>
    </row>
    <row r="789" spans="1:4" ht="14.15" customHeight="1" x14ac:dyDescent="0.35">
      <c r="A789" s="114" t="s">
        <v>2424</v>
      </c>
      <c r="B789" s="115" t="s">
        <v>13160</v>
      </c>
      <c r="C789" s="114" t="s">
        <v>13163</v>
      </c>
      <c r="D789" s="115" t="s">
        <v>13164</v>
      </c>
    </row>
    <row r="790" spans="1:4" ht="14.15" customHeight="1" x14ac:dyDescent="0.35">
      <c r="A790" s="114" t="s">
        <v>2424</v>
      </c>
      <c r="B790" s="115" t="s">
        <v>13160</v>
      </c>
      <c r="C790" s="114" t="s">
        <v>13165</v>
      </c>
      <c r="D790" s="115" t="s">
        <v>13166</v>
      </c>
    </row>
    <row r="791" spans="1:4" ht="14.15" customHeight="1" x14ac:dyDescent="0.35">
      <c r="A791" s="114" t="s">
        <v>2424</v>
      </c>
      <c r="B791" s="115" t="s">
        <v>13160</v>
      </c>
      <c r="C791" s="114" t="s">
        <v>13167</v>
      </c>
      <c r="D791" s="115" t="s">
        <v>13168</v>
      </c>
    </row>
    <row r="792" spans="1:4" ht="14.15" customHeight="1" x14ac:dyDescent="0.35">
      <c r="A792" s="114" t="s">
        <v>2424</v>
      </c>
      <c r="B792" s="115" t="s">
        <v>13160</v>
      </c>
      <c r="C792" s="114" t="s">
        <v>13169</v>
      </c>
      <c r="D792" s="115" t="s">
        <v>13170</v>
      </c>
    </row>
    <row r="793" spans="1:4" ht="14.15" customHeight="1" x14ac:dyDescent="0.35">
      <c r="A793" s="114" t="s">
        <v>2424</v>
      </c>
      <c r="B793" s="115" t="s">
        <v>13160</v>
      </c>
      <c r="C793" s="114" t="s">
        <v>13171</v>
      </c>
      <c r="D793" s="115" t="s">
        <v>12403</v>
      </c>
    </row>
    <row r="794" spans="1:4" ht="14.15" customHeight="1" x14ac:dyDescent="0.35">
      <c r="A794" s="114" t="s">
        <v>2424</v>
      </c>
      <c r="B794" s="115" t="s">
        <v>13160</v>
      </c>
      <c r="C794" s="114" t="s">
        <v>13172</v>
      </c>
      <c r="D794" s="115" t="s">
        <v>13173</v>
      </c>
    </row>
    <row r="795" spans="1:4" ht="14.15" customHeight="1" x14ac:dyDescent="0.35">
      <c r="A795" s="114" t="s">
        <v>2424</v>
      </c>
      <c r="B795" s="115" t="s">
        <v>13160</v>
      </c>
      <c r="C795" s="114" t="s">
        <v>13174</v>
      </c>
      <c r="D795" s="115" t="s">
        <v>13175</v>
      </c>
    </row>
    <row r="796" spans="1:4" ht="14.15" customHeight="1" x14ac:dyDescent="0.35">
      <c r="A796" s="114" t="s">
        <v>2424</v>
      </c>
      <c r="B796" s="115" t="s">
        <v>13160</v>
      </c>
      <c r="C796" s="114" t="s">
        <v>13176</v>
      </c>
      <c r="D796" s="115" t="s">
        <v>13177</v>
      </c>
    </row>
    <row r="797" spans="1:4" ht="14.15" customHeight="1" x14ac:dyDescent="0.35">
      <c r="A797" s="114" t="s">
        <v>2424</v>
      </c>
      <c r="B797" s="115" t="s">
        <v>13160</v>
      </c>
      <c r="C797" s="114" t="s">
        <v>13178</v>
      </c>
      <c r="D797" s="115" t="s">
        <v>13179</v>
      </c>
    </row>
    <row r="798" spans="1:4" ht="14.15" customHeight="1" x14ac:dyDescent="0.35">
      <c r="A798" s="114" t="s">
        <v>2424</v>
      </c>
      <c r="B798" s="115" t="s">
        <v>13160</v>
      </c>
      <c r="C798" s="114" t="s">
        <v>13180</v>
      </c>
      <c r="D798" s="115" t="s">
        <v>13181</v>
      </c>
    </row>
    <row r="799" spans="1:4" ht="14.15" customHeight="1" x14ac:dyDescent="0.35">
      <c r="A799" s="354" t="s">
        <v>2424</v>
      </c>
      <c r="B799" s="118" t="s">
        <v>13160</v>
      </c>
      <c r="C799" s="117" t="s">
        <v>13182</v>
      </c>
      <c r="D799" s="118" t="s">
        <v>13183</v>
      </c>
    </row>
    <row r="800" spans="1:4" ht="14.15" customHeight="1" x14ac:dyDescent="0.35">
      <c r="A800" s="114" t="s">
        <v>2424</v>
      </c>
      <c r="B800" s="115" t="s">
        <v>13160</v>
      </c>
      <c r="C800" s="114" t="s">
        <v>13184</v>
      </c>
      <c r="D800" s="115" t="s">
        <v>13185</v>
      </c>
    </row>
    <row r="801" spans="1:4" ht="14.15" customHeight="1" x14ac:dyDescent="0.35">
      <c r="A801" s="114" t="s">
        <v>2424</v>
      </c>
      <c r="B801" s="115" t="s">
        <v>13160</v>
      </c>
      <c r="C801" s="114" t="s">
        <v>13186</v>
      </c>
      <c r="D801" s="115" t="s">
        <v>13187</v>
      </c>
    </row>
    <row r="802" spans="1:4" ht="14.15" customHeight="1" x14ac:dyDescent="0.35">
      <c r="A802" s="114" t="s">
        <v>2438</v>
      </c>
      <c r="B802" s="115" t="s">
        <v>13188</v>
      </c>
      <c r="C802" s="114" t="s">
        <v>13189</v>
      </c>
      <c r="D802" s="115" t="s">
        <v>13190</v>
      </c>
    </row>
    <row r="803" spans="1:4" ht="14.15" customHeight="1" x14ac:dyDescent="0.35">
      <c r="A803" s="114" t="s">
        <v>2438</v>
      </c>
      <c r="B803" s="115" t="s">
        <v>13188</v>
      </c>
      <c r="C803" s="114" t="s">
        <v>13191</v>
      </c>
      <c r="D803" s="115" t="s">
        <v>13192</v>
      </c>
    </row>
    <row r="804" spans="1:4" ht="14.15" customHeight="1" x14ac:dyDescent="0.35">
      <c r="A804" s="114" t="s">
        <v>2438</v>
      </c>
      <c r="B804" s="115" t="s">
        <v>13188</v>
      </c>
      <c r="C804" s="114" t="s">
        <v>13193</v>
      </c>
      <c r="D804" s="115" t="s">
        <v>13194</v>
      </c>
    </row>
    <row r="805" spans="1:4" ht="14.15" customHeight="1" x14ac:dyDescent="0.35">
      <c r="A805" s="114" t="s">
        <v>13195</v>
      </c>
      <c r="B805" s="115" t="s">
        <v>13196</v>
      </c>
      <c r="C805" s="114" t="s">
        <v>13197</v>
      </c>
      <c r="D805" s="115" t="s">
        <v>13198</v>
      </c>
    </row>
    <row r="806" spans="1:4" ht="14.15" customHeight="1" x14ac:dyDescent="0.35">
      <c r="A806" s="114" t="s">
        <v>13195</v>
      </c>
      <c r="B806" s="115" t="s">
        <v>13196</v>
      </c>
      <c r="C806" s="114" t="s">
        <v>13199</v>
      </c>
      <c r="D806" s="115" t="s">
        <v>13200</v>
      </c>
    </row>
    <row r="807" spans="1:4" ht="14.15" customHeight="1" x14ac:dyDescent="0.35">
      <c r="A807" s="114" t="s">
        <v>13201</v>
      </c>
      <c r="B807" s="115" t="s">
        <v>13202</v>
      </c>
      <c r="C807" s="114" t="s">
        <v>13203</v>
      </c>
      <c r="D807" s="115" t="s">
        <v>13204</v>
      </c>
    </row>
    <row r="808" spans="1:4" ht="14.15" customHeight="1" x14ac:dyDescent="0.35">
      <c r="A808" s="114" t="s">
        <v>13201</v>
      </c>
      <c r="B808" s="115" t="s">
        <v>13202</v>
      </c>
      <c r="C808" s="114" t="s">
        <v>13205</v>
      </c>
      <c r="D808" s="115" t="s">
        <v>13206</v>
      </c>
    </row>
    <row r="809" spans="1:4" ht="14.15" customHeight="1" x14ac:dyDescent="0.35">
      <c r="A809" s="114" t="s">
        <v>13201</v>
      </c>
      <c r="B809" s="115" t="s">
        <v>13202</v>
      </c>
      <c r="C809" s="114" t="s">
        <v>13207</v>
      </c>
      <c r="D809" s="115" t="s">
        <v>13208</v>
      </c>
    </row>
    <row r="810" spans="1:4" ht="14.15" customHeight="1" x14ac:dyDescent="0.35">
      <c r="A810" s="114" t="s">
        <v>13201</v>
      </c>
      <c r="B810" s="115" t="s">
        <v>13202</v>
      </c>
      <c r="C810" s="114" t="s">
        <v>13209</v>
      </c>
      <c r="D810" s="115" t="s">
        <v>13210</v>
      </c>
    </row>
    <row r="811" spans="1:4" ht="14.15" customHeight="1" x14ac:dyDescent="0.35">
      <c r="A811" s="114" t="s">
        <v>13201</v>
      </c>
      <c r="B811" s="115" t="s">
        <v>13202</v>
      </c>
      <c r="C811" s="114" t="s">
        <v>13211</v>
      </c>
      <c r="D811" s="115" t="s">
        <v>13212</v>
      </c>
    </row>
    <row r="812" spans="1:4" ht="14.15" customHeight="1" x14ac:dyDescent="0.35">
      <c r="A812" s="114" t="s">
        <v>13201</v>
      </c>
      <c r="B812" s="115" t="s">
        <v>13202</v>
      </c>
      <c r="C812" s="114" t="s">
        <v>13213</v>
      </c>
      <c r="D812" s="115" t="s">
        <v>13214</v>
      </c>
    </row>
    <row r="813" spans="1:4" ht="14.15" customHeight="1" x14ac:dyDescent="0.35">
      <c r="A813" s="114" t="s">
        <v>13201</v>
      </c>
      <c r="B813" s="115" t="s">
        <v>13202</v>
      </c>
      <c r="C813" s="114" t="s">
        <v>13215</v>
      </c>
      <c r="D813" s="115" t="s">
        <v>13216</v>
      </c>
    </row>
    <row r="814" spans="1:4" ht="14.15" customHeight="1" x14ac:dyDescent="0.35">
      <c r="A814" s="114" t="s">
        <v>13201</v>
      </c>
      <c r="B814" s="115" t="s">
        <v>13202</v>
      </c>
      <c r="C814" s="114" t="s">
        <v>13217</v>
      </c>
      <c r="D814" s="115" t="s">
        <v>13218</v>
      </c>
    </row>
    <row r="815" spans="1:4" ht="14.15" customHeight="1" x14ac:dyDescent="0.35">
      <c r="A815" s="114" t="s">
        <v>13219</v>
      </c>
      <c r="B815" s="115" t="s">
        <v>13220</v>
      </c>
      <c r="C815" s="114" t="s">
        <v>13221</v>
      </c>
      <c r="D815" s="115" t="s">
        <v>13222</v>
      </c>
    </row>
    <row r="816" spans="1:4" ht="14.15" customHeight="1" x14ac:dyDescent="0.35">
      <c r="A816" s="114" t="s">
        <v>13223</v>
      </c>
      <c r="B816" s="115" t="s">
        <v>13224</v>
      </c>
      <c r="C816" s="114" t="s">
        <v>13225</v>
      </c>
      <c r="D816" s="115" t="s">
        <v>13226</v>
      </c>
    </row>
    <row r="817" spans="1:4" ht="14.15" customHeight="1" x14ac:dyDescent="0.35">
      <c r="A817" s="114" t="s">
        <v>13223</v>
      </c>
      <c r="B817" s="115" t="s">
        <v>13224</v>
      </c>
      <c r="C817" s="114" t="s">
        <v>11280</v>
      </c>
      <c r="D817" s="115" t="s">
        <v>13227</v>
      </c>
    </row>
    <row r="818" spans="1:4" ht="14.15" customHeight="1" x14ac:dyDescent="0.35">
      <c r="A818" s="114" t="s">
        <v>2393</v>
      </c>
      <c r="B818" s="115" t="s">
        <v>13228</v>
      </c>
      <c r="C818" s="114" t="s">
        <v>13229</v>
      </c>
      <c r="D818" s="115" t="s">
        <v>13230</v>
      </c>
    </row>
    <row r="819" spans="1:4" ht="14.15" customHeight="1" x14ac:dyDescent="0.35">
      <c r="A819" s="114" t="s">
        <v>2393</v>
      </c>
      <c r="B819" s="115" t="s">
        <v>13228</v>
      </c>
      <c r="C819" s="114" t="s">
        <v>13231</v>
      </c>
      <c r="D819" s="115" t="s">
        <v>13232</v>
      </c>
    </row>
    <row r="820" spans="1:4" ht="14.15" customHeight="1" x14ac:dyDescent="0.35">
      <c r="A820" s="114" t="s">
        <v>2393</v>
      </c>
      <c r="B820" s="115" t="s">
        <v>13228</v>
      </c>
      <c r="C820" s="114" t="s">
        <v>13233</v>
      </c>
      <c r="D820" s="115" t="s">
        <v>13234</v>
      </c>
    </row>
    <row r="821" spans="1:4" ht="14.15" customHeight="1" x14ac:dyDescent="0.35">
      <c r="A821" s="114" t="s">
        <v>13235</v>
      </c>
      <c r="B821" s="115" t="s">
        <v>13236</v>
      </c>
      <c r="C821" s="114" t="s">
        <v>13237</v>
      </c>
      <c r="D821" s="115" t="s">
        <v>13238</v>
      </c>
    </row>
    <row r="822" spans="1:4" ht="14.15" customHeight="1" x14ac:dyDescent="0.35">
      <c r="A822" s="114" t="s">
        <v>13235</v>
      </c>
      <c r="B822" s="115" t="s">
        <v>13236</v>
      </c>
      <c r="C822" s="114" t="s">
        <v>13239</v>
      </c>
      <c r="D822" s="115" t="s">
        <v>13240</v>
      </c>
    </row>
    <row r="823" spans="1:4" ht="14.15" customHeight="1" x14ac:dyDescent="0.35">
      <c r="A823" s="114" t="s">
        <v>13241</v>
      </c>
      <c r="B823" s="115" t="s">
        <v>13242</v>
      </c>
      <c r="C823" s="114" t="s">
        <v>13243</v>
      </c>
      <c r="D823" s="115" t="s">
        <v>13244</v>
      </c>
    </row>
    <row r="824" spans="1:4" ht="14.15" customHeight="1" x14ac:dyDescent="0.35">
      <c r="A824" s="114" t="s">
        <v>13245</v>
      </c>
      <c r="B824" s="115" t="s">
        <v>13246</v>
      </c>
      <c r="C824" s="114" t="s">
        <v>13247</v>
      </c>
      <c r="D824" s="115" t="s">
        <v>13248</v>
      </c>
    </row>
    <row r="825" spans="1:4" ht="14.15" customHeight="1" x14ac:dyDescent="0.35">
      <c r="A825" s="114" t="s">
        <v>13249</v>
      </c>
      <c r="B825" s="115" t="s">
        <v>13250</v>
      </c>
      <c r="C825" s="114" t="s">
        <v>13251</v>
      </c>
      <c r="D825" s="115" t="s">
        <v>13252</v>
      </c>
    </row>
    <row r="826" spans="1:4" ht="14.15" customHeight="1" x14ac:dyDescent="0.35">
      <c r="A826" s="114" t="s">
        <v>13249</v>
      </c>
      <c r="B826" s="115" t="s">
        <v>13250</v>
      </c>
      <c r="C826" s="114" t="s">
        <v>13253</v>
      </c>
      <c r="D826" s="115" t="s">
        <v>13254</v>
      </c>
    </row>
    <row r="827" spans="1:4" ht="14.15" customHeight="1" x14ac:dyDescent="0.35">
      <c r="A827" s="114" t="s">
        <v>13249</v>
      </c>
      <c r="B827" s="115" t="s">
        <v>13250</v>
      </c>
      <c r="C827" s="114" t="s">
        <v>13255</v>
      </c>
      <c r="D827" s="115" t="s">
        <v>13256</v>
      </c>
    </row>
    <row r="828" spans="1:4" ht="14.15" customHeight="1" x14ac:dyDescent="0.35">
      <c r="A828" s="114" t="s">
        <v>13249</v>
      </c>
      <c r="B828" s="115" t="s">
        <v>13250</v>
      </c>
      <c r="C828" s="114" t="s">
        <v>13257</v>
      </c>
      <c r="D828" s="115" t="s">
        <v>13258</v>
      </c>
    </row>
    <row r="829" spans="1:4" ht="14.15" customHeight="1" x14ac:dyDescent="0.35">
      <c r="A829" s="114" t="s">
        <v>13249</v>
      </c>
      <c r="B829" s="115" t="s">
        <v>13250</v>
      </c>
      <c r="C829" s="114" t="s">
        <v>13259</v>
      </c>
      <c r="D829" s="115" t="s">
        <v>13260</v>
      </c>
    </row>
    <row r="830" spans="1:4" ht="14.15" customHeight="1" x14ac:dyDescent="0.35">
      <c r="A830" s="114" t="s">
        <v>13249</v>
      </c>
      <c r="B830" s="115" t="s">
        <v>13250</v>
      </c>
      <c r="C830" s="114" t="s">
        <v>13261</v>
      </c>
      <c r="D830" s="115" t="s">
        <v>13262</v>
      </c>
    </row>
    <row r="831" spans="1:4" ht="14.15" customHeight="1" x14ac:dyDescent="0.35">
      <c r="A831" s="114" t="s">
        <v>13249</v>
      </c>
      <c r="B831" s="115" t="s">
        <v>13250</v>
      </c>
      <c r="C831" s="114" t="s">
        <v>13263</v>
      </c>
      <c r="D831" s="115" t="s">
        <v>13264</v>
      </c>
    </row>
    <row r="832" spans="1:4" ht="14.15" customHeight="1" x14ac:dyDescent="0.35">
      <c r="A832" s="114" t="s">
        <v>13249</v>
      </c>
      <c r="B832" s="115" t="s">
        <v>13250</v>
      </c>
      <c r="C832" s="114" t="s">
        <v>13265</v>
      </c>
      <c r="D832" s="115" t="s">
        <v>13266</v>
      </c>
    </row>
    <row r="833" spans="1:4" ht="14.15" customHeight="1" x14ac:dyDescent="0.35">
      <c r="A833" s="114" t="s">
        <v>2381</v>
      </c>
      <c r="B833" s="115" t="s">
        <v>13267</v>
      </c>
      <c r="C833" s="114" t="s">
        <v>13268</v>
      </c>
      <c r="D833" s="115" t="s">
        <v>13269</v>
      </c>
    </row>
    <row r="834" spans="1:4" ht="14.15" customHeight="1" x14ac:dyDescent="0.35">
      <c r="A834" s="114" t="s">
        <v>2381</v>
      </c>
      <c r="B834" s="115" t="s">
        <v>13267</v>
      </c>
      <c r="C834" s="114" t="s">
        <v>13270</v>
      </c>
      <c r="D834" s="115" t="s">
        <v>13271</v>
      </c>
    </row>
    <row r="835" spans="1:4" ht="14.15" customHeight="1" x14ac:dyDescent="0.35">
      <c r="A835" s="114" t="s">
        <v>2381</v>
      </c>
      <c r="B835" s="115" t="s">
        <v>13267</v>
      </c>
      <c r="C835" s="114" t="s">
        <v>13272</v>
      </c>
      <c r="D835" s="115" t="s">
        <v>13273</v>
      </c>
    </row>
    <row r="836" spans="1:4" ht="14.15" customHeight="1" x14ac:dyDescent="0.35">
      <c r="A836" s="114" t="s">
        <v>13274</v>
      </c>
      <c r="B836" s="115" t="s">
        <v>13275</v>
      </c>
      <c r="C836" s="114" t="s">
        <v>13276</v>
      </c>
      <c r="D836" s="115" t="s">
        <v>13277</v>
      </c>
    </row>
    <row r="837" spans="1:4" ht="14.15" customHeight="1" x14ac:dyDescent="0.35">
      <c r="A837" s="114" t="s">
        <v>2571</v>
      </c>
      <c r="B837" s="115" t="s">
        <v>13278</v>
      </c>
      <c r="C837" s="114" t="s">
        <v>13279</v>
      </c>
      <c r="D837" s="115" t="s">
        <v>13280</v>
      </c>
    </row>
    <row r="838" spans="1:4" ht="14.15" customHeight="1" x14ac:dyDescent="0.35">
      <c r="A838" s="114" t="s">
        <v>2571</v>
      </c>
      <c r="B838" s="115" t="s">
        <v>13278</v>
      </c>
      <c r="C838" s="114" t="s">
        <v>13281</v>
      </c>
      <c r="D838" s="115" t="s">
        <v>13282</v>
      </c>
    </row>
    <row r="839" spans="1:4" ht="14.15" customHeight="1" x14ac:dyDescent="0.35">
      <c r="A839" s="114" t="s">
        <v>2571</v>
      </c>
      <c r="B839" s="115" t="s">
        <v>13278</v>
      </c>
      <c r="C839" s="114" t="s">
        <v>13283</v>
      </c>
      <c r="D839" s="115" t="s">
        <v>13284</v>
      </c>
    </row>
    <row r="840" spans="1:4" ht="14.15" customHeight="1" x14ac:dyDescent="0.35">
      <c r="A840" s="114" t="s">
        <v>2571</v>
      </c>
      <c r="B840" s="115" t="s">
        <v>13278</v>
      </c>
      <c r="C840" s="114" t="s">
        <v>13285</v>
      </c>
      <c r="D840" s="115" t="s">
        <v>13286</v>
      </c>
    </row>
    <row r="841" spans="1:4" ht="14.15" customHeight="1" x14ac:dyDescent="0.35">
      <c r="A841" s="114" t="s">
        <v>2571</v>
      </c>
      <c r="B841" s="115" t="s">
        <v>13278</v>
      </c>
      <c r="C841" s="114" t="s">
        <v>13287</v>
      </c>
      <c r="D841" s="115" t="s">
        <v>13288</v>
      </c>
    </row>
    <row r="842" spans="1:4" ht="14.15" customHeight="1" x14ac:dyDescent="0.35">
      <c r="A842" s="114" t="s">
        <v>2571</v>
      </c>
      <c r="B842" s="115" t="s">
        <v>13278</v>
      </c>
      <c r="C842" s="114" t="s">
        <v>13289</v>
      </c>
      <c r="D842" s="115" t="s">
        <v>13290</v>
      </c>
    </row>
    <row r="843" spans="1:4" ht="14.15" customHeight="1" x14ac:dyDescent="0.35">
      <c r="A843" s="114" t="s">
        <v>13291</v>
      </c>
      <c r="B843" s="115" t="s">
        <v>13292</v>
      </c>
      <c r="C843" s="114" t="s">
        <v>13293</v>
      </c>
      <c r="D843" s="115" t="s">
        <v>13294</v>
      </c>
    </row>
    <row r="844" spans="1:4" ht="14.15" customHeight="1" x14ac:dyDescent="0.35">
      <c r="A844" s="114" t="s">
        <v>13291</v>
      </c>
      <c r="B844" s="115" t="s">
        <v>13292</v>
      </c>
      <c r="C844" s="114" t="s">
        <v>13295</v>
      </c>
      <c r="D844" s="115" t="s">
        <v>13296</v>
      </c>
    </row>
    <row r="845" spans="1:4" ht="14.15" customHeight="1" x14ac:dyDescent="0.35">
      <c r="A845" s="114" t="s">
        <v>13291</v>
      </c>
      <c r="B845" s="115" t="s">
        <v>13292</v>
      </c>
      <c r="C845" s="114" t="s">
        <v>13297</v>
      </c>
      <c r="D845" s="115" t="s">
        <v>13298</v>
      </c>
    </row>
    <row r="846" spans="1:4" ht="14.15" customHeight="1" x14ac:dyDescent="0.35">
      <c r="A846" s="114" t="s">
        <v>13291</v>
      </c>
      <c r="B846" s="115" t="s">
        <v>13292</v>
      </c>
      <c r="C846" s="114" t="s">
        <v>13299</v>
      </c>
      <c r="D846" s="115" t="s">
        <v>13300</v>
      </c>
    </row>
    <row r="847" spans="1:4" ht="14.15" customHeight="1" x14ac:dyDescent="0.35">
      <c r="A847" s="114" t="s">
        <v>13291</v>
      </c>
      <c r="B847" s="115" t="s">
        <v>13292</v>
      </c>
      <c r="C847" s="114" t="s">
        <v>13301</v>
      </c>
      <c r="D847" s="115" t="s">
        <v>13302</v>
      </c>
    </row>
    <row r="848" spans="1:4" ht="14.15" customHeight="1" x14ac:dyDescent="0.35">
      <c r="A848" s="114" t="s">
        <v>13303</v>
      </c>
      <c r="B848" s="115" t="s">
        <v>13304</v>
      </c>
      <c r="C848" s="114" t="s">
        <v>13305</v>
      </c>
      <c r="D848" s="115" t="s">
        <v>13306</v>
      </c>
    </row>
    <row r="849" spans="1:4" ht="14.15" customHeight="1" x14ac:dyDescent="0.35">
      <c r="A849" s="114" t="s">
        <v>13303</v>
      </c>
      <c r="B849" s="115" t="s">
        <v>13304</v>
      </c>
      <c r="C849" s="114" t="s">
        <v>13307</v>
      </c>
      <c r="D849" s="115" t="s">
        <v>13308</v>
      </c>
    </row>
    <row r="850" spans="1:4" ht="14.15" customHeight="1" x14ac:dyDescent="0.35">
      <c r="A850" s="114" t="s">
        <v>13303</v>
      </c>
      <c r="B850" s="115" t="s">
        <v>13304</v>
      </c>
      <c r="C850" s="114" t="s">
        <v>13309</v>
      </c>
      <c r="D850" s="115" t="s">
        <v>11594</v>
      </c>
    </row>
    <row r="851" spans="1:4" ht="14.15" customHeight="1" x14ac:dyDescent="0.35">
      <c r="A851" s="114" t="s">
        <v>13303</v>
      </c>
      <c r="B851" s="115" t="s">
        <v>13304</v>
      </c>
      <c r="C851" s="114" t="s">
        <v>13310</v>
      </c>
      <c r="D851" s="115" t="s">
        <v>13311</v>
      </c>
    </row>
    <row r="852" spans="1:4" ht="14.15" customHeight="1" x14ac:dyDescent="0.35">
      <c r="A852" s="114" t="s">
        <v>13303</v>
      </c>
      <c r="B852" s="115" t="s">
        <v>13304</v>
      </c>
      <c r="C852" s="114" t="s">
        <v>13312</v>
      </c>
      <c r="D852" s="115" t="s">
        <v>13313</v>
      </c>
    </row>
    <row r="853" spans="1:4" ht="14.15" customHeight="1" x14ac:dyDescent="0.35">
      <c r="A853" s="114" t="s">
        <v>13303</v>
      </c>
      <c r="B853" s="115" t="s">
        <v>13304</v>
      </c>
      <c r="C853" s="114" t="s">
        <v>13314</v>
      </c>
      <c r="D853" s="115" t="s">
        <v>13315</v>
      </c>
    </row>
    <row r="854" spans="1:4" ht="14.15" customHeight="1" x14ac:dyDescent="0.35">
      <c r="A854" s="354" t="s">
        <v>13303</v>
      </c>
      <c r="B854" s="118" t="s">
        <v>13304</v>
      </c>
      <c r="C854" s="117" t="s">
        <v>13316</v>
      </c>
      <c r="D854" s="118" t="s">
        <v>13317</v>
      </c>
    </row>
    <row r="855" spans="1:4" ht="14.15" customHeight="1" x14ac:dyDescent="0.35">
      <c r="A855" s="114" t="s">
        <v>13303</v>
      </c>
      <c r="B855" s="115" t="s">
        <v>13304</v>
      </c>
      <c r="C855" s="114" t="s">
        <v>13318</v>
      </c>
      <c r="D855" s="115" t="s">
        <v>13319</v>
      </c>
    </row>
    <row r="856" spans="1:4" ht="14.15" customHeight="1" x14ac:dyDescent="0.35">
      <c r="A856" s="114" t="s">
        <v>13320</v>
      </c>
      <c r="B856" s="115" t="s">
        <v>13321</v>
      </c>
      <c r="C856" s="114" t="s">
        <v>13322</v>
      </c>
      <c r="D856" s="115" t="s">
        <v>13323</v>
      </c>
    </row>
    <row r="857" spans="1:4" ht="14.15" customHeight="1" x14ac:dyDescent="0.35">
      <c r="A857" s="114" t="s">
        <v>13320</v>
      </c>
      <c r="B857" s="115" t="s">
        <v>13321</v>
      </c>
      <c r="C857" s="114" t="s">
        <v>13324</v>
      </c>
      <c r="D857" s="115" t="s">
        <v>13325</v>
      </c>
    </row>
    <row r="858" spans="1:4" ht="14.15" customHeight="1" x14ac:dyDescent="0.35">
      <c r="A858" s="114" t="s">
        <v>13320</v>
      </c>
      <c r="B858" s="115" t="s">
        <v>13321</v>
      </c>
      <c r="C858" s="114" t="s">
        <v>13326</v>
      </c>
      <c r="D858" s="115" t="s">
        <v>13327</v>
      </c>
    </row>
    <row r="859" spans="1:4" ht="14.15" customHeight="1" x14ac:dyDescent="0.35">
      <c r="A859" s="114" t="s">
        <v>13320</v>
      </c>
      <c r="B859" s="115" t="s">
        <v>13321</v>
      </c>
      <c r="C859" s="114" t="s">
        <v>13328</v>
      </c>
      <c r="D859" s="115" t="s">
        <v>13329</v>
      </c>
    </row>
    <row r="860" spans="1:4" ht="14.15" customHeight="1" x14ac:dyDescent="0.35">
      <c r="A860" s="114" t="s">
        <v>13320</v>
      </c>
      <c r="B860" s="115" t="s">
        <v>13321</v>
      </c>
      <c r="C860" s="114" t="s">
        <v>13330</v>
      </c>
      <c r="D860" s="115" t="s">
        <v>13331</v>
      </c>
    </row>
    <row r="861" spans="1:4" ht="14.15" customHeight="1" x14ac:dyDescent="0.35">
      <c r="A861" s="114" t="s">
        <v>13320</v>
      </c>
      <c r="B861" s="115" t="s">
        <v>13321</v>
      </c>
      <c r="C861" s="114" t="s">
        <v>13332</v>
      </c>
      <c r="D861" s="115" t="s">
        <v>13333</v>
      </c>
    </row>
    <row r="862" spans="1:4" ht="14.15" customHeight="1" x14ac:dyDescent="0.35">
      <c r="A862" s="114" t="s">
        <v>13334</v>
      </c>
      <c r="B862" s="115" t="s">
        <v>13335</v>
      </c>
      <c r="C862" s="114" t="s">
        <v>13336</v>
      </c>
      <c r="D862" s="115" t="s">
        <v>13337</v>
      </c>
    </row>
    <row r="863" spans="1:4" ht="14.15" customHeight="1" x14ac:dyDescent="0.35">
      <c r="A863" s="114" t="s">
        <v>13334</v>
      </c>
      <c r="B863" s="115" t="s">
        <v>13335</v>
      </c>
      <c r="C863" s="114" t="s">
        <v>13338</v>
      </c>
      <c r="D863" s="115" t="s">
        <v>13136</v>
      </c>
    </row>
    <row r="864" spans="1:4" ht="14.15" customHeight="1" x14ac:dyDescent="0.35">
      <c r="A864" s="114" t="s">
        <v>13334</v>
      </c>
      <c r="B864" s="115" t="s">
        <v>13335</v>
      </c>
      <c r="C864" s="114" t="s">
        <v>13339</v>
      </c>
      <c r="D864" s="115" t="s">
        <v>13340</v>
      </c>
    </row>
    <row r="865" spans="1:4" ht="14.15" customHeight="1" x14ac:dyDescent="0.35">
      <c r="A865" s="114" t="s">
        <v>13341</v>
      </c>
      <c r="B865" s="115" t="s">
        <v>13342</v>
      </c>
      <c r="C865" s="114" t="s">
        <v>13343</v>
      </c>
      <c r="D865" s="115" t="s">
        <v>13344</v>
      </c>
    </row>
    <row r="866" spans="1:4" ht="14.15" customHeight="1" x14ac:dyDescent="0.35">
      <c r="A866" s="114" t="s">
        <v>13341</v>
      </c>
      <c r="B866" s="115" t="s">
        <v>13342</v>
      </c>
      <c r="C866" s="114" t="s">
        <v>13345</v>
      </c>
      <c r="D866" s="115" t="s">
        <v>13346</v>
      </c>
    </row>
    <row r="867" spans="1:4" ht="14.15" customHeight="1" x14ac:dyDescent="0.35">
      <c r="A867" s="114" t="s">
        <v>13341</v>
      </c>
      <c r="B867" s="115" t="s">
        <v>13342</v>
      </c>
      <c r="C867" s="114" t="s">
        <v>13347</v>
      </c>
      <c r="D867" s="115" t="s">
        <v>12798</v>
      </c>
    </row>
    <row r="868" spans="1:4" ht="14.15" customHeight="1" x14ac:dyDescent="0.35">
      <c r="A868" s="114" t="s">
        <v>13341</v>
      </c>
      <c r="B868" s="115" t="s">
        <v>13342</v>
      </c>
      <c r="C868" s="114" t="s">
        <v>13348</v>
      </c>
      <c r="D868" s="115" t="s">
        <v>13349</v>
      </c>
    </row>
    <row r="869" spans="1:4" ht="14.15" customHeight="1" x14ac:dyDescent="0.35">
      <c r="A869" s="114" t="s">
        <v>13341</v>
      </c>
      <c r="B869" s="115" t="s">
        <v>13342</v>
      </c>
      <c r="C869" s="114" t="s">
        <v>13350</v>
      </c>
      <c r="D869" s="115" t="s">
        <v>13351</v>
      </c>
    </row>
    <row r="870" spans="1:4" ht="14.15" customHeight="1" x14ac:dyDescent="0.35">
      <c r="A870" s="114" t="s">
        <v>13341</v>
      </c>
      <c r="B870" s="115" t="s">
        <v>13342</v>
      </c>
      <c r="C870" s="114" t="s">
        <v>13352</v>
      </c>
      <c r="D870" s="115" t="s">
        <v>13353</v>
      </c>
    </row>
    <row r="871" spans="1:4" ht="14.15" customHeight="1" x14ac:dyDescent="0.35">
      <c r="A871" s="114" t="s">
        <v>13354</v>
      </c>
      <c r="B871" s="115" t="s">
        <v>13355</v>
      </c>
      <c r="C871" s="114" t="s">
        <v>13356</v>
      </c>
      <c r="D871" s="115" t="s">
        <v>13357</v>
      </c>
    </row>
    <row r="872" spans="1:4" ht="14.15" customHeight="1" x14ac:dyDescent="0.35">
      <c r="A872" s="114" t="s">
        <v>13354</v>
      </c>
      <c r="B872" s="115" t="s">
        <v>13355</v>
      </c>
      <c r="C872" s="114" t="s">
        <v>13358</v>
      </c>
      <c r="D872" s="115" t="s">
        <v>13359</v>
      </c>
    </row>
    <row r="873" spans="1:4" ht="14.15" customHeight="1" x14ac:dyDescent="0.35">
      <c r="A873" s="114" t="s">
        <v>13354</v>
      </c>
      <c r="B873" s="115" t="s">
        <v>13355</v>
      </c>
      <c r="C873" s="114" t="s">
        <v>13360</v>
      </c>
      <c r="D873" s="115" t="s">
        <v>13361</v>
      </c>
    </row>
    <row r="874" spans="1:4" ht="14.15" customHeight="1" x14ac:dyDescent="0.35">
      <c r="A874" s="114" t="s">
        <v>13354</v>
      </c>
      <c r="B874" s="115" t="s">
        <v>13355</v>
      </c>
      <c r="C874" s="114" t="s">
        <v>13362</v>
      </c>
      <c r="D874" s="115" t="s">
        <v>13363</v>
      </c>
    </row>
    <row r="875" spans="1:4" ht="14.15" customHeight="1" x14ac:dyDescent="0.35">
      <c r="A875" s="114" t="s">
        <v>13354</v>
      </c>
      <c r="B875" s="115" t="s">
        <v>13355</v>
      </c>
      <c r="C875" s="114" t="s">
        <v>13364</v>
      </c>
      <c r="D875" s="115" t="s">
        <v>13365</v>
      </c>
    </row>
    <row r="876" spans="1:4" ht="14.15" customHeight="1" x14ac:dyDescent="0.35">
      <c r="A876" s="114" t="s">
        <v>13354</v>
      </c>
      <c r="B876" s="115" t="s">
        <v>13355</v>
      </c>
      <c r="C876" s="114" t="s">
        <v>13366</v>
      </c>
      <c r="D876" s="115" t="s">
        <v>13367</v>
      </c>
    </row>
    <row r="877" spans="1:4" ht="14.15" customHeight="1" x14ac:dyDescent="0.35">
      <c r="A877" s="114" t="s">
        <v>13368</v>
      </c>
      <c r="B877" s="115" t="s">
        <v>13369</v>
      </c>
      <c r="C877" s="114" t="s">
        <v>13370</v>
      </c>
      <c r="D877" s="115" t="s">
        <v>13371</v>
      </c>
    </row>
    <row r="878" spans="1:4" ht="14.15" customHeight="1" x14ac:dyDescent="0.35">
      <c r="A878" s="114" t="s">
        <v>13368</v>
      </c>
      <c r="B878" s="115" t="s">
        <v>13369</v>
      </c>
      <c r="C878" s="114" t="s">
        <v>13372</v>
      </c>
      <c r="D878" s="115" t="s">
        <v>13373</v>
      </c>
    </row>
    <row r="879" spans="1:4" ht="14.15" customHeight="1" x14ac:dyDescent="0.35">
      <c r="A879" s="114" t="s">
        <v>13368</v>
      </c>
      <c r="B879" s="115" t="s">
        <v>13369</v>
      </c>
      <c r="C879" s="114" t="s">
        <v>13374</v>
      </c>
      <c r="D879" s="115" t="s">
        <v>13375</v>
      </c>
    </row>
    <row r="880" spans="1:4" ht="14.15" customHeight="1" x14ac:dyDescent="0.35">
      <c r="A880" s="114" t="s">
        <v>13368</v>
      </c>
      <c r="B880" s="115" t="s">
        <v>13369</v>
      </c>
      <c r="C880" s="114" t="s">
        <v>13376</v>
      </c>
      <c r="D880" s="115" t="s">
        <v>13377</v>
      </c>
    </row>
    <row r="881" spans="1:4" ht="14.15" customHeight="1" x14ac:dyDescent="0.35">
      <c r="A881" s="114" t="s">
        <v>13378</v>
      </c>
      <c r="B881" s="115" t="s">
        <v>13379</v>
      </c>
      <c r="C881" s="114" t="s">
        <v>13380</v>
      </c>
      <c r="D881" s="115" t="s">
        <v>13381</v>
      </c>
    </row>
    <row r="882" spans="1:4" ht="14.15" customHeight="1" x14ac:dyDescent="0.35">
      <c r="A882" s="114" t="s">
        <v>13382</v>
      </c>
      <c r="B882" s="115" t="s">
        <v>13383</v>
      </c>
      <c r="C882" s="114" t="s">
        <v>13384</v>
      </c>
      <c r="D882" s="115" t="s">
        <v>13385</v>
      </c>
    </row>
    <row r="883" spans="1:4" ht="14.15" customHeight="1" x14ac:dyDescent="0.35">
      <c r="A883" s="114" t="s">
        <v>13386</v>
      </c>
      <c r="B883" s="115" t="s">
        <v>13387</v>
      </c>
      <c r="C883" s="114" t="s">
        <v>11319</v>
      </c>
      <c r="D883" s="115" t="s">
        <v>13388</v>
      </c>
    </row>
    <row r="884" spans="1:4" ht="14.15" customHeight="1" x14ac:dyDescent="0.35">
      <c r="A884" s="114" t="s">
        <v>13386</v>
      </c>
      <c r="B884" s="115" t="s">
        <v>13387</v>
      </c>
      <c r="C884" s="114" t="s">
        <v>13389</v>
      </c>
      <c r="D884" s="115" t="s">
        <v>13390</v>
      </c>
    </row>
    <row r="885" spans="1:4" ht="14.15" customHeight="1" x14ac:dyDescent="0.35">
      <c r="A885" s="114" t="s">
        <v>13386</v>
      </c>
      <c r="B885" s="115" t="s">
        <v>13387</v>
      </c>
      <c r="C885" s="114" t="s">
        <v>13391</v>
      </c>
      <c r="D885" s="115" t="s">
        <v>13392</v>
      </c>
    </row>
    <row r="886" spans="1:4" ht="14.15" customHeight="1" x14ac:dyDescent="0.35">
      <c r="A886" s="114" t="s">
        <v>13386</v>
      </c>
      <c r="B886" s="115" t="s">
        <v>13387</v>
      </c>
      <c r="C886" s="114" t="s">
        <v>13393</v>
      </c>
      <c r="D886" s="115" t="s">
        <v>13394</v>
      </c>
    </row>
    <row r="887" spans="1:4" ht="14.15" customHeight="1" x14ac:dyDescent="0.35">
      <c r="A887" s="114" t="s">
        <v>13386</v>
      </c>
      <c r="B887" s="115" t="s">
        <v>13387</v>
      </c>
      <c r="C887" s="114" t="s">
        <v>13395</v>
      </c>
      <c r="D887" s="115" t="s">
        <v>13396</v>
      </c>
    </row>
    <row r="888" spans="1:4" ht="14.15" customHeight="1" x14ac:dyDescent="0.35">
      <c r="A888" s="114" t="s">
        <v>13386</v>
      </c>
      <c r="B888" s="115" t="s">
        <v>13387</v>
      </c>
      <c r="C888" s="114" t="s">
        <v>13397</v>
      </c>
      <c r="D888" s="115" t="s">
        <v>13398</v>
      </c>
    </row>
    <row r="889" spans="1:4" ht="14.15" customHeight="1" x14ac:dyDescent="0.35">
      <c r="A889" s="114" t="s">
        <v>13386</v>
      </c>
      <c r="B889" s="115" t="s">
        <v>13387</v>
      </c>
      <c r="C889" s="114" t="s">
        <v>13399</v>
      </c>
      <c r="D889" s="115" t="s">
        <v>13400</v>
      </c>
    </row>
    <row r="890" spans="1:4" ht="14.15" customHeight="1" x14ac:dyDescent="0.35">
      <c r="A890" s="114" t="s">
        <v>13386</v>
      </c>
      <c r="B890" s="115" t="s">
        <v>13387</v>
      </c>
      <c r="C890" s="114" t="s">
        <v>11242</v>
      </c>
      <c r="D890" s="115" t="s">
        <v>13401</v>
      </c>
    </row>
    <row r="891" spans="1:4" ht="14.15" customHeight="1" x14ac:dyDescent="0.35">
      <c r="A891" s="114" t="s">
        <v>13402</v>
      </c>
      <c r="B891" s="115" t="s">
        <v>13403</v>
      </c>
      <c r="C891" s="114" t="s">
        <v>13404</v>
      </c>
      <c r="D891" s="115" t="s">
        <v>13405</v>
      </c>
    </row>
    <row r="892" spans="1:4" ht="14.15" customHeight="1" x14ac:dyDescent="0.35">
      <c r="A892" s="114" t="s">
        <v>13406</v>
      </c>
      <c r="B892" s="115" t="s">
        <v>13407</v>
      </c>
      <c r="C892" s="114" t="s">
        <v>13408</v>
      </c>
      <c r="D892" s="115" t="s">
        <v>13409</v>
      </c>
    </row>
    <row r="893" spans="1:4" ht="14.15" customHeight="1" x14ac:dyDescent="0.35">
      <c r="A893" s="114" t="s">
        <v>13406</v>
      </c>
      <c r="B893" s="115" t="s">
        <v>13407</v>
      </c>
      <c r="C893" s="114" t="s">
        <v>13410</v>
      </c>
      <c r="D893" s="115" t="s">
        <v>13411</v>
      </c>
    </row>
    <row r="894" spans="1:4" ht="14.15" customHeight="1" x14ac:dyDescent="0.35">
      <c r="A894" s="114" t="s">
        <v>13412</v>
      </c>
      <c r="B894" s="115" t="s">
        <v>13413</v>
      </c>
      <c r="C894" s="114" t="s">
        <v>13414</v>
      </c>
      <c r="D894" s="115" t="s">
        <v>13415</v>
      </c>
    </row>
    <row r="895" spans="1:4" ht="14.15" customHeight="1" x14ac:dyDescent="0.35">
      <c r="A895" s="114" t="s">
        <v>13416</v>
      </c>
      <c r="B895" s="115" t="s">
        <v>13417</v>
      </c>
      <c r="C895" s="114" t="s">
        <v>13418</v>
      </c>
      <c r="D895" s="115" t="s">
        <v>13419</v>
      </c>
    </row>
    <row r="896" spans="1:4" ht="14.15" customHeight="1" x14ac:dyDescent="0.35">
      <c r="A896" s="114" t="s">
        <v>13420</v>
      </c>
      <c r="B896" s="115" t="s">
        <v>13421</v>
      </c>
      <c r="C896" s="114" t="s">
        <v>13422</v>
      </c>
      <c r="D896" s="115" t="s">
        <v>13423</v>
      </c>
    </row>
    <row r="897" spans="1:4" ht="14.15" customHeight="1" x14ac:dyDescent="0.35">
      <c r="A897" s="114" t="s">
        <v>13424</v>
      </c>
      <c r="B897" s="115" t="s">
        <v>13425</v>
      </c>
      <c r="C897" s="114" t="s">
        <v>13426</v>
      </c>
      <c r="D897" s="115" t="s">
        <v>13427</v>
      </c>
    </row>
    <row r="898" spans="1:4" ht="14.15" customHeight="1" x14ac:dyDescent="0.35">
      <c r="A898" s="114" t="s">
        <v>13428</v>
      </c>
      <c r="B898" s="115" t="s">
        <v>13429</v>
      </c>
      <c r="C898" s="114" t="s">
        <v>13430</v>
      </c>
      <c r="D898" s="115" t="s">
        <v>13431</v>
      </c>
    </row>
    <row r="899" spans="1:4" ht="14.15" customHeight="1" x14ac:dyDescent="0.35">
      <c r="A899" s="114" t="s">
        <v>13428</v>
      </c>
      <c r="B899" s="115" t="s">
        <v>13429</v>
      </c>
      <c r="C899" s="114" t="s">
        <v>13432</v>
      </c>
      <c r="D899" s="115" t="s">
        <v>13433</v>
      </c>
    </row>
    <row r="900" spans="1:4" ht="14.15" customHeight="1" x14ac:dyDescent="0.35">
      <c r="A900" s="114" t="s">
        <v>2292</v>
      </c>
      <c r="B900" s="115" t="s">
        <v>13434</v>
      </c>
      <c r="C900" s="114" t="s">
        <v>13435</v>
      </c>
      <c r="D900" s="115" t="s">
        <v>13436</v>
      </c>
    </row>
    <row r="901" spans="1:4" ht="14.15" customHeight="1" x14ac:dyDescent="0.35">
      <c r="A901" s="114" t="s">
        <v>2440</v>
      </c>
      <c r="B901" s="115" t="s">
        <v>13437</v>
      </c>
      <c r="C901" s="114" t="s">
        <v>13438</v>
      </c>
      <c r="D901" s="115" t="s">
        <v>13439</v>
      </c>
    </row>
    <row r="902" spans="1:4" ht="14.15" customHeight="1" x14ac:dyDescent="0.35">
      <c r="A902" s="114" t="s">
        <v>2440</v>
      </c>
      <c r="B902" s="115" t="s">
        <v>13437</v>
      </c>
      <c r="C902" s="114" t="s">
        <v>13440</v>
      </c>
      <c r="D902" s="115" t="s">
        <v>13441</v>
      </c>
    </row>
    <row r="903" spans="1:4" ht="14.15" customHeight="1" x14ac:dyDescent="0.35">
      <c r="A903" s="114" t="s">
        <v>2440</v>
      </c>
      <c r="B903" s="115" t="s">
        <v>13437</v>
      </c>
      <c r="C903" s="114" t="s">
        <v>13442</v>
      </c>
      <c r="D903" s="115" t="s">
        <v>13443</v>
      </c>
    </row>
    <row r="904" spans="1:4" ht="14.15" customHeight="1" x14ac:dyDescent="0.35">
      <c r="A904" s="114" t="s">
        <v>13444</v>
      </c>
      <c r="B904" s="115" t="s">
        <v>13445</v>
      </c>
      <c r="C904" s="114" t="s">
        <v>13446</v>
      </c>
      <c r="D904" s="115" t="s">
        <v>13447</v>
      </c>
    </row>
    <row r="905" spans="1:4" ht="14.15" customHeight="1" x14ac:dyDescent="0.35">
      <c r="A905" s="114" t="s">
        <v>13444</v>
      </c>
      <c r="B905" s="115" t="s">
        <v>13445</v>
      </c>
      <c r="C905" s="114" t="s">
        <v>13448</v>
      </c>
      <c r="D905" s="115" t="s">
        <v>13449</v>
      </c>
    </row>
    <row r="906" spans="1:4" ht="14.15" customHeight="1" x14ac:dyDescent="0.35">
      <c r="A906" s="114" t="s">
        <v>13444</v>
      </c>
      <c r="B906" s="115" t="s">
        <v>13445</v>
      </c>
      <c r="C906" s="114" t="s">
        <v>13450</v>
      </c>
      <c r="D906" s="115" t="s">
        <v>13451</v>
      </c>
    </row>
    <row r="907" spans="1:4" ht="14.15" customHeight="1" x14ac:dyDescent="0.35">
      <c r="A907" s="114" t="s">
        <v>13444</v>
      </c>
      <c r="B907" s="115" t="s">
        <v>13445</v>
      </c>
      <c r="C907" s="114" t="s">
        <v>13452</v>
      </c>
      <c r="D907" s="115" t="s">
        <v>13453</v>
      </c>
    </row>
    <row r="908" spans="1:4" ht="14.15" customHeight="1" x14ac:dyDescent="0.35">
      <c r="A908" s="114" t="s">
        <v>13444</v>
      </c>
      <c r="B908" s="115" t="s">
        <v>13445</v>
      </c>
      <c r="C908" s="114" t="s">
        <v>13454</v>
      </c>
      <c r="D908" s="115" t="s">
        <v>13455</v>
      </c>
    </row>
    <row r="909" spans="1:4" ht="14.15" customHeight="1" x14ac:dyDescent="0.35">
      <c r="A909" s="114" t="s">
        <v>13444</v>
      </c>
      <c r="B909" s="115" t="s">
        <v>13445</v>
      </c>
      <c r="C909" s="114" t="s">
        <v>13456</v>
      </c>
      <c r="D909" s="115" t="s">
        <v>13457</v>
      </c>
    </row>
    <row r="910" spans="1:4" ht="14.15" customHeight="1" x14ac:dyDescent="0.35">
      <c r="A910" s="114" t="s">
        <v>13444</v>
      </c>
      <c r="B910" s="115" t="s">
        <v>13445</v>
      </c>
      <c r="C910" s="114" t="s">
        <v>13458</v>
      </c>
      <c r="D910" s="115" t="s">
        <v>13459</v>
      </c>
    </row>
    <row r="911" spans="1:4" ht="14.15" customHeight="1" x14ac:dyDescent="0.35">
      <c r="A911" s="114" t="s">
        <v>13444</v>
      </c>
      <c r="B911" s="115" t="s">
        <v>13445</v>
      </c>
      <c r="C911" s="114" t="s">
        <v>13460</v>
      </c>
      <c r="D911" s="115" t="s">
        <v>12516</v>
      </c>
    </row>
    <row r="912" spans="1:4" ht="14.15" customHeight="1" x14ac:dyDescent="0.35">
      <c r="A912" s="114" t="s">
        <v>13444</v>
      </c>
      <c r="B912" s="115" t="s">
        <v>13445</v>
      </c>
      <c r="C912" s="114" t="s">
        <v>13461</v>
      </c>
      <c r="D912" s="115" t="s">
        <v>13462</v>
      </c>
    </row>
    <row r="913" spans="1:4" ht="14.15" customHeight="1" x14ac:dyDescent="0.35">
      <c r="A913" s="114" t="s">
        <v>13444</v>
      </c>
      <c r="B913" s="115" t="s">
        <v>13445</v>
      </c>
      <c r="C913" s="114" t="s">
        <v>13463</v>
      </c>
      <c r="D913" s="115" t="s">
        <v>11741</v>
      </c>
    </row>
    <row r="914" spans="1:4" ht="14.15" customHeight="1" x14ac:dyDescent="0.35">
      <c r="A914" s="114" t="s">
        <v>13444</v>
      </c>
      <c r="B914" s="115" t="s">
        <v>13445</v>
      </c>
      <c r="C914" s="114" t="s">
        <v>13464</v>
      </c>
      <c r="D914" s="115" t="s">
        <v>13465</v>
      </c>
    </row>
    <row r="915" spans="1:4" ht="14.15" customHeight="1" x14ac:dyDescent="0.35">
      <c r="A915" s="114" t="s">
        <v>13444</v>
      </c>
      <c r="B915" s="115" t="s">
        <v>13445</v>
      </c>
      <c r="C915" s="114" t="s">
        <v>13466</v>
      </c>
      <c r="D915" s="115" t="s">
        <v>13467</v>
      </c>
    </row>
    <row r="916" spans="1:4" ht="14.15" customHeight="1" x14ac:dyDescent="0.35">
      <c r="A916" s="114" t="s">
        <v>13444</v>
      </c>
      <c r="B916" s="115" t="s">
        <v>13445</v>
      </c>
      <c r="C916" s="114" t="s">
        <v>13468</v>
      </c>
      <c r="D916" s="115" t="s">
        <v>13469</v>
      </c>
    </row>
    <row r="917" spans="1:4" ht="14.15" customHeight="1" x14ac:dyDescent="0.35">
      <c r="A917" s="114" t="s">
        <v>13444</v>
      </c>
      <c r="B917" s="115" t="s">
        <v>13445</v>
      </c>
      <c r="C917" s="114" t="s">
        <v>13470</v>
      </c>
      <c r="D917" s="115" t="s">
        <v>13471</v>
      </c>
    </row>
    <row r="918" spans="1:4" ht="14.15" customHeight="1" x14ac:dyDescent="0.35">
      <c r="A918" s="114" t="s">
        <v>13444</v>
      </c>
      <c r="B918" s="115" t="s">
        <v>13445</v>
      </c>
      <c r="C918" s="114" t="s">
        <v>13472</v>
      </c>
      <c r="D918" s="115" t="s">
        <v>13473</v>
      </c>
    </row>
    <row r="919" spans="1:4" ht="14.15" customHeight="1" x14ac:dyDescent="0.35">
      <c r="A919" s="114" t="s">
        <v>13444</v>
      </c>
      <c r="B919" s="115" t="s">
        <v>13445</v>
      </c>
      <c r="C919" s="114" t="s">
        <v>13474</v>
      </c>
      <c r="D919" s="115" t="s">
        <v>13475</v>
      </c>
    </row>
    <row r="920" spans="1:4" ht="14.15" customHeight="1" x14ac:dyDescent="0.35">
      <c r="A920" s="114" t="s">
        <v>13444</v>
      </c>
      <c r="B920" s="115" t="s">
        <v>13445</v>
      </c>
      <c r="C920" s="114" t="s">
        <v>13476</v>
      </c>
      <c r="D920" s="115" t="s">
        <v>13477</v>
      </c>
    </row>
    <row r="921" spans="1:4" ht="14.15" customHeight="1" x14ac:dyDescent="0.35">
      <c r="A921" s="114" t="s">
        <v>13444</v>
      </c>
      <c r="B921" s="115" t="s">
        <v>13445</v>
      </c>
      <c r="C921" s="114" t="s">
        <v>13478</v>
      </c>
      <c r="D921" s="115" t="s">
        <v>13479</v>
      </c>
    </row>
    <row r="922" spans="1:4" ht="14.15" customHeight="1" x14ac:dyDescent="0.35">
      <c r="A922" s="114" t="s">
        <v>13444</v>
      </c>
      <c r="B922" s="115" t="s">
        <v>13445</v>
      </c>
      <c r="C922" s="114" t="s">
        <v>13480</v>
      </c>
      <c r="D922" s="115" t="s">
        <v>13481</v>
      </c>
    </row>
    <row r="923" spans="1:4" ht="14.15" customHeight="1" x14ac:dyDescent="0.35">
      <c r="A923" s="114" t="s">
        <v>13444</v>
      </c>
      <c r="B923" s="115" t="s">
        <v>13445</v>
      </c>
      <c r="C923" s="114" t="s">
        <v>13482</v>
      </c>
      <c r="D923" s="115" t="s">
        <v>13483</v>
      </c>
    </row>
    <row r="924" spans="1:4" ht="14.15" customHeight="1" x14ac:dyDescent="0.35">
      <c r="A924" s="114" t="s">
        <v>13444</v>
      </c>
      <c r="B924" s="115" t="s">
        <v>13445</v>
      </c>
      <c r="C924" s="114" t="s">
        <v>13484</v>
      </c>
      <c r="D924" s="115" t="s">
        <v>13485</v>
      </c>
    </row>
    <row r="925" spans="1:4" ht="14.15" customHeight="1" x14ac:dyDescent="0.35">
      <c r="A925" s="114" t="s">
        <v>13444</v>
      </c>
      <c r="B925" s="115" t="s">
        <v>13445</v>
      </c>
      <c r="C925" s="114" t="s">
        <v>13486</v>
      </c>
      <c r="D925" s="115" t="s">
        <v>13487</v>
      </c>
    </row>
    <row r="926" spans="1:4" ht="14.15" customHeight="1" x14ac:dyDescent="0.35">
      <c r="A926" s="114" t="s">
        <v>13488</v>
      </c>
      <c r="B926" s="115" t="s">
        <v>13489</v>
      </c>
      <c r="C926" s="114" t="s">
        <v>13490</v>
      </c>
      <c r="D926" s="115" t="s">
        <v>13491</v>
      </c>
    </row>
    <row r="927" spans="1:4" ht="14.15" customHeight="1" x14ac:dyDescent="0.35">
      <c r="A927" s="114" t="s">
        <v>13488</v>
      </c>
      <c r="B927" s="115" t="s">
        <v>13489</v>
      </c>
      <c r="C927" s="114" t="s">
        <v>13492</v>
      </c>
      <c r="D927" s="115" t="s">
        <v>13493</v>
      </c>
    </row>
    <row r="928" spans="1:4" ht="14.15" customHeight="1" x14ac:dyDescent="0.35">
      <c r="A928" s="114" t="s">
        <v>2410</v>
      </c>
      <c r="B928" s="115" t="s">
        <v>13494</v>
      </c>
      <c r="C928" s="114" t="s">
        <v>11325</v>
      </c>
      <c r="D928" s="115" t="s">
        <v>13495</v>
      </c>
    </row>
    <row r="929" spans="1:4" ht="14.15" customHeight="1" x14ac:dyDescent="0.35">
      <c r="A929" s="114" t="s">
        <v>2410</v>
      </c>
      <c r="B929" s="115" t="s">
        <v>13494</v>
      </c>
      <c r="C929" s="114" t="s">
        <v>11337</v>
      </c>
      <c r="D929" s="115" t="s">
        <v>13496</v>
      </c>
    </row>
    <row r="930" spans="1:4" ht="14.15" customHeight="1" x14ac:dyDescent="0.35">
      <c r="A930" s="114" t="s">
        <v>13497</v>
      </c>
      <c r="B930" s="115" t="s">
        <v>13498</v>
      </c>
      <c r="C930" s="114" t="s">
        <v>11360</v>
      </c>
      <c r="D930" s="115" t="s">
        <v>13499</v>
      </c>
    </row>
    <row r="931" spans="1:4" ht="14.15" customHeight="1" x14ac:dyDescent="0.35">
      <c r="A931" s="114" t="s">
        <v>13497</v>
      </c>
      <c r="B931" s="115" t="s">
        <v>13498</v>
      </c>
      <c r="C931" s="114" t="s">
        <v>13500</v>
      </c>
      <c r="D931" s="115" t="s">
        <v>13501</v>
      </c>
    </row>
    <row r="932" spans="1:4" ht="14.15" customHeight="1" x14ac:dyDescent="0.35">
      <c r="A932" s="114" t="s">
        <v>13497</v>
      </c>
      <c r="B932" s="115" t="s">
        <v>13498</v>
      </c>
      <c r="C932" s="114" t="s">
        <v>13502</v>
      </c>
      <c r="D932" s="115" t="s">
        <v>13503</v>
      </c>
    </row>
    <row r="933" spans="1:4" ht="14.15" customHeight="1" x14ac:dyDescent="0.35">
      <c r="A933" s="114" t="s">
        <v>13497</v>
      </c>
      <c r="B933" s="115" t="s">
        <v>13498</v>
      </c>
      <c r="C933" s="114" t="s">
        <v>13504</v>
      </c>
      <c r="D933" s="115" t="s">
        <v>13505</v>
      </c>
    </row>
    <row r="934" spans="1:4" ht="14.15" customHeight="1" x14ac:dyDescent="0.35">
      <c r="A934" s="114" t="s">
        <v>13497</v>
      </c>
      <c r="B934" s="115" t="s">
        <v>13498</v>
      </c>
      <c r="C934" s="114" t="s">
        <v>13506</v>
      </c>
      <c r="D934" s="115" t="s">
        <v>13507</v>
      </c>
    </row>
    <row r="935" spans="1:4" ht="14.15" customHeight="1" x14ac:dyDescent="0.35">
      <c r="A935" s="114" t="s">
        <v>13497</v>
      </c>
      <c r="B935" s="115" t="s">
        <v>13498</v>
      </c>
      <c r="C935" s="114" t="s">
        <v>13508</v>
      </c>
      <c r="D935" s="115" t="s">
        <v>13509</v>
      </c>
    </row>
    <row r="936" spans="1:4" ht="14.15" customHeight="1" x14ac:dyDescent="0.35">
      <c r="A936" s="158" t="s">
        <v>13497</v>
      </c>
      <c r="B936" s="115" t="s">
        <v>13498</v>
      </c>
      <c r="C936" s="114" t="s">
        <v>13510</v>
      </c>
      <c r="D936" s="157" t="s">
        <v>13511</v>
      </c>
    </row>
    <row r="937" spans="1:4" ht="14.15" customHeight="1" x14ac:dyDescent="0.35">
      <c r="A937" s="114" t="s">
        <v>13497</v>
      </c>
      <c r="B937" s="115" t="s">
        <v>13498</v>
      </c>
      <c r="C937" s="114" t="s">
        <v>13512</v>
      </c>
      <c r="D937" s="115" t="s">
        <v>13513</v>
      </c>
    </row>
    <row r="938" spans="1:4" ht="14.15" customHeight="1" x14ac:dyDescent="0.35">
      <c r="A938" s="114" t="s">
        <v>13497</v>
      </c>
      <c r="B938" s="115" t="s">
        <v>13498</v>
      </c>
      <c r="C938" s="114" t="s">
        <v>13514</v>
      </c>
      <c r="D938" s="115" t="s">
        <v>13515</v>
      </c>
    </row>
    <row r="939" spans="1:4" ht="14.15" customHeight="1" x14ac:dyDescent="0.35">
      <c r="A939" s="114" t="s">
        <v>13497</v>
      </c>
      <c r="B939" s="115" t="s">
        <v>13498</v>
      </c>
      <c r="C939" s="114" t="s">
        <v>13516</v>
      </c>
      <c r="D939" s="115" t="s">
        <v>13517</v>
      </c>
    </row>
    <row r="940" spans="1:4" ht="14.15" customHeight="1" x14ac:dyDescent="0.35">
      <c r="A940" s="114" t="s">
        <v>13497</v>
      </c>
      <c r="B940" s="115" t="s">
        <v>13498</v>
      </c>
      <c r="C940" s="114" t="s">
        <v>13518</v>
      </c>
      <c r="D940" s="115" t="s">
        <v>13519</v>
      </c>
    </row>
    <row r="941" spans="1:4" ht="14.15" customHeight="1" x14ac:dyDescent="0.35">
      <c r="A941" s="114" t="s">
        <v>13497</v>
      </c>
      <c r="B941" s="115" t="s">
        <v>13498</v>
      </c>
      <c r="C941" s="114" t="s">
        <v>13520</v>
      </c>
      <c r="D941" s="115" t="s">
        <v>13521</v>
      </c>
    </row>
    <row r="942" spans="1:4" ht="14.15" customHeight="1" x14ac:dyDescent="0.35">
      <c r="A942" s="114" t="s">
        <v>13497</v>
      </c>
      <c r="B942" s="115" t="s">
        <v>13498</v>
      </c>
      <c r="C942" s="114" t="s">
        <v>13522</v>
      </c>
      <c r="D942" s="115" t="s">
        <v>13523</v>
      </c>
    </row>
    <row r="943" spans="1:4" ht="14.15" customHeight="1" x14ac:dyDescent="0.35">
      <c r="A943" s="114" t="s">
        <v>13497</v>
      </c>
      <c r="B943" s="115" t="s">
        <v>13498</v>
      </c>
      <c r="C943" s="114" t="s">
        <v>13524</v>
      </c>
      <c r="D943" s="115" t="s">
        <v>13525</v>
      </c>
    </row>
    <row r="944" spans="1:4" ht="14.15" customHeight="1" x14ac:dyDescent="0.35">
      <c r="A944" s="114" t="s">
        <v>13497</v>
      </c>
      <c r="B944" s="115" t="s">
        <v>13498</v>
      </c>
      <c r="C944" s="114" t="s">
        <v>13526</v>
      </c>
      <c r="D944" s="115" t="s">
        <v>13527</v>
      </c>
    </row>
    <row r="945" spans="1:4" ht="14.15" customHeight="1" x14ac:dyDescent="0.35">
      <c r="A945" s="114" t="s">
        <v>13497</v>
      </c>
      <c r="B945" s="115" t="s">
        <v>13498</v>
      </c>
      <c r="C945" s="114" t="s">
        <v>13528</v>
      </c>
      <c r="D945" s="115" t="s">
        <v>13529</v>
      </c>
    </row>
    <row r="946" spans="1:4" ht="14.15" customHeight="1" x14ac:dyDescent="0.35">
      <c r="A946" s="114" t="s">
        <v>13530</v>
      </c>
      <c r="B946" s="115" t="s">
        <v>13531</v>
      </c>
      <c r="C946" s="114" t="s">
        <v>13532</v>
      </c>
      <c r="D946" s="115" t="s">
        <v>13533</v>
      </c>
    </row>
    <row r="947" spans="1:4" ht="14.15" customHeight="1" x14ac:dyDescent="0.35">
      <c r="A947" s="114" t="s">
        <v>13534</v>
      </c>
      <c r="B947" s="115" t="s">
        <v>13535</v>
      </c>
      <c r="C947" s="114" t="s">
        <v>13536</v>
      </c>
      <c r="D947" s="115" t="s">
        <v>13537</v>
      </c>
    </row>
    <row r="948" spans="1:4" ht="14.15" customHeight="1" x14ac:dyDescent="0.35">
      <c r="A948" s="114" t="s">
        <v>13538</v>
      </c>
      <c r="B948" s="115" t="s">
        <v>13539</v>
      </c>
      <c r="C948" s="114" t="s">
        <v>13540</v>
      </c>
      <c r="D948" s="115" t="s">
        <v>13541</v>
      </c>
    </row>
    <row r="949" spans="1:4" ht="14.15" customHeight="1" x14ac:dyDescent="0.35">
      <c r="A949" s="114" t="s">
        <v>13538</v>
      </c>
      <c r="B949" s="115" t="s">
        <v>13539</v>
      </c>
      <c r="C949" s="114" t="s">
        <v>11317</v>
      </c>
      <c r="D949" s="115" t="s">
        <v>13542</v>
      </c>
    </row>
    <row r="950" spans="1:4" ht="14.15" customHeight="1" x14ac:dyDescent="0.35">
      <c r="A950" s="114" t="s">
        <v>13538</v>
      </c>
      <c r="B950" s="115" t="s">
        <v>13539</v>
      </c>
      <c r="C950" s="114" t="s">
        <v>13543</v>
      </c>
      <c r="D950" s="115" t="s">
        <v>13544</v>
      </c>
    </row>
    <row r="951" spans="1:4" ht="14.15" customHeight="1" x14ac:dyDescent="0.35">
      <c r="A951" s="114" t="s">
        <v>13545</v>
      </c>
      <c r="B951" s="115" t="s">
        <v>13546</v>
      </c>
      <c r="C951" s="114" t="s">
        <v>13547</v>
      </c>
      <c r="D951" s="115" t="s">
        <v>13548</v>
      </c>
    </row>
    <row r="952" spans="1:4" ht="14.15" customHeight="1" x14ac:dyDescent="0.35">
      <c r="A952" s="114" t="s">
        <v>13545</v>
      </c>
      <c r="B952" s="115" t="s">
        <v>13546</v>
      </c>
      <c r="C952" s="114" t="s">
        <v>13549</v>
      </c>
      <c r="D952" s="115" t="s">
        <v>13550</v>
      </c>
    </row>
    <row r="953" spans="1:4" ht="14.15" customHeight="1" x14ac:dyDescent="0.35">
      <c r="A953" s="114" t="s">
        <v>13545</v>
      </c>
      <c r="B953" s="115" t="s">
        <v>13546</v>
      </c>
      <c r="C953" s="114" t="s">
        <v>13551</v>
      </c>
      <c r="D953" s="115" t="s">
        <v>13552</v>
      </c>
    </row>
    <row r="954" spans="1:4" ht="14.15" customHeight="1" x14ac:dyDescent="0.35">
      <c r="A954" s="114" t="s">
        <v>13545</v>
      </c>
      <c r="B954" s="115" t="s">
        <v>13546</v>
      </c>
      <c r="C954" s="114" t="s">
        <v>13553</v>
      </c>
      <c r="D954" s="115" t="s">
        <v>13554</v>
      </c>
    </row>
    <row r="955" spans="1:4" ht="14.15" customHeight="1" x14ac:dyDescent="0.35">
      <c r="A955" s="114" t="s">
        <v>13545</v>
      </c>
      <c r="B955" s="115" t="s">
        <v>13546</v>
      </c>
      <c r="C955" s="114" t="s">
        <v>13555</v>
      </c>
      <c r="D955" s="115" t="s">
        <v>13556</v>
      </c>
    </row>
    <row r="956" spans="1:4" ht="14.15" customHeight="1" x14ac:dyDescent="0.35">
      <c r="A956" s="114" t="s">
        <v>13545</v>
      </c>
      <c r="B956" s="115" t="s">
        <v>13546</v>
      </c>
      <c r="C956" s="114" t="s">
        <v>13557</v>
      </c>
      <c r="D956" s="115" t="s">
        <v>13558</v>
      </c>
    </row>
    <row r="957" spans="1:4" ht="14.15" customHeight="1" x14ac:dyDescent="0.35">
      <c r="A957" s="114" t="s">
        <v>13545</v>
      </c>
      <c r="B957" s="115" t="s">
        <v>13546</v>
      </c>
      <c r="C957" s="114" t="s">
        <v>13559</v>
      </c>
      <c r="D957" s="115" t="s">
        <v>13560</v>
      </c>
    </row>
    <row r="958" spans="1:4" ht="14.15" customHeight="1" x14ac:dyDescent="0.35">
      <c r="A958" s="114" t="s">
        <v>2366</v>
      </c>
      <c r="B958" s="115" t="s">
        <v>13561</v>
      </c>
      <c r="C958" s="114" t="s">
        <v>13562</v>
      </c>
      <c r="D958" s="115" t="s">
        <v>13563</v>
      </c>
    </row>
    <row r="959" spans="1:4" ht="14.15" customHeight="1" x14ac:dyDescent="0.35">
      <c r="A959" s="114" t="s">
        <v>2366</v>
      </c>
      <c r="B959" s="115" t="s">
        <v>13561</v>
      </c>
      <c r="C959" s="114" t="s">
        <v>13564</v>
      </c>
      <c r="D959" s="115" t="s">
        <v>13565</v>
      </c>
    </row>
    <row r="960" spans="1:4" ht="14.15" customHeight="1" x14ac:dyDescent="0.35">
      <c r="A960" s="114" t="s">
        <v>2366</v>
      </c>
      <c r="B960" s="115" t="s">
        <v>13561</v>
      </c>
      <c r="C960" s="114" t="s">
        <v>13566</v>
      </c>
      <c r="D960" s="115" t="s">
        <v>13567</v>
      </c>
    </row>
    <row r="961" spans="1:4" ht="14.15" customHeight="1" x14ac:dyDescent="0.35">
      <c r="A961" s="354" t="s">
        <v>2366</v>
      </c>
      <c r="B961" s="118" t="s">
        <v>13561</v>
      </c>
      <c r="C961" s="117" t="s">
        <v>13568</v>
      </c>
      <c r="D961" s="118" t="s">
        <v>13569</v>
      </c>
    </row>
    <row r="962" spans="1:4" ht="14.15" customHeight="1" x14ac:dyDescent="0.35">
      <c r="A962" s="114" t="s">
        <v>2366</v>
      </c>
      <c r="B962" s="115" t="s">
        <v>13561</v>
      </c>
      <c r="C962" s="114" t="s">
        <v>13570</v>
      </c>
      <c r="D962" s="115" t="s">
        <v>13571</v>
      </c>
    </row>
    <row r="963" spans="1:4" ht="14.15" customHeight="1" x14ac:dyDescent="0.35">
      <c r="A963" s="114" t="s">
        <v>13572</v>
      </c>
      <c r="B963" s="115" t="s">
        <v>13573</v>
      </c>
      <c r="C963" s="114" t="s">
        <v>13574</v>
      </c>
      <c r="D963" s="115" t="s">
        <v>13575</v>
      </c>
    </row>
    <row r="964" spans="1:4" ht="14.15" customHeight="1" x14ac:dyDescent="0.35">
      <c r="A964" s="114" t="s">
        <v>13572</v>
      </c>
      <c r="B964" s="115" t="s">
        <v>13573</v>
      </c>
      <c r="C964" s="114" t="s">
        <v>13576</v>
      </c>
      <c r="D964" s="115" t="s">
        <v>13577</v>
      </c>
    </row>
    <row r="965" spans="1:4" ht="14.15" customHeight="1" x14ac:dyDescent="0.35">
      <c r="A965" s="114" t="s">
        <v>13572</v>
      </c>
      <c r="B965" s="115" t="s">
        <v>13573</v>
      </c>
      <c r="C965" s="114" t="s">
        <v>13578</v>
      </c>
      <c r="D965" s="115" t="s">
        <v>13579</v>
      </c>
    </row>
    <row r="966" spans="1:4" ht="14.15" customHeight="1" x14ac:dyDescent="0.35">
      <c r="A966" s="114" t="s">
        <v>13572</v>
      </c>
      <c r="B966" s="115" t="s">
        <v>13573</v>
      </c>
      <c r="C966" s="114" t="s">
        <v>13580</v>
      </c>
      <c r="D966" s="115" t="s">
        <v>13581</v>
      </c>
    </row>
    <row r="967" spans="1:4" ht="14.15" customHeight="1" x14ac:dyDescent="0.35">
      <c r="A967" s="114" t="s">
        <v>13572</v>
      </c>
      <c r="B967" s="115" t="s">
        <v>13573</v>
      </c>
      <c r="C967" s="114" t="s">
        <v>13582</v>
      </c>
      <c r="D967" s="115" t="s">
        <v>13583</v>
      </c>
    </row>
    <row r="968" spans="1:4" ht="14.15" customHeight="1" x14ac:dyDescent="0.35">
      <c r="A968" s="114" t="s">
        <v>13572</v>
      </c>
      <c r="B968" s="115" t="s">
        <v>13573</v>
      </c>
      <c r="C968" s="114" t="s">
        <v>13584</v>
      </c>
      <c r="D968" s="115" t="s">
        <v>13585</v>
      </c>
    </row>
    <row r="969" spans="1:4" ht="14.15" customHeight="1" x14ac:dyDescent="0.35">
      <c r="A969" s="114" t="s">
        <v>13572</v>
      </c>
      <c r="B969" s="115" t="s">
        <v>13573</v>
      </c>
      <c r="C969" s="114" t="s">
        <v>13586</v>
      </c>
      <c r="D969" s="115" t="s">
        <v>13587</v>
      </c>
    </row>
    <row r="970" spans="1:4" ht="14.15" customHeight="1" x14ac:dyDescent="0.35">
      <c r="A970" s="114" t="s">
        <v>13572</v>
      </c>
      <c r="B970" s="115" t="s">
        <v>13573</v>
      </c>
      <c r="C970" s="114" t="s">
        <v>13588</v>
      </c>
      <c r="D970" s="115" t="s">
        <v>13589</v>
      </c>
    </row>
    <row r="971" spans="1:4" ht="14.15" customHeight="1" x14ac:dyDescent="0.35">
      <c r="A971" s="114" t="s">
        <v>2395</v>
      </c>
      <c r="B971" s="115" t="s">
        <v>13590</v>
      </c>
      <c r="C971" s="114" t="s">
        <v>13591</v>
      </c>
      <c r="D971" s="115" t="s">
        <v>13592</v>
      </c>
    </row>
    <row r="972" spans="1:4" ht="14.15" customHeight="1" x14ac:dyDescent="0.35">
      <c r="A972" s="114" t="s">
        <v>2395</v>
      </c>
      <c r="B972" s="115" t="s">
        <v>13590</v>
      </c>
      <c r="C972" s="114" t="s">
        <v>13593</v>
      </c>
      <c r="D972" s="115" t="s">
        <v>13594</v>
      </c>
    </row>
    <row r="973" spans="1:4" ht="14.15" customHeight="1" x14ac:dyDescent="0.35">
      <c r="A973" s="114" t="s">
        <v>2395</v>
      </c>
      <c r="B973" s="115" t="s">
        <v>13590</v>
      </c>
      <c r="C973" s="114" t="s">
        <v>13595</v>
      </c>
      <c r="D973" s="115" t="s">
        <v>13596</v>
      </c>
    </row>
    <row r="974" spans="1:4" ht="14.15" customHeight="1" x14ac:dyDescent="0.35">
      <c r="A974" s="114" t="s">
        <v>2395</v>
      </c>
      <c r="B974" s="115" t="s">
        <v>13590</v>
      </c>
      <c r="C974" s="114" t="s">
        <v>13597</v>
      </c>
      <c r="D974" s="115" t="s">
        <v>13598</v>
      </c>
    </row>
    <row r="975" spans="1:4" ht="14.15" customHeight="1" x14ac:dyDescent="0.35">
      <c r="A975" s="114" t="s">
        <v>2395</v>
      </c>
      <c r="B975" s="115" t="s">
        <v>13590</v>
      </c>
      <c r="C975" s="114" t="s">
        <v>13599</v>
      </c>
      <c r="D975" s="115" t="s">
        <v>13600</v>
      </c>
    </row>
    <row r="976" spans="1:4" ht="14.15" customHeight="1" x14ac:dyDescent="0.35">
      <c r="A976" s="114" t="s">
        <v>13601</v>
      </c>
      <c r="B976" s="115" t="s">
        <v>13602</v>
      </c>
      <c r="C976" s="114" t="s">
        <v>13603</v>
      </c>
      <c r="D976" s="115" t="s">
        <v>13604</v>
      </c>
    </row>
    <row r="977" spans="1:4" ht="14.15" customHeight="1" x14ac:dyDescent="0.35">
      <c r="A977" s="114" t="s">
        <v>13601</v>
      </c>
      <c r="B977" s="115" t="s">
        <v>13602</v>
      </c>
      <c r="C977" s="114" t="s">
        <v>13605</v>
      </c>
      <c r="D977" s="115" t="s">
        <v>13606</v>
      </c>
    </row>
    <row r="978" spans="1:4" ht="14.15" customHeight="1" x14ac:dyDescent="0.35">
      <c r="A978" s="114" t="s">
        <v>13601</v>
      </c>
      <c r="B978" s="115" t="s">
        <v>13602</v>
      </c>
      <c r="C978" s="114" t="s">
        <v>13607</v>
      </c>
      <c r="D978" s="115" t="s">
        <v>13608</v>
      </c>
    </row>
    <row r="979" spans="1:4" ht="14.15" customHeight="1" x14ac:dyDescent="0.35">
      <c r="A979" s="114" t="s">
        <v>13601</v>
      </c>
      <c r="B979" s="115" t="s">
        <v>13602</v>
      </c>
      <c r="C979" s="114" t="s">
        <v>13609</v>
      </c>
      <c r="D979" s="115" t="s">
        <v>13610</v>
      </c>
    </row>
    <row r="980" spans="1:4" ht="14.15" customHeight="1" x14ac:dyDescent="0.35">
      <c r="A980" s="114" t="s">
        <v>13611</v>
      </c>
      <c r="B980" s="115" t="s">
        <v>13612</v>
      </c>
      <c r="C980" s="114" t="s">
        <v>13613</v>
      </c>
      <c r="D980" s="115" t="s">
        <v>13614</v>
      </c>
    </row>
    <row r="981" spans="1:4" ht="14.15" customHeight="1" x14ac:dyDescent="0.35">
      <c r="A981" s="114" t="s">
        <v>2441</v>
      </c>
      <c r="B981" s="115" t="s">
        <v>13615</v>
      </c>
      <c r="C981" s="114" t="s">
        <v>13616</v>
      </c>
      <c r="D981" s="115" t="s">
        <v>13617</v>
      </c>
    </row>
    <row r="982" spans="1:4" ht="14.15" customHeight="1" x14ac:dyDescent="0.35">
      <c r="A982" s="114" t="s">
        <v>2441</v>
      </c>
      <c r="B982" s="115" t="s">
        <v>13615</v>
      </c>
      <c r="C982" s="114" t="s">
        <v>13618</v>
      </c>
      <c r="D982" s="115" t="s">
        <v>13619</v>
      </c>
    </row>
    <row r="983" spans="1:4" ht="14.15" customHeight="1" x14ac:dyDescent="0.35">
      <c r="A983" s="114" t="s">
        <v>2441</v>
      </c>
      <c r="B983" s="115" t="s">
        <v>13615</v>
      </c>
      <c r="C983" s="114" t="s">
        <v>13620</v>
      </c>
      <c r="D983" s="115" t="s">
        <v>13621</v>
      </c>
    </row>
    <row r="984" spans="1:4" ht="14.15" customHeight="1" x14ac:dyDescent="0.35">
      <c r="A984" s="114" t="s">
        <v>13622</v>
      </c>
      <c r="B984" s="115" t="s">
        <v>13623</v>
      </c>
      <c r="C984" s="114" t="s">
        <v>13624</v>
      </c>
      <c r="D984" s="115" t="s">
        <v>13625</v>
      </c>
    </row>
    <row r="985" spans="1:4" ht="14.15" customHeight="1" x14ac:dyDescent="0.35">
      <c r="A985" s="114" t="s">
        <v>13622</v>
      </c>
      <c r="B985" s="115" t="s">
        <v>13623</v>
      </c>
      <c r="C985" s="114" t="s">
        <v>13626</v>
      </c>
      <c r="D985" s="115" t="s">
        <v>13627</v>
      </c>
    </row>
    <row r="986" spans="1:4" ht="14.15" customHeight="1" x14ac:dyDescent="0.35">
      <c r="A986" s="114" t="s">
        <v>13622</v>
      </c>
      <c r="B986" s="115" t="s">
        <v>13623</v>
      </c>
      <c r="C986" s="114" t="s">
        <v>13628</v>
      </c>
      <c r="D986" s="115" t="s">
        <v>12155</v>
      </c>
    </row>
    <row r="987" spans="1:4" ht="14.15" customHeight="1" x14ac:dyDescent="0.35">
      <c r="A987" s="114" t="s">
        <v>13622</v>
      </c>
      <c r="B987" s="115" t="s">
        <v>13623</v>
      </c>
      <c r="C987" s="114" t="s">
        <v>13629</v>
      </c>
      <c r="D987" s="115" t="s">
        <v>13630</v>
      </c>
    </row>
    <row r="988" spans="1:4" ht="14.15" customHeight="1" x14ac:dyDescent="0.35">
      <c r="A988" s="114" t="s">
        <v>13622</v>
      </c>
      <c r="B988" s="115" t="s">
        <v>13623</v>
      </c>
      <c r="C988" s="114" t="s">
        <v>13631</v>
      </c>
      <c r="D988" s="115" t="s">
        <v>13632</v>
      </c>
    </row>
    <row r="989" spans="1:4" ht="14.15" customHeight="1" x14ac:dyDescent="0.35">
      <c r="A989" s="114" t="s">
        <v>13633</v>
      </c>
      <c r="B989" s="115" t="s">
        <v>13634</v>
      </c>
      <c r="C989" s="114" t="s">
        <v>13635</v>
      </c>
      <c r="D989" s="115" t="s">
        <v>13636</v>
      </c>
    </row>
    <row r="990" spans="1:4" ht="14.15" customHeight="1" x14ac:dyDescent="0.35">
      <c r="C990" s="155" t="s">
        <v>1433</v>
      </c>
      <c r="D990" s="116" t="s">
        <v>1434</v>
      </c>
    </row>
    <row r="991" spans="1:4" ht="14.15" customHeight="1" x14ac:dyDescent="0.35">
      <c r="C991" s="155" t="s">
        <v>1458</v>
      </c>
      <c r="D991" s="116" t="s">
        <v>1459</v>
      </c>
    </row>
    <row r="992" spans="1:4" ht="14.15" customHeight="1" x14ac:dyDescent="0.35">
      <c r="C992" s="155" t="s">
        <v>1454</v>
      </c>
      <c r="D992" s="116" t="s">
        <v>1455</v>
      </c>
    </row>
    <row r="993" spans="3:4" ht="14.15" customHeight="1" x14ac:dyDescent="0.35">
      <c r="C993" s="155" t="s">
        <v>1460</v>
      </c>
      <c r="D993" s="116" t="s">
        <v>1461</v>
      </c>
    </row>
    <row r="994" spans="3:4" ht="14.15" customHeight="1" x14ac:dyDescent="0.35">
      <c r="C994" s="155" t="s">
        <v>1436</v>
      </c>
      <c r="D994" s="116" t="s">
        <v>1437</v>
      </c>
    </row>
    <row r="995" spans="3:4" ht="14.15" customHeight="1" x14ac:dyDescent="0.35">
      <c r="C995" s="155" t="s">
        <v>1448</v>
      </c>
      <c r="D995" s="116" t="s">
        <v>1449</v>
      </c>
    </row>
    <row r="996" spans="3:4" ht="14.15" customHeight="1" x14ac:dyDescent="0.35">
      <c r="C996" s="155" t="s">
        <v>1444</v>
      </c>
      <c r="D996" s="116" t="s">
        <v>13637</v>
      </c>
    </row>
    <row r="997" spans="3:4" ht="14.15" customHeight="1" x14ac:dyDescent="0.35">
      <c r="C997" s="155" t="s">
        <v>94</v>
      </c>
      <c r="D997" s="116" t="s">
        <v>1462</v>
      </c>
    </row>
    <row r="998" spans="3:4" ht="14.15" customHeight="1" x14ac:dyDescent="0.35">
      <c r="C998" s="155" t="s">
        <v>1438</v>
      </c>
      <c r="D998" s="116" t="s">
        <v>1439</v>
      </c>
    </row>
    <row r="999" spans="3:4" ht="14.15" customHeight="1" x14ac:dyDescent="0.35">
      <c r="C999" s="155" t="s">
        <v>1440</v>
      </c>
      <c r="D999" s="116" t="s">
        <v>1441</v>
      </c>
    </row>
    <row r="1000" spans="3:4" ht="14.15" customHeight="1" x14ac:dyDescent="0.35">
      <c r="C1000" s="155" t="s">
        <v>1442</v>
      </c>
      <c r="D1000" s="116" t="s">
        <v>1443</v>
      </c>
    </row>
    <row r="1001" spans="3:4" ht="14.15" customHeight="1" x14ac:dyDescent="0.35">
      <c r="C1001" s="155" t="s">
        <v>1452</v>
      </c>
      <c r="D1001" s="116" t="s">
        <v>1453</v>
      </c>
    </row>
    <row r="1002" spans="3:4" ht="14.15" customHeight="1" x14ac:dyDescent="0.35">
      <c r="C1002" s="155" t="s">
        <v>1450</v>
      </c>
      <c r="D1002" s="116" t="s">
        <v>1451</v>
      </c>
    </row>
    <row r="1003" spans="3:4" ht="14.15" customHeight="1" x14ac:dyDescent="0.35">
      <c r="C1003" s="155" t="s">
        <v>1446</v>
      </c>
      <c r="D1003" s="116" t="s">
        <v>1447</v>
      </c>
    </row>
    <row r="1004" spans="3:4" ht="14.15" customHeight="1" x14ac:dyDescent="0.35">
      <c r="C1004" s="155" t="s">
        <v>1456</v>
      </c>
      <c r="D1004" s="116" t="s">
        <v>1457</v>
      </c>
    </row>
    <row r="1005" spans="3:4" ht="14.15" customHeight="1" x14ac:dyDescent="0.35">
      <c r="C1005" s="155" t="s">
        <v>13638</v>
      </c>
      <c r="D1005" s="116" t="s">
        <v>13639</v>
      </c>
    </row>
    <row r="1006" spans="3:4" ht="14.15" customHeight="1" x14ac:dyDescent="0.35">
      <c r="C1006" s="155" t="s">
        <v>13640</v>
      </c>
      <c r="D1006" s="116" t="s">
        <v>13641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C17E-6F21-493A-A223-A8A5D511BA08}">
  <dimension ref="A1:H21"/>
  <sheetViews>
    <sheetView zoomScale="90" zoomScaleNormal="90" workbookViewId="0">
      <selection sqref="A1:XFD1"/>
    </sheetView>
  </sheetViews>
  <sheetFormatPr defaultColWidth="8.7265625" defaultRowHeight="14" x14ac:dyDescent="0.35"/>
  <cols>
    <col min="1" max="1" width="14.453125" style="14" customWidth="1"/>
    <col min="2" max="2" width="5.26953125" style="213" bestFit="1" customWidth="1"/>
    <col min="3" max="3" width="38.7265625" style="14" bestFit="1" customWidth="1"/>
    <col min="4" max="7" width="8.7265625" style="14"/>
    <col min="8" max="8" width="9.54296875" style="14" bestFit="1" customWidth="1"/>
    <col min="9" max="16384" width="8.7265625" style="14"/>
  </cols>
  <sheetData>
    <row r="1" spans="1:8" ht="15" customHeight="1" x14ac:dyDescent="0.35">
      <c r="A1" s="263" t="s">
        <v>39</v>
      </c>
      <c r="B1" s="263" t="s">
        <v>40</v>
      </c>
      <c r="C1" s="264">
        <v>44288</v>
      </c>
      <c r="D1" s="15"/>
      <c r="E1" s="15"/>
      <c r="F1" s="5"/>
      <c r="G1" s="5"/>
      <c r="H1" s="5"/>
    </row>
    <row r="2" spans="1:8" x14ac:dyDescent="0.35">
      <c r="A2" s="5"/>
      <c r="B2" s="11"/>
      <c r="C2" s="84"/>
      <c r="D2" s="15"/>
      <c r="E2" s="15"/>
      <c r="F2" s="5"/>
      <c r="G2" s="5"/>
      <c r="H2" s="5"/>
    </row>
    <row r="3" spans="1:8" x14ac:dyDescent="0.35">
      <c r="A3" s="159" t="s">
        <v>41</v>
      </c>
      <c r="B3" s="205"/>
      <c r="C3" s="159" t="s">
        <v>42</v>
      </c>
      <c r="D3" s="159" t="s">
        <v>43</v>
      </c>
      <c r="E3" s="159"/>
      <c r="F3" s="159" t="s">
        <v>44</v>
      </c>
      <c r="G3" s="159"/>
      <c r="H3" s="159" t="s">
        <v>45</v>
      </c>
    </row>
    <row r="4" spans="1:8" x14ac:dyDescent="0.35">
      <c r="A4" s="163" t="s">
        <v>46</v>
      </c>
      <c r="B4" s="207" t="s">
        <v>47</v>
      </c>
      <c r="C4" s="86" t="s">
        <v>48</v>
      </c>
      <c r="D4" s="154">
        <f>COUNTA('Items Details'!D4:D18)</f>
        <v>15</v>
      </c>
      <c r="E4" s="85"/>
      <c r="F4" s="154">
        <f>COUNTA('Items Details'!F4:F18)</f>
        <v>15</v>
      </c>
      <c r="G4" s="85"/>
      <c r="H4" s="85">
        <f>D4-F4</f>
        <v>0</v>
      </c>
    </row>
    <row r="5" spans="1:8" x14ac:dyDescent="0.35">
      <c r="A5" s="163" t="s">
        <v>46</v>
      </c>
      <c r="B5" s="207" t="s">
        <v>47</v>
      </c>
      <c r="C5" s="86" t="s">
        <v>49</v>
      </c>
      <c r="D5" s="154">
        <f>COUNTA('Items Details'!D20:D69)</f>
        <v>49</v>
      </c>
      <c r="E5" s="85"/>
      <c r="F5" s="154">
        <f>COUNTA('Items Details'!F20:F69)</f>
        <v>50</v>
      </c>
      <c r="G5" s="85"/>
      <c r="H5" s="85">
        <f t="shared" ref="H5:H15" si="0">D5-F5</f>
        <v>-1</v>
      </c>
    </row>
    <row r="6" spans="1:8" x14ac:dyDescent="0.35">
      <c r="A6" s="163" t="s">
        <v>46</v>
      </c>
      <c r="B6" s="207" t="s">
        <v>47</v>
      </c>
      <c r="C6" s="86" t="s">
        <v>50</v>
      </c>
      <c r="D6" s="154">
        <f>COUNTA('Items Details'!D71:D87)</f>
        <v>17</v>
      </c>
      <c r="E6" s="85"/>
      <c r="F6" s="154">
        <f>COUNTA('Items Details'!F71:F87)</f>
        <v>17</v>
      </c>
      <c r="G6" s="85"/>
      <c r="H6" s="85">
        <f t="shared" si="0"/>
        <v>0</v>
      </c>
    </row>
    <row r="7" spans="1:8" x14ac:dyDescent="0.35">
      <c r="A7" s="163" t="s">
        <v>46</v>
      </c>
      <c r="B7" s="207" t="s">
        <v>47</v>
      </c>
      <c r="C7" s="86" t="s">
        <v>51</v>
      </c>
      <c r="D7" s="154">
        <f>COUNTA('Items Details'!D89:D93)</f>
        <v>5</v>
      </c>
      <c r="E7" s="85"/>
      <c r="F7" s="154">
        <f>COUNTA('Items Details'!F89:F93)</f>
        <v>5</v>
      </c>
      <c r="G7" s="85"/>
      <c r="H7" s="85">
        <f t="shared" si="0"/>
        <v>0</v>
      </c>
    </row>
    <row r="8" spans="1:8" x14ac:dyDescent="0.35">
      <c r="A8" s="163" t="s">
        <v>46</v>
      </c>
      <c r="B8" s="207" t="s">
        <v>47</v>
      </c>
      <c r="C8" s="86" t="s">
        <v>52</v>
      </c>
      <c r="D8" s="154">
        <f>COUNTA('Items Details'!D95:D101)</f>
        <v>7</v>
      </c>
      <c r="E8" s="85"/>
      <c r="F8" s="154">
        <f>COUNTA('Items Details'!F95:F101)</f>
        <v>7</v>
      </c>
      <c r="G8" s="85"/>
      <c r="H8" s="85">
        <f t="shared" si="0"/>
        <v>0</v>
      </c>
    </row>
    <row r="9" spans="1:8" x14ac:dyDescent="0.35">
      <c r="A9" s="163" t="s">
        <v>46</v>
      </c>
      <c r="B9" s="207" t="s">
        <v>47</v>
      </c>
      <c r="C9" s="86" t="s">
        <v>53</v>
      </c>
      <c r="D9" s="154">
        <f>COUNTA('Items Details'!D103:D128)</f>
        <v>26</v>
      </c>
      <c r="E9" s="85"/>
      <c r="F9" s="154">
        <f>COUNTA('Items Details'!F103:F128)</f>
        <v>26</v>
      </c>
      <c r="G9" s="85"/>
      <c r="H9" s="85">
        <f t="shared" si="0"/>
        <v>0</v>
      </c>
    </row>
    <row r="10" spans="1:8" x14ac:dyDescent="0.35">
      <c r="A10" s="163" t="s">
        <v>46</v>
      </c>
      <c r="B10" s="207" t="s">
        <v>47</v>
      </c>
      <c r="C10" s="86" t="s">
        <v>54</v>
      </c>
      <c r="D10" s="154">
        <f>COUNTA('Items Details'!D130:D141)</f>
        <v>12</v>
      </c>
      <c r="E10" s="85"/>
      <c r="F10" s="154">
        <f>COUNTA('Items Details'!F130:F141)</f>
        <v>12</v>
      </c>
      <c r="G10" s="85"/>
      <c r="H10" s="85">
        <f t="shared" si="0"/>
        <v>0</v>
      </c>
    </row>
    <row r="11" spans="1:8" x14ac:dyDescent="0.35">
      <c r="A11" s="163" t="s">
        <v>46</v>
      </c>
      <c r="B11" s="207" t="s">
        <v>47</v>
      </c>
      <c r="C11" s="86" t="s">
        <v>55</v>
      </c>
      <c r="D11" s="154">
        <f>COUNTA('Items Details'!D143:D268)</f>
        <v>126</v>
      </c>
      <c r="E11" s="85"/>
      <c r="F11" s="154">
        <f>COUNTA('Items Details'!F143:F268)</f>
        <v>126</v>
      </c>
      <c r="G11" s="85"/>
      <c r="H11" s="85">
        <f t="shared" si="0"/>
        <v>0</v>
      </c>
    </row>
    <row r="12" spans="1:8" x14ac:dyDescent="0.35">
      <c r="A12" s="163" t="s">
        <v>46</v>
      </c>
      <c r="B12" s="207" t="s">
        <v>47</v>
      </c>
      <c r="C12" s="86" t="s">
        <v>56</v>
      </c>
      <c r="D12" s="154">
        <f>COUNTA('Items Details'!D270:D284)</f>
        <v>15</v>
      </c>
      <c r="E12" s="85"/>
      <c r="F12" s="154">
        <f>COUNTA('Items Details'!F270:F284)</f>
        <v>15</v>
      </c>
      <c r="G12" s="85"/>
      <c r="H12" s="85">
        <f t="shared" si="0"/>
        <v>0</v>
      </c>
    </row>
    <row r="13" spans="1:8" x14ac:dyDescent="0.35">
      <c r="A13" s="163" t="s">
        <v>46</v>
      </c>
      <c r="B13" s="207" t="s">
        <v>47</v>
      </c>
      <c r="C13" s="86" t="s">
        <v>57</v>
      </c>
      <c r="D13" s="154">
        <f>COUNTA('Items Details'!D286:D304)</f>
        <v>19</v>
      </c>
      <c r="E13" s="85"/>
      <c r="F13" s="154">
        <f>COUNTA('Items Details'!F286:F304)</f>
        <v>19</v>
      </c>
      <c r="G13" s="85"/>
      <c r="H13" s="85">
        <f t="shared" si="0"/>
        <v>0</v>
      </c>
    </row>
    <row r="14" spans="1:8" x14ac:dyDescent="0.35">
      <c r="A14" s="163" t="s">
        <v>46</v>
      </c>
      <c r="B14" s="207" t="s">
        <v>47</v>
      </c>
      <c r="C14" s="86" t="s">
        <v>58</v>
      </c>
      <c r="D14" s="154">
        <f>COUNTA('Items Details'!D306:D327)</f>
        <v>22</v>
      </c>
      <c r="E14" s="85"/>
      <c r="F14" s="154">
        <f>COUNTA('Items Details'!F306:F327)</f>
        <v>22</v>
      </c>
      <c r="G14" s="85"/>
      <c r="H14" s="85">
        <f t="shared" si="0"/>
        <v>0</v>
      </c>
    </row>
    <row r="15" spans="1:8" x14ac:dyDescent="0.35">
      <c r="A15" s="163" t="s">
        <v>46</v>
      </c>
      <c r="B15" s="207" t="s">
        <v>47</v>
      </c>
      <c r="C15" s="86" t="s">
        <v>59</v>
      </c>
      <c r="D15" s="154">
        <v>10</v>
      </c>
      <c r="E15" s="85"/>
      <c r="F15" s="154">
        <v>10</v>
      </c>
      <c r="G15" s="85"/>
      <c r="H15" s="85">
        <f t="shared" si="0"/>
        <v>0</v>
      </c>
    </row>
    <row r="16" spans="1:8" x14ac:dyDescent="0.35">
      <c r="A16" s="85"/>
      <c r="B16" s="206"/>
      <c r="C16" s="85" t="s">
        <v>60</v>
      </c>
      <c r="D16" s="154">
        <f>SUM(D4:D15)</f>
        <v>323</v>
      </c>
      <c r="E16" s="85"/>
      <c r="F16" s="85">
        <f>SUM(F4:F15)</f>
        <v>324</v>
      </c>
      <c r="G16" s="85"/>
      <c r="H16" s="85">
        <f>D16-F16</f>
        <v>-1</v>
      </c>
    </row>
    <row r="18" spans="1:1" x14ac:dyDescent="0.35">
      <c r="A18" s="212" t="s">
        <v>61</v>
      </c>
    </row>
    <row r="19" spans="1:1" x14ac:dyDescent="0.35">
      <c r="A19" s="214" t="s">
        <v>62</v>
      </c>
    </row>
    <row r="20" spans="1:1" x14ac:dyDescent="0.35">
      <c r="A20" s="215" t="s">
        <v>63</v>
      </c>
    </row>
    <row r="21" spans="1:1" x14ac:dyDescent="0.35">
      <c r="A21" s="216" t="s">
        <v>46</v>
      </c>
    </row>
  </sheetData>
  <hyperlinks>
    <hyperlink ref="C14" location="Program_Contacts" display="Program Contacts" xr:uid="{6A901159-E4D1-4203-97E4-B5F779DFA6A0}"/>
    <hyperlink ref="C13" location="Disciplinary_Actions" display="Disciplinary Action" xr:uid="{90DD6980-AF5F-4170-9518-420B241EACB6}"/>
    <hyperlink ref="C6" location="Student_Course_Enrollment" display="Student Course Enrollment" xr:uid="{3AAF25DF-CE3A-47C4-8758-BAB385DB0A89}"/>
    <hyperlink ref="C12" location="Staff_Assignments" display="Staff Assignments" xr:uid="{3A62003A-4C79-43ED-994F-A8001D9E84AB}"/>
    <hyperlink ref="C11" location="Staff_Demographics" display="Staff Demographics and Employment" xr:uid="{D1C2C0B8-A223-426A-B5D3-E63CFAF4B372}"/>
    <hyperlink ref="C10" location="Gifted_Students" display="Gifted Students" xr:uid="{7CA1D4B4-F68D-44AC-BA1A-3B3BDE6BAC85}"/>
    <hyperlink ref="C9" location="Special_Education_Students" display="Special Education Students" xr:uid="{5B801EC8-9405-4CE7-B9AF-8191F4B2FEE9}"/>
    <hyperlink ref="C8" location="District_Calendars" display="District Calendars" xr:uid="{B03CC9D4-A5D4-42ED-8A1C-3BD6A97B4720}"/>
    <hyperlink ref="C7" location="Student_Attendance" display="Student Attendance" xr:uid="{26B65B13-4FDD-44A4-A8C6-85C3166FBF9D}"/>
    <hyperlink ref="C5" location="Student_Demographics" display="Student Demographics" xr:uid="{222D395D-1311-4C34-B43B-70A758B5ECE2}"/>
    <hyperlink ref="C4" location="Master_Course_Schedule" display="Master Course Schedule" xr:uid="{A7F2F3CC-9E4F-46DB-977A-1A0C29653795}"/>
    <hyperlink ref="C15" location="Annual_School_Finance" display="Annual School Finance" xr:uid="{F4BE1953-8EED-4E1A-976A-00F2356197A8}"/>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337"/>
  <sheetViews>
    <sheetView showGridLines="0" zoomScale="90" zoomScaleNormal="90" workbookViewId="0">
      <pane ySplit="1" topLeftCell="A2" activePane="bottomLeft" state="frozen"/>
      <selection pane="bottomLeft" sqref="A1:XFD1"/>
    </sheetView>
  </sheetViews>
  <sheetFormatPr defaultColWidth="9.1796875" defaultRowHeight="15" customHeight="1" x14ac:dyDescent="0.35"/>
  <cols>
    <col min="1" max="1" width="14.1796875" style="5" customWidth="1"/>
    <col min="2" max="2" width="4" style="11" customWidth="1"/>
    <col min="3" max="3" width="28" style="5" customWidth="1"/>
    <col min="4" max="4" width="5.1796875" style="12" customWidth="1"/>
    <col min="5" max="5" width="32.54296875" style="5" customWidth="1"/>
    <col min="6" max="6" width="22.26953125" style="5" customWidth="1"/>
    <col min="7" max="7" width="1.7265625" style="5" customWidth="1"/>
    <col min="8" max="8" width="85.1796875" style="5" customWidth="1"/>
    <col min="9" max="9" width="17.1796875" style="5" hidden="1" customWidth="1"/>
    <col min="10" max="10" width="12.81640625" style="5" hidden="1" customWidth="1"/>
    <col min="11" max="11" width="9.7265625" style="5" customWidth="1"/>
    <col min="12" max="12" width="9.1796875" style="13" customWidth="1"/>
    <col min="13" max="13" width="16.81640625" style="5" customWidth="1"/>
    <col min="14" max="14" width="24.81640625" style="43" customWidth="1"/>
    <col min="15" max="15" width="5.453125" style="5" customWidth="1"/>
    <col min="16" max="16" width="5.1796875" style="5" customWidth="1"/>
    <col min="17" max="17" width="13.54296875" style="5" bestFit="1" customWidth="1"/>
    <col min="18" max="18" width="11.1796875" style="5" customWidth="1"/>
    <col min="19" max="19" width="57.81640625" style="5" bestFit="1" customWidth="1"/>
    <col min="20" max="20" width="7.7265625" style="11" bestFit="1" customWidth="1"/>
    <col min="21" max="21" width="5.54296875" style="11" bestFit="1" customWidth="1"/>
    <col min="22" max="22" width="17.54296875" style="11" bestFit="1" customWidth="1"/>
    <col min="23" max="23" width="17.453125" style="5" bestFit="1" customWidth="1"/>
    <col min="24" max="24" width="66.7265625" style="5" customWidth="1"/>
    <col min="25" max="16384" width="9.1796875" style="5"/>
  </cols>
  <sheetData>
    <row r="1" spans="1:24" ht="15" customHeight="1" thickBot="1" x14ac:dyDescent="0.4">
      <c r="A1" s="1" t="s">
        <v>39</v>
      </c>
      <c r="B1" s="2" t="s">
        <v>64</v>
      </c>
      <c r="C1" s="1" t="s">
        <v>65</v>
      </c>
      <c r="D1" s="3" t="s">
        <v>66</v>
      </c>
      <c r="E1" s="1" t="s">
        <v>67</v>
      </c>
      <c r="F1" s="1" t="s">
        <v>68</v>
      </c>
      <c r="G1" s="1" t="s">
        <v>69</v>
      </c>
      <c r="H1" s="1" t="s">
        <v>70</v>
      </c>
      <c r="I1" s="1" t="s">
        <v>71</v>
      </c>
      <c r="J1" s="1" t="s">
        <v>72</v>
      </c>
      <c r="K1" s="1" t="s">
        <v>73</v>
      </c>
      <c r="L1" s="2" t="s">
        <v>74</v>
      </c>
      <c r="M1" s="1" t="s">
        <v>75</v>
      </c>
      <c r="N1" s="1" t="s">
        <v>76</v>
      </c>
      <c r="O1" s="4" t="s">
        <v>77</v>
      </c>
      <c r="P1" s="4" t="s">
        <v>78</v>
      </c>
      <c r="Q1" s="88" t="s">
        <v>79</v>
      </c>
      <c r="R1" s="88" t="s">
        <v>80</v>
      </c>
      <c r="S1" s="316" t="s">
        <v>81</v>
      </c>
      <c r="T1" s="317" t="s">
        <v>82</v>
      </c>
      <c r="U1" s="317" t="s">
        <v>83</v>
      </c>
      <c r="V1" s="317" t="s">
        <v>84</v>
      </c>
      <c r="W1" s="316" t="s">
        <v>85</v>
      </c>
      <c r="X1" s="316" t="s">
        <v>86</v>
      </c>
    </row>
    <row r="2" spans="1:24" s="6" customFormat="1" ht="15" customHeight="1" thickBot="1" x14ac:dyDescent="0.4">
      <c r="A2" s="28" t="s">
        <v>87</v>
      </c>
      <c r="B2" s="29" t="s">
        <v>88</v>
      </c>
      <c r="C2" s="28" t="s">
        <v>48</v>
      </c>
      <c r="D2" s="28" t="s">
        <v>88</v>
      </c>
      <c r="E2" s="28" t="s">
        <v>48</v>
      </c>
      <c r="F2" s="30" t="s">
        <v>48</v>
      </c>
      <c r="G2" s="28" t="b">
        <v>0</v>
      </c>
      <c r="H2" s="28"/>
      <c r="I2" s="28"/>
      <c r="J2" s="28"/>
      <c r="K2" s="28"/>
      <c r="L2" s="28"/>
      <c r="M2" s="28"/>
      <c r="N2" s="28"/>
      <c r="O2" s="28"/>
      <c r="P2" s="28"/>
      <c r="Q2" s="89"/>
      <c r="R2" s="89"/>
      <c r="S2" s="124"/>
      <c r="T2" s="125"/>
      <c r="U2" s="125"/>
      <c r="V2" s="125"/>
      <c r="W2" s="124"/>
      <c r="X2" s="126"/>
    </row>
    <row r="3" spans="1:24" ht="15" customHeight="1" x14ac:dyDescent="0.35">
      <c r="A3" s="39" t="s">
        <v>87</v>
      </c>
      <c r="B3" s="32" t="s">
        <v>88</v>
      </c>
      <c r="C3" s="31" t="s">
        <v>48</v>
      </c>
      <c r="D3" s="33" t="s">
        <v>89</v>
      </c>
      <c r="E3" s="31" t="s">
        <v>90</v>
      </c>
      <c r="F3" s="31" t="s">
        <v>91</v>
      </c>
      <c r="G3" s="7"/>
      <c r="H3" s="36" t="s">
        <v>92</v>
      </c>
      <c r="I3" s="31"/>
      <c r="J3" s="31"/>
      <c r="K3" s="31" t="s">
        <v>93</v>
      </c>
      <c r="L3" s="35">
        <v>4</v>
      </c>
      <c r="M3" s="31" t="s">
        <v>94</v>
      </c>
      <c r="N3" s="51" t="s">
        <v>95</v>
      </c>
      <c r="O3" s="31"/>
      <c r="P3" s="31"/>
      <c r="Q3" s="90" t="s">
        <v>79</v>
      </c>
      <c r="R3" s="90"/>
      <c r="S3" s="217" t="s">
        <v>96</v>
      </c>
      <c r="T3" s="218" t="s">
        <v>97</v>
      </c>
      <c r="U3" s="218" t="s">
        <v>97</v>
      </c>
      <c r="V3" s="219" t="s">
        <v>98</v>
      </c>
      <c r="W3" s="220"/>
      <c r="X3" s="221"/>
    </row>
    <row r="4" spans="1:24" ht="15" customHeight="1" x14ac:dyDescent="0.35">
      <c r="A4" s="39" t="s">
        <v>87</v>
      </c>
      <c r="B4" s="32" t="s">
        <v>88</v>
      </c>
      <c r="C4" s="31" t="s">
        <v>48</v>
      </c>
      <c r="D4" s="33" t="s">
        <v>99</v>
      </c>
      <c r="E4" s="31" t="s">
        <v>100</v>
      </c>
      <c r="F4" s="31" t="s">
        <v>101</v>
      </c>
      <c r="G4" s="7"/>
      <c r="H4" s="31" t="s">
        <v>102</v>
      </c>
      <c r="I4" s="31"/>
      <c r="J4" s="31"/>
      <c r="K4" s="31" t="s">
        <v>93</v>
      </c>
      <c r="L4" s="35">
        <v>6</v>
      </c>
      <c r="M4" s="31" t="s">
        <v>103</v>
      </c>
      <c r="N4" s="51" t="s">
        <v>100</v>
      </c>
      <c r="O4" s="31"/>
      <c r="P4" s="31"/>
      <c r="Q4" s="90" t="s">
        <v>79</v>
      </c>
      <c r="R4" s="90"/>
      <c r="S4" s="222" t="s">
        <v>104</v>
      </c>
      <c r="T4" s="223" t="s">
        <v>97</v>
      </c>
      <c r="U4" s="223" t="s">
        <v>97</v>
      </c>
      <c r="V4" s="224" t="s">
        <v>98</v>
      </c>
      <c r="W4" s="225"/>
      <c r="X4" s="226"/>
    </row>
    <row r="5" spans="1:24" ht="15" customHeight="1" x14ac:dyDescent="0.35">
      <c r="A5" s="39" t="s">
        <v>87</v>
      </c>
      <c r="B5" s="32" t="s">
        <v>88</v>
      </c>
      <c r="C5" s="31" t="s">
        <v>48</v>
      </c>
      <c r="D5" s="33" t="s">
        <v>105</v>
      </c>
      <c r="E5" s="31" t="s">
        <v>106</v>
      </c>
      <c r="F5" s="31" t="s">
        <v>107</v>
      </c>
      <c r="G5" s="7"/>
      <c r="H5" s="31" t="s">
        <v>108</v>
      </c>
      <c r="I5" s="31"/>
      <c r="J5" s="31"/>
      <c r="K5" s="31" t="s">
        <v>93</v>
      </c>
      <c r="L5" s="35">
        <v>1</v>
      </c>
      <c r="M5" s="31" t="s">
        <v>109</v>
      </c>
      <c r="N5" s="51" t="s">
        <v>106</v>
      </c>
      <c r="O5" s="31"/>
      <c r="P5" s="31"/>
      <c r="Q5" s="90" t="s">
        <v>79</v>
      </c>
      <c r="R5" s="90"/>
      <c r="S5" s="222" t="s">
        <v>110</v>
      </c>
      <c r="T5" s="223" t="s">
        <v>97</v>
      </c>
      <c r="U5" s="223" t="s">
        <v>97</v>
      </c>
      <c r="V5" s="224" t="s">
        <v>98</v>
      </c>
      <c r="W5" s="225"/>
      <c r="X5" s="226"/>
    </row>
    <row r="6" spans="1:24" ht="15" customHeight="1" x14ac:dyDescent="0.35">
      <c r="A6" s="39" t="s">
        <v>87</v>
      </c>
      <c r="B6" s="32" t="s">
        <v>88</v>
      </c>
      <c r="C6" s="36" t="s">
        <v>48</v>
      </c>
      <c r="D6" s="33" t="s">
        <v>111</v>
      </c>
      <c r="E6" s="36" t="s">
        <v>112</v>
      </c>
      <c r="F6" s="36" t="s">
        <v>113</v>
      </c>
      <c r="G6" s="1"/>
      <c r="H6" s="36" t="s">
        <v>114</v>
      </c>
      <c r="I6" s="36"/>
      <c r="J6" s="36"/>
      <c r="K6" s="36" t="s">
        <v>93</v>
      </c>
      <c r="L6" s="38">
        <v>2</v>
      </c>
      <c r="M6" s="36" t="s">
        <v>115</v>
      </c>
      <c r="N6" s="43" t="s">
        <v>112</v>
      </c>
      <c r="O6" s="36"/>
      <c r="P6" s="36"/>
      <c r="Q6" s="90" t="s">
        <v>79</v>
      </c>
      <c r="R6" s="90"/>
      <c r="S6" s="222" t="s">
        <v>116</v>
      </c>
      <c r="T6" s="223" t="s">
        <v>97</v>
      </c>
      <c r="U6" s="223" t="s">
        <v>97</v>
      </c>
      <c r="V6" s="224" t="s">
        <v>98</v>
      </c>
      <c r="W6" s="225"/>
      <c r="X6" s="226"/>
    </row>
    <row r="7" spans="1:24" ht="15" customHeight="1" x14ac:dyDescent="0.35">
      <c r="A7" s="31" t="s">
        <v>87</v>
      </c>
      <c r="B7" s="32" t="s">
        <v>88</v>
      </c>
      <c r="C7" s="36" t="s">
        <v>48</v>
      </c>
      <c r="D7" s="33" t="s">
        <v>117</v>
      </c>
      <c r="E7" s="36" t="s">
        <v>118</v>
      </c>
      <c r="F7" s="36" t="s">
        <v>119</v>
      </c>
      <c r="G7" s="1"/>
      <c r="H7" s="36" t="s">
        <v>120</v>
      </c>
      <c r="I7" s="36"/>
      <c r="J7" s="36"/>
      <c r="K7" s="36" t="s">
        <v>121</v>
      </c>
      <c r="L7" s="38">
        <v>4</v>
      </c>
      <c r="M7" s="36" t="s">
        <v>94</v>
      </c>
      <c r="O7" s="36"/>
      <c r="P7" s="36"/>
      <c r="Q7" s="90" t="s">
        <v>79</v>
      </c>
      <c r="R7" s="90"/>
      <c r="S7" s="222" t="s">
        <v>122</v>
      </c>
      <c r="T7" s="223" t="s">
        <v>123</v>
      </c>
      <c r="U7" s="223" t="s">
        <v>97</v>
      </c>
      <c r="V7" s="224" t="s">
        <v>98</v>
      </c>
      <c r="W7" s="225"/>
      <c r="X7" s="226" t="s">
        <v>124</v>
      </c>
    </row>
    <row r="8" spans="1:24" ht="15" customHeight="1" x14ac:dyDescent="0.35">
      <c r="A8" s="39" t="s">
        <v>87</v>
      </c>
      <c r="B8" s="32" t="s">
        <v>88</v>
      </c>
      <c r="C8" s="36" t="s">
        <v>48</v>
      </c>
      <c r="D8" s="33" t="s">
        <v>125</v>
      </c>
      <c r="E8" s="130" t="s">
        <v>126</v>
      </c>
      <c r="F8" s="36" t="s">
        <v>127</v>
      </c>
      <c r="G8" s="1"/>
      <c r="H8" s="130" t="s">
        <v>128</v>
      </c>
      <c r="I8" s="36"/>
      <c r="J8" s="36"/>
      <c r="K8" s="36" t="s">
        <v>93</v>
      </c>
      <c r="L8" s="38">
        <v>2</v>
      </c>
      <c r="M8" s="36" t="s">
        <v>115</v>
      </c>
      <c r="N8" s="43" t="s">
        <v>126</v>
      </c>
      <c r="O8" s="36"/>
      <c r="P8" s="36"/>
      <c r="Q8" s="90" t="s">
        <v>79</v>
      </c>
      <c r="R8" s="90"/>
      <c r="S8" s="222" t="s">
        <v>129</v>
      </c>
      <c r="T8" s="223" t="s">
        <v>97</v>
      </c>
      <c r="U8" s="223" t="s">
        <v>97</v>
      </c>
      <c r="V8" s="224" t="s">
        <v>98</v>
      </c>
      <c r="W8" s="225"/>
      <c r="X8" s="226"/>
    </row>
    <row r="9" spans="1:24" ht="15" customHeight="1" x14ac:dyDescent="0.35">
      <c r="A9" s="31" t="s">
        <v>87</v>
      </c>
      <c r="B9" s="32" t="s">
        <v>88</v>
      </c>
      <c r="C9" s="36" t="s">
        <v>48</v>
      </c>
      <c r="D9" s="33" t="s">
        <v>130</v>
      </c>
      <c r="E9" s="36" t="s">
        <v>131</v>
      </c>
      <c r="F9" s="36" t="s">
        <v>132</v>
      </c>
      <c r="G9" s="1"/>
      <c r="H9" s="36" t="s">
        <v>133</v>
      </c>
      <c r="I9" s="36"/>
      <c r="J9" s="36"/>
      <c r="K9" s="36" t="s">
        <v>134</v>
      </c>
      <c r="L9" s="38">
        <v>15</v>
      </c>
      <c r="M9" s="36" t="s">
        <v>135</v>
      </c>
      <c r="O9" s="36"/>
      <c r="P9" s="36"/>
      <c r="Q9" s="90" t="s">
        <v>79</v>
      </c>
      <c r="R9" s="90"/>
      <c r="S9" s="222" t="s">
        <v>136</v>
      </c>
      <c r="T9" s="223" t="s">
        <v>97</v>
      </c>
      <c r="U9" s="223" t="s">
        <v>97</v>
      </c>
      <c r="V9" s="224" t="s">
        <v>98</v>
      </c>
      <c r="W9" s="225"/>
      <c r="X9" s="226"/>
    </row>
    <row r="10" spans="1:24" ht="15" customHeight="1" x14ac:dyDescent="0.35">
      <c r="A10" s="31" t="s">
        <v>87</v>
      </c>
      <c r="B10" s="32" t="s">
        <v>88</v>
      </c>
      <c r="C10" s="31" t="s">
        <v>48</v>
      </c>
      <c r="D10" s="33" t="s">
        <v>137</v>
      </c>
      <c r="E10" s="31" t="s">
        <v>138</v>
      </c>
      <c r="F10" s="31" t="s">
        <v>139</v>
      </c>
      <c r="G10" s="7"/>
      <c r="H10" s="31" t="s">
        <v>140</v>
      </c>
      <c r="I10" s="31"/>
      <c r="J10" s="31"/>
      <c r="K10" s="31" t="s">
        <v>134</v>
      </c>
      <c r="L10" s="35">
        <v>25</v>
      </c>
      <c r="M10" s="31" t="s">
        <v>141</v>
      </c>
      <c r="O10" s="31"/>
      <c r="P10" s="31"/>
      <c r="Q10" s="90" t="s">
        <v>79</v>
      </c>
      <c r="R10" s="90"/>
      <c r="S10" s="222" t="s">
        <v>142</v>
      </c>
      <c r="T10" s="223" t="s">
        <v>97</v>
      </c>
      <c r="U10" s="223" t="s">
        <v>97</v>
      </c>
      <c r="V10" s="224" t="s">
        <v>98</v>
      </c>
      <c r="W10" s="225"/>
      <c r="X10" s="226"/>
    </row>
    <row r="11" spans="1:24" ht="15" customHeight="1" x14ac:dyDescent="0.35">
      <c r="A11" s="31" t="s">
        <v>87</v>
      </c>
      <c r="B11" s="32" t="s">
        <v>88</v>
      </c>
      <c r="C11" s="36" t="s">
        <v>48</v>
      </c>
      <c r="D11" s="33" t="s">
        <v>143</v>
      </c>
      <c r="E11" s="36" t="s">
        <v>144</v>
      </c>
      <c r="F11" s="36" t="s">
        <v>145</v>
      </c>
      <c r="G11" s="1"/>
      <c r="H11" s="36" t="s">
        <v>146</v>
      </c>
      <c r="I11" s="36"/>
      <c r="J11" s="36"/>
      <c r="K11" s="36" t="s">
        <v>134</v>
      </c>
      <c r="L11" s="38">
        <v>50</v>
      </c>
      <c r="M11" s="36"/>
      <c r="O11" s="36"/>
      <c r="P11" s="36"/>
      <c r="Q11" s="90" t="s">
        <v>79</v>
      </c>
      <c r="R11" s="90"/>
      <c r="S11" s="222" t="s">
        <v>136</v>
      </c>
      <c r="T11" s="223" t="s">
        <v>97</v>
      </c>
      <c r="U11" s="223" t="s">
        <v>97</v>
      </c>
      <c r="V11" s="224" t="s">
        <v>98</v>
      </c>
      <c r="W11" s="225"/>
      <c r="X11" s="226"/>
    </row>
    <row r="12" spans="1:24" ht="15" customHeight="1" x14ac:dyDescent="0.35">
      <c r="A12" s="31" t="s">
        <v>87</v>
      </c>
      <c r="B12" s="32" t="s">
        <v>88</v>
      </c>
      <c r="C12" s="36" t="s">
        <v>48</v>
      </c>
      <c r="D12" s="33" t="s">
        <v>147</v>
      </c>
      <c r="E12" s="36" t="s">
        <v>148</v>
      </c>
      <c r="F12" s="36" t="s">
        <v>149</v>
      </c>
      <c r="G12" s="8"/>
      <c r="H12" s="36" t="s">
        <v>150</v>
      </c>
      <c r="I12" s="36"/>
      <c r="J12" s="36"/>
      <c r="K12" s="36" t="s">
        <v>151</v>
      </c>
      <c r="L12" s="38"/>
      <c r="M12" s="36" t="s">
        <v>152</v>
      </c>
      <c r="O12" s="36"/>
      <c r="P12" s="36"/>
      <c r="Q12" s="90" t="s">
        <v>79</v>
      </c>
      <c r="R12" s="90"/>
      <c r="S12" s="222" t="s">
        <v>136</v>
      </c>
      <c r="T12" s="223" t="s">
        <v>97</v>
      </c>
      <c r="U12" s="223" t="s">
        <v>97</v>
      </c>
      <c r="V12" s="224" t="s">
        <v>98</v>
      </c>
      <c r="W12" s="225"/>
      <c r="X12" s="226"/>
    </row>
    <row r="13" spans="1:24" ht="15" customHeight="1" x14ac:dyDescent="0.35">
      <c r="A13" s="31" t="s">
        <v>87</v>
      </c>
      <c r="B13" s="32" t="s">
        <v>88</v>
      </c>
      <c r="C13" s="36" t="s">
        <v>48</v>
      </c>
      <c r="D13" s="33" t="s">
        <v>153</v>
      </c>
      <c r="E13" s="36" t="s">
        <v>154</v>
      </c>
      <c r="F13" s="36" t="s">
        <v>155</v>
      </c>
      <c r="G13" s="8"/>
      <c r="H13" s="36" t="s">
        <v>156</v>
      </c>
      <c r="I13" s="36"/>
      <c r="J13" s="36"/>
      <c r="K13" s="36" t="s">
        <v>151</v>
      </c>
      <c r="L13" s="38"/>
      <c r="M13" s="36" t="s">
        <v>152</v>
      </c>
      <c r="O13" s="36"/>
      <c r="P13" s="36"/>
      <c r="Q13" s="90" t="s">
        <v>79</v>
      </c>
      <c r="R13" s="90"/>
      <c r="S13" s="222" t="s">
        <v>136</v>
      </c>
      <c r="T13" s="223" t="s">
        <v>97</v>
      </c>
      <c r="U13" s="223" t="s">
        <v>97</v>
      </c>
      <c r="V13" s="224" t="s">
        <v>98</v>
      </c>
      <c r="W13" s="225"/>
      <c r="X13" s="226"/>
    </row>
    <row r="14" spans="1:24" ht="15" customHeight="1" x14ac:dyDescent="0.35">
      <c r="A14" s="39" t="s">
        <v>87</v>
      </c>
      <c r="B14" s="32" t="s">
        <v>88</v>
      </c>
      <c r="C14" s="36" t="s">
        <v>48</v>
      </c>
      <c r="D14" s="33" t="s">
        <v>157</v>
      </c>
      <c r="E14" s="36" t="s">
        <v>158</v>
      </c>
      <c r="F14" s="36" t="s">
        <v>159</v>
      </c>
      <c r="G14" s="1"/>
      <c r="H14" s="36" t="s">
        <v>160</v>
      </c>
      <c r="I14" s="36"/>
      <c r="J14" s="36"/>
      <c r="K14" s="36" t="s">
        <v>93</v>
      </c>
      <c r="L14" s="38">
        <v>4</v>
      </c>
      <c r="M14" s="36" t="s">
        <v>94</v>
      </c>
      <c r="N14" s="51" t="s">
        <v>95</v>
      </c>
      <c r="O14" s="36"/>
      <c r="P14" s="36"/>
      <c r="Q14" s="90" t="s">
        <v>161</v>
      </c>
      <c r="R14" s="90"/>
      <c r="S14" s="222" t="s">
        <v>162</v>
      </c>
      <c r="T14" s="223" t="s">
        <v>97</v>
      </c>
      <c r="U14" s="223" t="s">
        <v>97</v>
      </c>
      <c r="V14" s="224" t="s">
        <v>98</v>
      </c>
      <c r="W14" s="225"/>
      <c r="X14" s="226"/>
    </row>
    <row r="15" spans="1:24" ht="15" customHeight="1" x14ac:dyDescent="0.35">
      <c r="A15" s="31" t="s">
        <v>87</v>
      </c>
      <c r="B15" s="32" t="s">
        <v>88</v>
      </c>
      <c r="C15" s="36" t="s">
        <v>48</v>
      </c>
      <c r="D15" s="33" t="s">
        <v>163</v>
      </c>
      <c r="E15" s="36" t="s">
        <v>164</v>
      </c>
      <c r="F15" s="36" t="s">
        <v>165</v>
      </c>
      <c r="G15" s="1"/>
      <c r="H15" s="36" t="s">
        <v>166</v>
      </c>
      <c r="I15" s="36"/>
      <c r="J15" s="36"/>
      <c r="K15" s="36" t="s">
        <v>134</v>
      </c>
      <c r="L15" s="38">
        <v>50</v>
      </c>
      <c r="M15" s="36"/>
      <c r="O15" s="36"/>
      <c r="P15" s="36"/>
      <c r="Q15" s="90" t="s">
        <v>161</v>
      </c>
      <c r="R15" s="90"/>
      <c r="S15" s="222" t="s">
        <v>136</v>
      </c>
      <c r="T15" s="223" t="s">
        <v>97</v>
      </c>
      <c r="U15" s="223" t="s">
        <v>97</v>
      </c>
      <c r="V15" s="224" t="s">
        <v>98</v>
      </c>
      <c r="W15" s="225"/>
      <c r="X15" s="226"/>
    </row>
    <row r="16" spans="1:24" ht="15" customHeight="1" x14ac:dyDescent="0.35">
      <c r="A16" s="31" t="s">
        <v>87</v>
      </c>
      <c r="B16" s="32" t="s">
        <v>88</v>
      </c>
      <c r="C16" s="36" t="s">
        <v>48</v>
      </c>
      <c r="D16" s="33" t="s">
        <v>167</v>
      </c>
      <c r="E16" s="36" t="s">
        <v>168</v>
      </c>
      <c r="F16" s="36" t="s">
        <v>169</v>
      </c>
      <c r="G16" s="1"/>
      <c r="H16" s="36" t="s">
        <v>170</v>
      </c>
      <c r="I16" s="36"/>
      <c r="J16" s="36"/>
      <c r="K16" s="36" t="s">
        <v>134</v>
      </c>
      <c r="L16" s="38">
        <v>9</v>
      </c>
      <c r="M16" s="36"/>
      <c r="O16" s="36"/>
      <c r="P16" s="36"/>
      <c r="Q16" s="90" t="s">
        <v>161</v>
      </c>
      <c r="R16" s="90"/>
      <c r="S16" s="222" t="s">
        <v>162</v>
      </c>
      <c r="T16" s="223" t="s">
        <v>97</v>
      </c>
      <c r="U16" s="223" t="s">
        <v>97</v>
      </c>
      <c r="V16" s="224" t="s">
        <v>98</v>
      </c>
      <c r="W16" s="225"/>
      <c r="X16" s="226"/>
    </row>
    <row r="17" spans="1:24" ht="15" customHeight="1" thickBot="1" x14ac:dyDescent="0.4">
      <c r="A17" s="31" t="s">
        <v>87</v>
      </c>
      <c r="B17" s="32" t="s">
        <v>88</v>
      </c>
      <c r="C17" s="36" t="s">
        <v>48</v>
      </c>
      <c r="D17" s="33" t="s">
        <v>171</v>
      </c>
      <c r="E17" s="36" t="s">
        <v>172</v>
      </c>
      <c r="F17" s="36" t="s">
        <v>173</v>
      </c>
      <c r="G17" s="1"/>
      <c r="H17" s="36" t="s">
        <v>174</v>
      </c>
      <c r="I17" s="36"/>
      <c r="J17" s="36"/>
      <c r="K17" s="36" t="s">
        <v>134</v>
      </c>
      <c r="L17" s="38">
        <v>50</v>
      </c>
      <c r="M17" s="36"/>
      <c r="O17" s="36"/>
      <c r="P17" s="36"/>
      <c r="Q17" s="90" t="s">
        <v>161</v>
      </c>
      <c r="R17" s="90"/>
      <c r="S17" s="227" t="s">
        <v>136</v>
      </c>
      <c r="T17" s="228" t="s">
        <v>123</v>
      </c>
      <c r="U17" s="228" t="s">
        <v>97</v>
      </c>
      <c r="V17" s="229" t="s">
        <v>98</v>
      </c>
      <c r="W17" s="230"/>
      <c r="X17" s="231"/>
    </row>
    <row r="18" spans="1:24" s="6" customFormat="1" ht="15" customHeight="1" thickBot="1" x14ac:dyDescent="0.4">
      <c r="A18" s="28" t="s">
        <v>87</v>
      </c>
      <c r="B18" s="29" t="s">
        <v>89</v>
      </c>
      <c r="C18" s="28" t="s">
        <v>49</v>
      </c>
      <c r="D18" s="28" t="s">
        <v>88</v>
      </c>
      <c r="E18" s="28" t="s">
        <v>49</v>
      </c>
      <c r="F18" s="30" t="s">
        <v>49</v>
      </c>
      <c r="G18" s="28" t="b">
        <v>0</v>
      </c>
      <c r="H18" s="28"/>
      <c r="I18" s="28"/>
      <c r="J18" s="28"/>
      <c r="K18" s="28"/>
      <c r="L18" s="28"/>
      <c r="M18" s="28"/>
      <c r="N18" s="28"/>
      <c r="O18" s="28"/>
      <c r="P18" s="28"/>
      <c r="Q18" s="28"/>
      <c r="R18" s="164"/>
      <c r="S18" s="124"/>
      <c r="T18" s="125"/>
      <c r="U18" s="125"/>
      <c r="V18" s="125"/>
      <c r="W18" s="124"/>
      <c r="X18" s="126"/>
    </row>
    <row r="19" spans="1:24" ht="15" customHeight="1" x14ac:dyDescent="0.35">
      <c r="A19" s="31" t="s">
        <v>87</v>
      </c>
      <c r="B19" s="32" t="s">
        <v>89</v>
      </c>
      <c r="C19" s="40" t="s">
        <v>49</v>
      </c>
      <c r="D19" s="33" t="s">
        <v>89</v>
      </c>
      <c r="E19" s="36" t="s">
        <v>175</v>
      </c>
      <c r="F19" s="36" t="s">
        <v>176</v>
      </c>
      <c r="G19" s="44"/>
      <c r="H19" s="36" t="s">
        <v>177</v>
      </c>
      <c r="I19" s="40"/>
      <c r="J19" s="40"/>
      <c r="K19" s="40" t="s">
        <v>134</v>
      </c>
      <c r="L19" s="42">
        <v>9</v>
      </c>
      <c r="M19" s="40"/>
      <c r="O19" s="40"/>
      <c r="P19" s="40"/>
      <c r="Q19" s="91" t="s">
        <v>79</v>
      </c>
      <c r="R19" s="91"/>
      <c r="S19" s="232" t="s">
        <v>178</v>
      </c>
      <c r="T19" s="233" t="s">
        <v>97</v>
      </c>
      <c r="U19" s="233" t="s">
        <v>97</v>
      </c>
      <c r="V19" s="234" t="s">
        <v>98</v>
      </c>
      <c r="W19" s="235"/>
      <c r="X19" s="236" t="s">
        <v>179</v>
      </c>
    </row>
    <row r="20" spans="1:24" ht="15" customHeight="1" x14ac:dyDescent="0.35">
      <c r="A20" s="31" t="s">
        <v>87</v>
      </c>
      <c r="B20" s="32" t="s">
        <v>89</v>
      </c>
      <c r="C20" s="40" t="s">
        <v>49</v>
      </c>
      <c r="D20" s="33" t="s">
        <v>99</v>
      </c>
      <c r="E20" s="36" t="s">
        <v>180</v>
      </c>
      <c r="F20" s="36" t="s">
        <v>181</v>
      </c>
      <c r="G20" s="44"/>
      <c r="H20" s="109" t="s">
        <v>182</v>
      </c>
      <c r="I20" s="40"/>
      <c r="J20" s="40"/>
      <c r="K20" s="40" t="s">
        <v>134</v>
      </c>
      <c r="L20" s="42">
        <v>35</v>
      </c>
      <c r="M20" s="40"/>
      <c r="O20" s="40"/>
      <c r="P20" s="40"/>
      <c r="Q20" s="91" t="s">
        <v>79</v>
      </c>
      <c r="R20" s="91"/>
      <c r="S20" s="237" t="s">
        <v>136</v>
      </c>
      <c r="T20" s="223" t="s">
        <v>97</v>
      </c>
      <c r="U20" s="223" t="s">
        <v>97</v>
      </c>
      <c r="V20" s="224" t="s">
        <v>98</v>
      </c>
      <c r="W20" s="225"/>
      <c r="X20" s="226" t="s">
        <v>183</v>
      </c>
    </row>
    <row r="21" spans="1:24" ht="15" customHeight="1" x14ac:dyDescent="0.35">
      <c r="A21" s="31" t="s">
        <v>87</v>
      </c>
      <c r="B21" s="32" t="s">
        <v>89</v>
      </c>
      <c r="C21" s="40" t="s">
        <v>49</v>
      </c>
      <c r="D21" s="33" t="s">
        <v>105</v>
      </c>
      <c r="E21" s="36" t="s">
        <v>184</v>
      </c>
      <c r="F21" s="36" t="s">
        <v>185</v>
      </c>
      <c r="G21" s="44"/>
      <c r="H21" s="36" t="s">
        <v>186</v>
      </c>
      <c r="I21" s="40"/>
      <c r="J21" s="40"/>
      <c r="K21" s="40" t="s">
        <v>134</v>
      </c>
      <c r="L21" s="42">
        <v>35</v>
      </c>
      <c r="M21" s="40"/>
      <c r="O21" s="40"/>
      <c r="P21" s="40"/>
      <c r="Q21" s="91" t="s">
        <v>79</v>
      </c>
      <c r="R21" s="91"/>
      <c r="S21" s="237" t="s">
        <v>136</v>
      </c>
      <c r="T21" s="223" t="s">
        <v>97</v>
      </c>
      <c r="U21" s="223" t="s">
        <v>97</v>
      </c>
      <c r="V21" s="224" t="s">
        <v>98</v>
      </c>
      <c r="W21" s="225"/>
      <c r="X21" s="226" t="s">
        <v>183</v>
      </c>
    </row>
    <row r="22" spans="1:24" ht="15" customHeight="1" x14ac:dyDescent="0.35">
      <c r="A22" s="31" t="s">
        <v>87</v>
      </c>
      <c r="B22" s="32" t="s">
        <v>89</v>
      </c>
      <c r="C22" s="40" t="s">
        <v>49</v>
      </c>
      <c r="D22" s="33" t="s">
        <v>111</v>
      </c>
      <c r="E22" s="36" t="s">
        <v>187</v>
      </c>
      <c r="F22" s="36" t="s">
        <v>188</v>
      </c>
      <c r="G22" s="44"/>
      <c r="H22" s="36" t="s">
        <v>189</v>
      </c>
      <c r="I22" s="40"/>
      <c r="J22" s="40"/>
      <c r="K22" s="40" t="s">
        <v>134</v>
      </c>
      <c r="L22" s="42">
        <v>40</v>
      </c>
      <c r="M22" s="40"/>
      <c r="O22" s="40"/>
      <c r="P22" s="40"/>
      <c r="Q22" s="91" t="s">
        <v>190</v>
      </c>
      <c r="R22" s="91"/>
      <c r="S22" s="237" t="s">
        <v>136</v>
      </c>
      <c r="T22" s="223" t="s">
        <v>97</v>
      </c>
      <c r="U22" s="223" t="s">
        <v>97</v>
      </c>
      <c r="V22" s="224" t="s">
        <v>98</v>
      </c>
      <c r="W22" s="225"/>
      <c r="X22" s="226" t="s">
        <v>183</v>
      </c>
    </row>
    <row r="23" spans="1:24" ht="15" customHeight="1" x14ac:dyDescent="0.35">
      <c r="A23" s="31" t="s">
        <v>87</v>
      </c>
      <c r="B23" s="32" t="s">
        <v>89</v>
      </c>
      <c r="C23" s="40" t="s">
        <v>49</v>
      </c>
      <c r="D23" s="33" t="s">
        <v>117</v>
      </c>
      <c r="E23" s="36" t="s">
        <v>191</v>
      </c>
      <c r="F23" s="36" t="s">
        <v>192</v>
      </c>
      <c r="G23" s="44"/>
      <c r="H23" s="36" t="s">
        <v>193</v>
      </c>
      <c r="I23" s="40"/>
      <c r="J23" s="40"/>
      <c r="K23" s="40" t="s">
        <v>134</v>
      </c>
      <c r="L23" s="42">
        <v>8</v>
      </c>
      <c r="M23" s="40"/>
      <c r="O23" s="40"/>
      <c r="P23" s="40"/>
      <c r="Q23" s="91" t="s">
        <v>190</v>
      </c>
      <c r="R23" s="91"/>
      <c r="S23" s="237" t="s">
        <v>136</v>
      </c>
      <c r="T23" s="223" t="s">
        <v>97</v>
      </c>
      <c r="U23" s="223" t="s">
        <v>97</v>
      </c>
      <c r="V23" s="224" t="s">
        <v>98</v>
      </c>
      <c r="W23" s="225"/>
      <c r="X23" s="226" t="s">
        <v>183</v>
      </c>
    </row>
    <row r="24" spans="1:24" ht="15" customHeight="1" x14ac:dyDescent="0.35">
      <c r="A24" s="31" t="s">
        <v>87</v>
      </c>
      <c r="B24" s="32" t="s">
        <v>89</v>
      </c>
      <c r="C24" s="40" t="s">
        <v>49</v>
      </c>
      <c r="D24" s="33" t="s">
        <v>125</v>
      </c>
      <c r="E24" s="36" t="s">
        <v>194</v>
      </c>
      <c r="F24" s="36" t="s">
        <v>195</v>
      </c>
      <c r="G24" s="44"/>
      <c r="H24" s="36" t="s">
        <v>196</v>
      </c>
      <c r="I24" s="40"/>
      <c r="J24" s="40"/>
      <c r="K24" s="40" t="s">
        <v>151</v>
      </c>
      <c r="L24" s="42">
        <v>10</v>
      </c>
      <c r="M24" s="40" t="s">
        <v>152</v>
      </c>
      <c r="O24" s="40"/>
      <c r="P24" s="40"/>
      <c r="Q24" s="91" t="s">
        <v>79</v>
      </c>
      <c r="R24" s="91"/>
      <c r="S24" s="237" t="s">
        <v>197</v>
      </c>
      <c r="T24" s="223" t="s">
        <v>97</v>
      </c>
      <c r="U24" s="223" t="s">
        <v>97</v>
      </c>
      <c r="V24" s="224" t="s">
        <v>98</v>
      </c>
      <c r="W24" s="225"/>
      <c r="X24" s="226" t="s">
        <v>183</v>
      </c>
    </row>
    <row r="25" spans="1:24" ht="15" customHeight="1" x14ac:dyDescent="0.35">
      <c r="A25" s="31" t="s">
        <v>87</v>
      </c>
      <c r="B25" s="32" t="s">
        <v>89</v>
      </c>
      <c r="C25" s="40" t="s">
        <v>49</v>
      </c>
      <c r="D25" s="33" t="s">
        <v>130</v>
      </c>
      <c r="E25" s="36" t="s">
        <v>198</v>
      </c>
      <c r="F25" s="36" t="s">
        <v>199</v>
      </c>
      <c r="G25" s="44"/>
      <c r="H25" s="36" t="s">
        <v>200</v>
      </c>
      <c r="I25" s="40"/>
      <c r="J25" s="40"/>
      <c r="K25" s="40" t="s">
        <v>93</v>
      </c>
      <c r="L25" s="42">
        <v>1</v>
      </c>
      <c r="M25" s="40"/>
      <c r="N25" s="43" t="s">
        <v>198</v>
      </c>
      <c r="O25" s="40"/>
      <c r="P25" s="40"/>
      <c r="Q25" s="91" t="s">
        <v>79</v>
      </c>
      <c r="R25" s="91"/>
      <c r="S25" s="237" t="s">
        <v>201</v>
      </c>
      <c r="T25" s="223" t="s">
        <v>97</v>
      </c>
      <c r="U25" s="223" t="s">
        <v>97</v>
      </c>
      <c r="V25" s="224" t="s">
        <v>98</v>
      </c>
      <c r="W25" s="225"/>
      <c r="X25" s="226" t="s">
        <v>179</v>
      </c>
    </row>
    <row r="26" spans="1:24" ht="15" customHeight="1" x14ac:dyDescent="0.35">
      <c r="A26" s="31" t="s">
        <v>87</v>
      </c>
      <c r="B26" s="32" t="s">
        <v>89</v>
      </c>
      <c r="C26" s="40" t="s">
        <v>49</v>
      </c>
      <c r="D26" s="33" t="s">
        <v>137</v>
      </c>
      <c r="E26" s="36" t="s">
        <v>202</v>
      </c>
      <c r="F26" s="36" t="s">
        <v>203</v>
      </c>
      <c r="G26" s="44"/>
      <c r="H26" s="36" t="s">
        <v>204</v>
      </c>
      <c r="I26" s="40"/>
      <c r="J26" s="40"/>
      <c r="K26" s="40" t="s">
        <v>93</v>
      </c>
      <c r="L26" s="42">
        <v>1</v>
      </c>
      <c r="M26" s="40"/>
      <c r="N26" s="43" t="s">
        <v>205</v>
      </c>
      <c r="O26" s="40"/>
      <c r="P26" s="40"/>
      <c r="Q26" s="91" t="s">
        <v>161</v>
      </c>
      <c r="R26" s="91"/>
      <c r="S26" s="237" t="s">
        <v>201</v>
      </c>
      <c r="T26" s="223" t="s">
        <v>97</v>
      </c>
      <c r="U26" s="223" t="s">
        <v>97</v>
      </c>
      <c r="V26" s="224" t="s">
        <v>98</v>
      </c>
      <c r="W26" s="225"/>
      <c r="X26" s="226" t="s">
        <v>179</v>
      </c>
    </row>
    <row r="27" spans="1:24" ht="15" customHeight="1" x14ac:dyDescent="0.35">
      <c r="A27" s="31" t="s">
        <v>87</v>
      </c>
      <c r="B27" s="32" t="s">
        <v>89</v>
      </c>
      <c r="C27" s="40" t="s">
        <v>49</v>
      </c>
      <c r="D27" s="33" t="s">
        <v>143</v>
      </c>
      <c r="E27" s="36" t="s">
        <v>206</v>
      </c>
      <c r="F27" s="36" t="s">
        <v>207</v>
      </c>
      <c r="G27" s="44"/>
      <c r="H27" s="36" t="s">
        <v>208</v>
      </c>
      <c r="I27" s="40"/>
      <c r="J27" s="40"/>
      <c r="K27" s="40" t="s">
        <v>93</v>
      </c>
      <c r="L27" s="42">
        <v>1</v>
      </c>
      <c r="M27" s="40"/>
      <c r="N27" s="43" t="s">
        <v>205</v>
      </c>
      <c r="O27" s="40"/>
      <c r="P27" s="40"/>
      <c r="Q27" s="91" t="s">
        <v>161</v>
      </c>
      <c r="R27" s="91"/>
      <c r="S27" s="237" t="s">
        <v>201</v>
      </c>
      <c r="T27" s="223" t="s">
        <v>97</v>
      </c>
      <c r="U27" s="223" t="s">
        <v>97</v>
      </c>
      <c r="V27" s="224" t="s">
        <v>98</v>
      </c>
      <c r="W27" s="225"/>
      <c r="X27" s="226" t="s">
        <v>179</v>
      </c>
    </row>
    <row r="28" spans="1:24" ht="15" customHeight="1" x14ac:dyDescent="0.35">
      <c r="A28" s="31" t="s">
        <v>87</v>
      </c>
      <c r="B28" s="32" t="s">
        <v>89</v>
      </c>
      <c r="C28" s="40" t="s">
        <v>49</v>
      </c>
      <c r="D28" s="33" t="s">
        <v>147</v>
      </c>
      <c r="E28" s="36" t="s">
        <v>209</v>
      </c>
      <c r="F28" s="36" t="s">
        <v>210</v>
      </c>
      <c r="G28" s="44"/>
      <c r="H28" s="36" t="s">
        <v>211</v>
      </c>
      <c r="I28" s="40"/>
      <c r="J28" s="40"/>
      <c r="K28" s="40" t="s">
        <v>93</v>
      </c>
      <c r="L28" s="42">
        <v>1</v>
      </c>
      <c r="M28" s="40"/>
      <c r="N28" s="43" t="s">
        <v>205</v>
      </c>
      <c r="O28" s="40"/>
      <c r="P28" s="40"/>
      <c r="Q28" s="91" t="s">
        <v>161</v>
      </c>
      <c r="R28" s="91"/>
      <c r="S28" s="237" t="s">
        <v>201</v>
      </c>
      <c r="T28" s="223" t="s">
        <v>97</v>
      </c>
      <c r="U28" s="223" t="s">
        <v>97</v>
      </c>
      <c r="V28" s="224" t="s">
        <v>98</v>
      </c>
      <c r="W28" s="225"/>
      <c r="X28" s="226" t="s">
        <v>179</v>
      </c>
    </row>
    <row r="29" spans="1:24" ht="15" customHeight="1" x14ac:dyDescent="0.35">
      <c r="A29" s="31" t="s">
        <v>87</v>
      </c>
      <c r="B29" s="32" t="s">
        <v>89</v>
      </c>
      <c r="C29" s="40" t="s">
        <v>49</v>
      </c>
      <c r="D29" s="33" t="s">
        <v>153</v>
      </c>
      <c r="E29" s="36" t="s">
        <v>212</v>
      </c>
      <c r="F29" s="36" t="s">
        <v>213</v>
      </c>
      <c r="G29" s="44"/>
      <c r="H29" s="36" t="s">
        <v>214</v>
      </c>
      <c r="I29" s="40"/>
      <c r="J29" s="40"/>
      <c r="K29" s="40" t="s">
        <v>93</v>
      </c>
      <c r="L29" s="42">
        <v>1</v>
      </c>
      <c r="M29" s="40"/>
      <c r="N29" s="43" t="s">
        <v>205</v>
      </c>
      <c r="O29" s="40"/>
      <c r="P29" s="40"/>
      <c r="Q29" s="91" t="s">
        <v>161</v>
      </c>
      <c r="R29" s="91"/>
      <c r="S29" s="237" t="s">
        <v>201</v>
      </c>
      <c r="T29" s="223" t="s">
        <v>97</v>
      </c>
      <c r="U29" s="223" t="s">
        <v>97</v>
      </c>
      <c r="V29" s="224" t="s">
        <v>98</v>
      </c>
      <c r="W29" s="225"/>
      <c r="X29" s="226" t="s">
        <v>179</v>
      </c>
    </row>
    <row r="30" spans="1:24" ht="15" customHeight="1" x14ac:dyDescent="0.35">
      <c r="A30" s="31" t="s">
        <v>87</v>
      </c>
      <c r="B30" s="32" t="s">
        <v>89</v>
      </c>
      <c r="C30" s="40" t="s">
        <v>49</v>
      </c>
      <c r="D30" s="33" t="s">
        <v>157</v>
      </c>
      <c r="E30" s="36" t="s">
        <v>215</v>
      </c>
      <c r="F30" s="36" t="s">
        <v>216</v>
      </c>
      <c r="G30" s="44"/>
      <c r="H30" s="36" t="s">
        <v>217</v>
      </c>
      <c r="I30" s="40"/>
      <c r="J30" s="40"/>
      <c r="K30" s="40" t="s">
        <v>93</v>
      </c>
      <c r="L30" s="42">
        <v>1</v>
      </c>
      <c r="M30" s="40"/>
      <c r="N30" s="43" t="s">
        <v>205</v>
      </c>
      <c r="O30" s="40"/>
      <c r="P30" s="40"/>
      <c r="Q30" s="91" t="s">
        <v>161</v>
      </c>
      <c r="R30" s="91"/>
      <c r="S30" s="237" t="s">
        <v>201</v>
      </c>
      <c r="T30" s="223" t="s">
        <v>97</v>
      </c>
      <c r="U30" s="223" t="s">
        <v>97</v>
      </c>
      <c r="V30" s="224" t="s">
        <v>98</v>
      </c>
      <c r="W30" s="225"/>
      <c r="X30" s="226" t="s">
        <v>179</v>
      </c>
    </row>
    <row r="31" spans="1:24" ht="15" customHeight="1" x14ac:dyDescent="0.35">
      <c r="A31" s="31" t="s">
        <v>87</v>
      </c>
      <c r="B31" s="32" t="s">
        <v>89</v>
      </c>
      <c r="C31" s="40" t="s">
        <v>49</v>
      </c>
      <c r="D31" s="33" t="s">
        <v>163</v>
      </c>
      <c r="E31" s="36" t="s">
        <v>218</v>
      </c>
      <c r="F31" s="36" t="s">
        <v>219</v>
      </c>
      <c r="G31" s="44"/>
      <c r="H31" s="36" t="s">
        <v>220</v>
      </c>
      <c r="I31" s="40"/>
      <c r="J31" s="40"/>
      <c r="K31" s="40" t="s">
        <v>93</v>
      </c>
      <c r="L31" s="42">
        <v>1</v>
      </c>
      <c r="M31" s="40"/>
      <c r="N31" s="43" t="s">
        <v>205</v>
      </c>
      <c r="O31" s="40"/>
      <c r="P31" s="40"/>
      <c r="Q31" s="91" t="s">
        <v>161</v>
      </c>
      <c r="R31" s="91"/>
      <c r="S31" s="237" t="s">
        <v>201</v>
      </c>
      <c r="T31" s="223" t="s">
        <v>97</v>
      </c>
      <c r="U31" s="223" t="s">
        <v>97</v>
      </c>
      <c r="V31" s="224" t="s">
        <v>98</v>
      </c>
      <c r="W31" s="225"/>
      <c r="X31" s="226" t="s">
        <v>179</v>
      </c>
    </row>
    <row r="32" spans="1:24" ht="15" customHeight="1" x14ac:dyDescent="0.35">
      <c r="A32" s="39" t="s">
        <v>87</v>
      </c>
      <c r="B32" s="32" t="s">
        <v>89</v>
      </c>
      <c r="C32" s="40" t="s">
        <v>49</v>
      </c>
      <c r="D32" s="33" t="s">
        <v>167</v>
      </c>
      <c r="E32" s="36" t="s">
        <v>221</v>
      </c>
      <c r="F32" s="36" t="s">
        <v>222</v>
      </c>
      <c r="G32" s="44"/>
      <c r="H32" s="36" t="s">
        <v>223</v>
      </c>
      <c r="I32" s="40"/>
      <c r="J32" s="40"/>
      <c r="K32" s="40" t="s">
        <v>93</v>
      </c>
      <c r="L32" s="42">
        <v>4</v>
      </c>
      <c r="M32" s="40" t="s">
        <v>94</v>
      </c>
      <c r="N32" s="51" t="s">
        <v>95</v>
      </c>
      <c r="O32" s="40"/>
      <c r="P32" s="40"/>
      <c r="Q32" s="91" t="s">
        <v>79</v>
      </c>
      <c r="R32" s="91"/>
      <c r="S32" s="237" t="s">
        <v>224</v>
      </c>
      <c r="T32" s="223" t="s">
        <v>97</v>
      </c>
      <c r="U32" s="223" t="s">
        <v>97</v>
      </c>
      <c r="V32" s="224"/>
      <c r="W32" s="225"/>
      <c r="X32" s="226"/>
    </row>
    <row r="33" spans="1:24" ht="15" customHeight="1" x14ac:dyDescent="0.35">
      <c r="A33" s="31" t="s">
        <v>87</v>
      </c>
      <c r="B33" s="32" t="s">
        <v>89</v>
      </c>
      <c r="C33" s="36" t="s">
        <v>49</v>
      </c>
      <c r="D33" s="33" t="s">
        <v>171</v>
      </c>
      <c r="E33" s="36" t="s">
        <v>225</v>
      </c>
      <c r="F33" s="36" t="s">
        <v>226</v>
      </c>
      <c r="G33" s="44"/>
      <c r="H33" s="36" t="s">
        <v>227</v>
      </c>
      <c r="I33" s="36"/>
      <c r="J33" s="36"/>
      <c r="K33" s="36" t="s">
        <v>93</v>
      </c>
      <c r="L33" s="38">
        <v>2</v>
      </c>
      <c r="M33" s="36" t="s">
        <v>228</v>
      </c>
      <c r="N33" s="43" t="s">
        <v>229</v>
      </c>
      <c r="O33" s="36"/>
      <c r="P33" s="36"/>
      <c r="Q33" s="90" t="s">
        <v>161</v>
      </c>
      <c r="R33" s="90"/>
      <c r="S33" s="237" t="s">
        <v>230</v>
      </c>
      <c r="T33" s="223" t="s">
        <v>123</v>
      </c>
      <c r="U33" s="223" t="s">
        <v>97</v>
      </c>
      <c r="V33" s="224"/>
      <c r="W33" s="225"/>
      <c r="X33" s="226"/>
    </row>
    <row r="34" spans="1:24" ht="15" customHeight="1" x14ac:dyDescent="0.35">
      <c r="A34" s="31" t="s">
        <v>87</v>
      </c>
      <c r="B34" s="32" t="s">
        <v>89</v>
      </c>
      <c r="C34" s="36" t="s">
        <v>49</v>
      </c>
      <c r="D34" s="33" t="s">
        <v>231</v>
      </c>
      <c r="E34" s="36" t="s">
        <v>232</v>
      </c>
      <c r="F34" s="36" t="s">
        <v>233</v>
      </c>
      <c r="G34" s="44"/>
      <c r="H34" s="36" t="s">
        <v>234</v>
      </c>
      <c r="I34" s="36"/>
      <c r="J34" s="36"/>
      <c r="K34" s="36" t="s">
        <v>235</v>
      </c>
      <c r="L34" s="38">
        <v>9</v>
      </c>
      <c r="M34" s="45" t="s">
        <v>236</v>
      </c>
      <c r="O34" s="36"/>
      <c r="P34" s="36"/>
      <c r="Q34" s="90" t="s">
        <v>161</v>
      </c>
      <c r="R34" s="90"/>
      <c r="S34" s="237" t="s">
        <v>237</v>
      </c>
      <c r="T34" s="223" t="s">
        <v>97</v>
      </c>
      <c r="U34" s="223" t="s">
        <v>123</v>
      </c>
      <c r="V34" s="224"/>
      <c r="W34" s="225"/>
      <c r="X34" s="226"/>
    </row>
    <row r="35" spans="1:24" s="47" customFormat="1" ht="15" customHeight="1" x14ac:dyDescent="0.35">
      <c r="A35" s="31" t="s">
        <v>87</v>
      </c>
      <c r="B35" s="32" t="s">
        <v>89</v>
      </c>
      <c r="C35" s="31" t="s">
        <v>49</v>
      </c>
      <c r="D35" s="33" t="s">
        <v>238</v>
      </c>
      <c r="E35" s="31" t="s">
        <v>239</v>
      </c>
      <c r="F35" s="31" t="s">
        <v>240</v>
      </c>
      <c r="G35" s="31"/>
      <c r="H35" s="31" t="s">
        <v>241</v>
      </c>
      <c r="I35" s="31"/>
      <c r="J35" s="31"/>
      <c r="K35" s="31" t="s">
        <v>93</v>
      </c>
      <c r="L35" s="35">
        <v>1</v>
      </c>
      <c r="M35" s="31" t="s">
        <v>109</v>
      </c>
      <c r="N35" s="238" t="s">
        <v>242</v>
      </c>
      <c r="O35" s="46"/>
      <c r="P35" s="46"/>
      <c r="Q35" s="90" t="s">
        <v>79</v>
      </c>
      <c r="R35" s="90"/>
      <c r="S35" s="237" t="s">
        <v>243</v>
      </c>
      <c r="T35" s="223" t="s">
        <v>97</v>
      </c>
      <c r="U35" s="223" t="s">
        <v>97</v>
      </c>
      <c r="V35" s="224"/>
      <c r="W35" s="225"/>
      <c r="X35" s="226"/>
    </row>
    <row r="36" spans="1:24" ht="15" customHeight="1" x14ac:dyDescent="0.35">
      <c r="A36" s="31" t="s">
        <v>87</v>
      </c>
      <c r="B36" s="32" t="s">
        <v>89</v>
      </c>
      <c r="C36" s="36" t="s">
        <v>49</v>
      </c>
      <c r="D36" s="33" t="s">
        <v>244</v>
      </c>
      <c r="E36" s="36" t="s">
        <v>245</v>
      </c>
      <c r="F36" s="36" t="s">
        <v>127</v>
      </c>
      <c r="G36" s="44"/>
      <c r="H36" s="36" t="s">
        <v>246</v>
      </c>
      <c r="I36" s="36"/>
      <c r="J36" s="36"/>
      <c r="K36" s="36" t="s">
        <v>93</v>
      </c>
      <c r="L36" s="38">
        <v>2</v>
      </c>
      <c r="M36" s="36" t="s">
        <v>115</v>
      </c>
      <c r="N36" s="43" t="s">
        <v>245</v>
      </c>
      <c r="O36" s="40"/>
      <c r="P36" s="40"/>
      <c r="Q36" s="90" t="s">
        <v>79</v>
      </c>
      <c r="R36" s="90"/>
      <c r="S36" s="237" t="s">
        <v>224</v>
      </c>
      <c r="T36" s="223" t="s">
        <v>97</v>
      </c>
      <c r="U36" s="223" t="s">
        <v>97</v>
      </c>
      <c r="V36" s="224"/>
      <c r="W36" s="225"/>
      <c r="X36" s="226" t="s">
        <v>247</v>
      </c>
    </row>
    <row r="37" spans="1:24" ht="15" customHeight="1" x14ac:dyDescent="0.35">
      <c r="A37" s="31" t="s">
        <v>87</v>
      </c>
      <c r="B37" s="32" t="s">
        <v>89</v>
      </c>
      <c r="C37" s="36" t="s">
        <v>49</v>
      </c>
      <c r="D37" s="33" t="s">
        <v>248</v>
      </c>
      <c r="E37" s="36" t="s">
        <v>249</v>
      </c>
      <c r="F37" s="36" t="s">
        <v>250</v>
      </c>
      <c r="G37" s="1"/>
      <c r="H37" s="36" t="s">
        <v>251</v>
      </c>
      <c r="I37" s="36" t="s">
        <v>252</v>
      </c>
      <c r="J37" s="36" t="s">
        <v>253</v>
      </c>
      <c r="K37" s="36" t="s">
        <v>254</v>
      </c>
      <c r="L37" s="38">
        <v>4</v>
      </c>
      <c r="M37" s="36" t="s">
        <v>255</v>
      </c>
      <c r="O37" s="45" t="s">
        <v>256</v>
      </c>
      <c r="P37" s="45" t="s">
        <v>257</v>
      </c>
      <c r="Q37" s="90" t="s">
        <v>161</v>
      </c>
      <c r="R37" s="90"/>
      <c r="S37" s="237" t="s">
        <v>258</v>
      </c>
      <c r="T37" s="223" t="s">
        <v>123</v>
      </c>
      <c r="U37" s="223" t="s">
        <v>97</v>
      </c>
      <c r="V37" s="224"/>
      <c r="W37" s="225"/>
      <c r="X37" s="226"/>
    </row>
    <row r="38" spans="1:24" ht="15" customHeight="1" x14ac:dyDescent="0.35">
      <c r="A38" s="31" t="s">
        <v>87</v>
      </c>
      <c r="B38" s="32" t="s">
        <v>89</v>
      </c>
      <c r="C38" s="36" t="s">
        <v>49</v>
      </c>
      <c r="D38" s="33" t="s">
        <v>259</v>
      </c>
      <c r="E38" s="36" t="s">
        <v>260</v>
      </c>
      <c r="F38" s="36" t="s">
        <v>261</v>
      </c>
      <c r="G38" s="44"/>
      <c r="H38" s="36" t="s">
        <v>262</v>
      </c>
      <c r="I38" s="36"/>
      <c r="J38" s="36"/>
      <c r="K38" s="36" t="s">
        <v>93</v>
      </c>
      <c r="L38" s="38">
        <v>1</v>
      </c>
      <c r="M38" s="36" t="s">
        <v>109</v>
      </c>
      <c r="N38" s="43" t="s">
        <v>263</v>
      </c>
      <c r="O38" s="36"/>
      <c r="P38" s="36"/>
      <c r="Q38" s="90" t="s">
        <v>161</v>
      </c>
      <c r="R38" s="90"/>
      <c r="S38" s="237" t="s">
        <v>264</v>
      </c>
      <c r="T38" s="223" t="s">
        <v>97</v>
      </c>
      <c r="U38" s="223" t="s">
        <v>97</v>
      </c>
      <c r="V38" s="224"/>
      <c r="W38" s="225"/>
      <c r="X38" s="226" t="s">
        <v>179</v>
      </c>
    </row>
    <row r="39" spans="1:24" ht="15" customHeight="1" x14ac:dyDescent="0.35">
      <c r="A39" s="31" t="s">
        <v>87</v>
      </c>
      <c r="B39" s="32" t="s">
        <v>89</v>
      </c>
      <c r="C39" s="36" t="s">
        <v>49</v>
      </c>
      <c r="D39" s="33" t="s">
        <v>265</v>
      </c>
      <c r="E39" s="36" t="s">
        <v>266</v>
      </c>
      <c r="F39" s="36" t="s">
        <v>267</v>
      </c>
      <c r="G39" s="44"/>
      <c r="H39" s="36" t="s">
        <v>268</v>
      </c>
      <c r="I39" s="128"/>
      <c r="J39" s="128"/>
      <c r="K39" s="36" t="s">
        <v>93</v>
      </c>
      <c r="L39" s="38">
        <v>1</v>
      </c>
      <c r="M39" s="36" t="s">
        <v>109</v>
      </c>
      <c r="N39" s="43" t="s">
        <v>205</v>
      </c>
      <c r="O39" s="128"/>
      <c r="P39" s="128"/>
      <c r="Q39" s="90" t="s">
        <v>79</v>
      </c>
      <c r="R39" s="90"/>
      <c r="S39" s="237" t="s">
        <v>136</v>
      </c>
      <c r="T39" s="223" t="s">
        <v>97</v>
      </c>
      <c r="U39" s="223" t="s">
        <v>97</v>
      </c>
      <c r="V39" s="224"/>
      <c r="W39" s="225"/>
      <c r="X39" s="226" t="s">
        <v>179</v>
      </c>
    </row>
    <row r="40" spans="1:24" ht="15" customHeight="1" x14ac:dyDescent="0.35">
      <c r="A40" s="31" t="s">
        <v>87</v>
      </c>
      <c r="B40" s="32" t="s">
        <v>89</v>
      </c>
      <c r="C40" s="40" t="s">
        <v>49</v>
      </c>
      <c r="D40" s="33" t="s">
        <v>269</v>
      </c>
      <c r="E40" s="36" t="s">
        <v>270</v>
      </c>
      <c r="F40" s="44">
        <v>504</v>
      </c>
      <c r="G40" s="44"/>
      <c r="H40" s="36" t="s">
        <v>271</v>
      </c>
      <c r="I40" s="40"/>
      <c r="J40" s="40"/>
      <c r="K40" s="40" t="s">
        <v>93</v>
      </c>
      <c r="L40" s="42">
        <v>1</v>
      </c>
      <c r="M40" s="40" t="s">
        <v>109</v>
      </c>
      <c r="N40" s="43" t="s">
        <v>205</v>
      </c>
      <c r="O40" s="40"/>
      <c r="P40" s="40"/>
      <c r="Q40" s="90" t="s">
        <v>161</v>
      </c>
      <c r="R40" s="90"/>
      <c r="S40" s="237" t="s">
        <v>272</v>
      </c>
      <c r="T40" s="223" t="s">
        <v>97</v>
      </c>
      <c r="U40" s="223" t="s">
        <v>123</v>
      </c>
      <c r="V40" s="224"/>
      <c r="W40" s="225"/>
      <c r="X40" s="226" t="s">
        <v>179</v>
      </c>
    </row>
    <row r="41" spans="1:24" ht="15" customHeight="1" x14ac:dyDescent="0.35">
      <c r="A41" s="31" t="s">
        <v>87</v>
      </c>
      <c r="B41" s="32" t="s">
        <v>89</v>
      </c>
      <c r="C41" s="36" t="s">
        <v>49</v>
      </c>
      <c r="D41" s="33" t="s">
        <v>273</v>
      </c>
      <c r="E41" s="36" t="s">
        <v>274</v>
      </c>
      <c r="F41" s="36" t="s">
        <v>275</v>
      </c>
      <c r="G41" s="1"/>
      <c r="H41" s="36" t="s">
        <v>276</v>
      </c>
      <c r="I41" s="36"/>
      <c r="J41" s="36"/>
      <c r="K41" s="36" t="s">
        <v>93</v>
      </c>
      <c r="L41" s="38">
        <v>1</v>
      </c>
      <c r="M41" s="36" t="s">
        <v>109</v>
      </c>
      <c r="N41" s="43" t="s">
        <v>205</v>
      </c>
      <c r="O41" s="36"/>
      <c r="P41" s="36"/>
      <c r="Q41" s="90" t="s">
        <v>161</v>
      </c>
      <c r="R41" s="90"/>
      <c r="S41" s="237" t="s">
        <v>277</v>
      </c>
      <c r="T41" s="223" t="s">
        <v>123</v>
      </c>
      <c r="U41" s="223" t="s">
        <v>97</v>
      </c>
      <c r="V41" s="224"/>
      <c r="W41" s="225"/>
      <c r="X41" s="226" t="s">
        <v>179</v>
      </c>
    </row>
    <row r="42" spans="1:24" ht="15" customHeight="1" x14ac:dyDescent="0.35">
      <c r="A42" s="31" t="s">
        <v>87</v>
      </c>
      <c r="B42" s="32" t="s">
        <v>89</v>
      </c>
      <c r="C42" s="36" t="s">
        <v>49</v>
      </c>
      <c r="D42" s="33" t="s">
        <v>278</v>
      </c>
      <c r="E42" s="36" t="s">
        <v>279</v>
      </c>
      <c r="F42" s="36" t="s">
        <v>280</v>
      </c>
      <c r="G42" s="1"/>
      <c r="H42" s="36" t="s">
        <v>281</v>
      </c>
      <c r="I42" s="36"/>
      <c r="J42" s="36"/>
      <c r="K42" s="36" t="s">
        <v>93</v>
      </c>
      <c r="L42" s="38">
        <v>1</v>
      </c>
      <c r="M42" s="36" t="s">
        <v>109</v>
      </c>
      <c r="N42" s="43" t="s">
        <v>282</v>
      </c>
      <c r="O42" s="36"/>
      <c r="P42" s="36"/>
      <c r="Q42" s="90" t="s">
        <v>79</v>
      </c>
      <c r="R42" s="90"/>
      <c r="S42" s="237" t="s">
        <v>283</v>
      </c>
      <c r="T42" s="223" t="s">
        <v>97</v>
      </c>
      <c r="U42" s="223" t="s">
        <v>123</v>
      </c>
      <c r="V42" s="224"/>
      <c r="W42" s="225"/>
      <c r="X42" s="226" t="s">
        <v>179</v>
      </c>
    </row>
    <row r="43" spans="1:24" ht="15" customHeight="1" x14ac:dyDescent="0.35">
      <c r="A43" s="31" t="s">
        <v>87</v>
      </c>
      <c r="B43" s="32" t="s">
        <v>89</v>
      </c>
      <c r="C43" s="40" t="s">
        <v>49</v>
      </c>
      <c r="D43" s="33" t="s">
        <v>284</v>
      </c>
      <c r="E43" s="36" t="s">
        <v>285</v>
      </c>
      <c r="F43" s="36" t="s">
        <v>286</v>
      </c>
      <c r="G43" s="44"/>
      <c r="H43" s="36" t="s">
        <v>287</v>
      </c>
      <c r="I43" s="40"/>
      <c r="J43" s="40"/>
      <c r="K43" s="40" t="s">
        <v>93</v>
      </c>
      <c r="L43" s="42">
        <v>1</v>
      </c>
      <c r="M43" s="40" t="s">
        <v>109</v>
      </c>
      <c r="N43" s="43" t="s">
        <v>205</v>
      </c>
      <c r="O43" s="40"/>
      <c r="P43" s="40"/>
      <c r="Q43" s="90" t="s">
        <v>161</v>
      </c>
      <c r="R43" s="90"/>
      <c r="S43" s="237" t="s">
        <v>288</v>
      </c>
      <c r="T43" s="223" t="s">
        <v>97</v>
      </c>
      <c r="U43" s="223" t="s">
        <v>123</v>
      </c>
      <c r="V43" s="224"/>
      <c r="W43" s="225"/>
      <c r="X43" s="226" t="s">
        <v>179</v>
      </c>
    </row>
    <row r="44" spans="1:24" ht="15" customHeight="1" x14ac:dyDescent="0.35">
      <c r="A44" s="31" t="s">
        <v>87</v>
      </c>
      <c r="B44" s="32" t="s">
        <v>89</v>
      </c>
      <c r="C44" s="36" t="s">
        <v>49</v>
      </c>
      <c r="D44" s="33" t="s">
        <v>289</v>
      </c>
      <c r="E44" s="36" t="s">
        <v>290</v>
      </c>
      <c r="F44" s="36" t="s">
        <v>291</v>
      </c>
      <c r="G44" s="44"/>
      <c r="H44" s="36" t="s">
        <v>292</v>
      </c>
      <c r="I44" s="36"/>
      <c r="J44" s="36"/>
      <c r="K44" s="36" t="s">
        <v>93</v>
      </c>
      <c r="L44" s="38">
        <v>1</v>
      </c>
      <c r="M44" s="36" t="s">
        <v>109</v>
      </c>
      <c r="N44" s="43" t="s">
        <v>205</v>
      </c>
      <c r="O44" s="36"/>
      <c r="P44" s="36"/>
      <c r="Q44" s="90" t="s">
        <v>161</v>
      </c>
      <c r="R44" s="90"/>
      <c r="S44" s="237" t="s">
        <v>293</v>
      </c>
      <c r="T44" s="223" t="s">
        <v>123</v>
      </c>
      <c r="U44" s="223" t="s">
        <v>97</v>
      </c>
      <c r="V44" s="224" t="s">
        <v>294</v>
      </c>
      <c r="W44" s="225"/>
      <c r="X44" s="226" t="s">
        <v>179</v>
      </c>
    </row>
    <row r="45" spans="1:24" ht="15" customHeight="1" x14ac:dyDescent="0.35">
      <c r="A45" s="31" t="s">
        <v>87</v>
      </c>
      <c r="B45" s="32" t="s">
        <v>89</v>
      </c>
      <c r="C45" s="36" t="s">
        <v>49</v>
      </c>
      <c r="D45" s="33" t="s">
        <v>295</v>
      </c>
      <c r="E45" s="36" t="s">
        <v>296</v>
      </c>
      <c r="F45" s="36" t="s">
        <v>297</v>
      </c>
      <c r="G45" s="44"/>
      <c r="H45" s="36" t="s">
        <v>298</v>
      </c>
      <c r="I45" s="36"/>
      <c r="J45" s="36"/>
      <c r="K45" s="36" t="s">
        <v>93</v>
      </c>
      <c r="L45" s="38">
        <v>1</v>
      </c>
      <c r="M45" s="36" t="s">
        <v>109</v>
      </c>
      <c r="N45" s="43" t="s">
        <v>299</v>
      </c>
      <c r="O45" s="36"/>
      <c r="P45" s="36"/>
      <c r="Q45" s="90" t="s">
        <v>161</v>
      </c>
      <c r="R45" s="90"/>
      <c r="S45" s="237" t="s">
        <v>277</v>
      </c>
      <c r="T45" s="223" t="s">
        <v>123</v>
      </c>
      <c r="U45" s="223" t="s">
        <v>97</v>
      </c>
      <c r="V45" s="224"/>
      <c r="W45" s="225"/>
      <c r="X45" s="226" t="s">
        <v>179</v>
      </c>
    </row>
    <row r="46" spans="1:24" ht="15" customHeight="1" x14ac:dyDescent="0.35">
      <c r="A46" s="31" t="s">
        <v>87</v>
      </c>
      <c r="B46" s="32" t="s">
        <v>89</v>
      </c>
      <c r="C46" s="36" t="s">
        <v>49</v>
      </c>
      <c r="D46" s="33" t="s">
        <v>300</v>
      </c>
      <c r="E46" s="36" t="s">
        <v>301</v>
      </c>
      <c r="F46" s="36" t="s">
        <v>302</v>
      </c>
      <c r="G46" s="44"/>
      <c r="H46" s="36" t="s">
        <v>303</v>
      </c>
      <c r="I46" s="36"/>
      <c r="J46" s="36"/>
      <c r="K46" s="36" t="s">
        <v>93</v>
      </c>
      <c r="L46" s="38">
        <v>1</v>
      </c>
      <c r="M46" s="36" t="s">
        <v>109</v>
      </c>
      <c r="N46" s="43" t="s">
        <v>205</v>
      </c>
      <c r="O46" s="36"/>
      <c r="P46" s="36"/>
      <c r="Q46" s="90" t="s">
        <v>161</v>
      </c>
      <c r="R46" s="90"/>
      <c r="S46" s="237" t="s">
        <v>136</v>
      </c>
      <c r="T46" s="223" t="s">
        <v>123</v>
      </c>
      <c r="U46" s="223" t="s">
        <v>97</v>
      </c>
      <c r="V46" s="224"/>
      <c r="W46" s="225"/>
      <c r="X46" s="226" t="s">
        <v>179</v>
      </c>
    </row>
    <row r="47" spans="1:24" s="70" customFormat="1" ht="15" customHeight="1" x14ac:dyDescent="0.35">
      <c r="A47" s="357" t="s">
        <v>87</v>
      </c>
      <c r="B47" s="131" t="s">
        <v>89</v>
      </c>
      <c r="C47" s="132" t="s">
        <v>49</v>
      </c>
      <c r="D47" s="161"/>
      <c r="E47" s="132" t="s">
        <v>304</v>
      </c>
      <c r="F47" s="132" t="s">
        <v>305</v>
      </c>
      <c r="G47" s="133"/>
      <c r="H47" s="132" t="s">
        <v>306</v>
      </c>
      <c r="I47" s="132"/>
      <c r="J47" s="132"/>
      <c r="K47" s="132" t="s">
        <v>93</v>
      </c>
      <c r="L47" s="134">
        <v>1</v>
      </c>
      <c r="M47" s="132" t="s">
        <v>109</v>
      </c>
      <c r="N47" s="135" t="s">
        <v>205</v>
      </c>
      <c r="O47" s="132"/>
      <c r="P47" s="132"/>
      <c r="Q47" s="136" t="s">
        <v>161</v>
      </c>
      <c r="R47" s="160"/>
      <c r="S47" s="239" t="s">
        <v>307</v>
      </c>
      <c r="T47" s="240" t="s">
        <v>123</v>
      </c>
      <c r="U47" s="240" t="s">
        <v>123</v>
      </c>
      <c r="V47" s="241"/>
      <c r="W47" s="242"/>
      <c r="X47" s="243" t="s">
        <v>179</v>
      </c>
    </row>
    <row r="48" spans="1:24" ht="15" customHeight="1" x14ac:dyDescent="0.35">
      <c r="A48" s="31" t="s">
        <v>87</v>
      </c>
      <c r="B48" s="32" t="s">
        <v>89</v>
      </c>
      <c r="C48" s="40" t="s">
        <v>49</v>
      </c>
      <c r="D48" s="33" t="s">
        <v>308</v>
      </c>
      <c r="E48" s="36" t="s">
        <v>309</v>
      </c>
      <c r="F48" s="36" t="s">
        <v>310</v>
      </c>
      <c r="G48" s="44"/>
      <c r="H48" s="36" t="s">
        <v>311</v>
      </c>
      <c r="I48" s="40"/>
      <c r="J48" s="40"/>
      <c r="K48" s="40" t="s">
        <v>93</v>
      </c>
      <c r="L48" s="42">
        <v>1</v>
      </c>
      <c r="M48" s="36" t="s">
        <v>109</v>
      </c>
      <c r="N48" s="43" t="s">
        <v>205</v>
      </c>
      <c r="O48" s="40"/>
      <c r="P48" s="40"/>
      <c r="Q48" s="90" t="s">
        <v>161</v>
      </c>
      <c r="R48" s="90"/>
      <c r="S48" s="237" t="s">
        <v>307</v>
      </c>
      <c r="T48" s="223" t="s">
        <v>97</v>
      </c>
      <c r="U48" s="223" t="s">
        <v>123</v>
      </c>
      <c r="V48" s="224" t="s">
        <v>98</v>
      </c>
      <c r="W48" s="225"/>
      <c r="X48" s="226" t="s">
        <v>179</v>
      </c>
    </row>
    <row r="49" spans="1:24" ht="15" customHeight="1" x14ac:dyDescent="0.35">
      <c r="A49" s="31" t="s">
        <v>87</v>
      </c>
      <c r="B49" s="32" t="s">
        <v>89</v>
      </c>
      <c r="C49" s="40" t="s">
        <v>49</v>
      </c>
      <c r="D49" s="33" t="s">
        <v>312</v>
      </c>
      <c r="E49" s="36" t="s">
        <v>313</v>
      </c>
      <c r="F49" s="36" t="s">
        <v>314</v>
      </c>
      <c r="G49" s="44"/>
      <c r="H49" s="36" t="s">
        <v>315</v>
      </c>
      <c r="I49" s="40"/>
      <c r="J49" s="40"/>
      <c r="K49" s="40" t="s">
        <v>93</v>
      </c>
      <c r="L49" s="42">
        <v>1</v>
      </c>
      <c r="M49" s="36" t="s">
        <v>109</v>
      </c>
      <c r="N49" s="43" t="s">
        <v>205</v>
      </c>
      <c r="O49" s="40"/>
      <c r="P49" s="40"/>
      <c r="Q49" s="91" t="s">
        <v>161</v>
      </c>
      <c r="R49" s="91"/>
      <c r="S49" s="237" t="s">
        <v>307</v>
      </c>
      <c r="T49" s="223" t="s">
        <v>97</v>
      </c>
      <c r="U49" s="223" t="s">
        <v>123</v>
      </c>
      <c r="V49" s="224" t="s">
        <v>98</v>
      </c>
      <c r="W49" s="225"/>
      <c r="X49" s="226" t="s">
        <v>179</v>
      </c>
    </row>
    <row r="50" spans="1:24" ht="15" customHeight="1" x14ac:dyDescent="0.35">
      <c r="A50" s="31" t="s">
        <v>87</v>
      </c>
      <c r="B50" s="32" t="s">
        <v>89</v>
      </c>
      <c r="C50" s="40" t="s">
        <v>49</v>
      </c>
      <c r="D50" s="33" t="s">
        <v>316</v>
      </c>
      <c r="E50" s="36" t="s">
        <v>317</v>
      </c>
      <c r="F50" s="36" t="s">
        <v>318</v>
      </c>
      <c r="G50" s="44"/>
      <c r="H50" s="36" t="s">
        <v>319</v>
      </c>
      <c r="I50" s="40"/>
      <c r="J50" s="40"/>
      <c r="K50" s="40" t="s">
        <v>93</v>
      </c>
      <c r="L50" s="42">
        <v>1</v>
      </c>
      <c r="M50" s="40" t="s">
        <v>109</v>
      </c>
      <c r="N50" s="43" t="s">
        <v>317</v>
      </c>
      <c r="O50" s="40"/>
      <c r="P50" s="40"/>
      <c r="Q50" s="91" t="s">
        <v>161</v>
      </c>
      <c r="R50" s="91"/>
      <c r="S50" s="237" t="s">
        <v>307</v>
      </c>
      <c r="T50" s="223" t="s">
        <v>97</v>
      </c>
      <c r="U50" s="223" t="s">
        <v>123</v>
      </c>
      <c r="V50" s="224"/>
      <c r="W50" s="225"/>
      <c r="X50" s="226" t="s">
        <v>179</v>
      </c>
    </row>
    <row r="51" spans="1:24" ht="15" customHeight="1" x14ac:dyDescent="0.35">
      <c r="A51" s="31" t="s">
        <v>87</v>
      </c>
      <c r="B51" s="32" t="s">
        <v>89</v>
      </c>
      <c r="C51" s="36" t="s">
        <v>49</v>
      </c>
      <c r="D51" s="33" t="s">
        <v>320</v>
      </c>
      <c r="E51" s="36" t="s">
        <v>321</v>
      </c>
      <c r="F51" s="36" t="s">
        <v>322</v>
      </c>
      <c r="G51" s="1"/>
      <c r="H51" s="36" t="s">
        <v>323</v>
      </c>
      <c r="I51" s="36"/>
      <c r="J51" s="36"/>
      <c r="K51" s="36" t="s">
        <v>93</v>
      </c>
      <c r="L51" s="38">
        <v>1</v>
      </c>
      <c r="M51" s="36" t="s">
        <v>109</v>
      </c>
      <c r="N51" s="43" t="s">
        <v>205</v>
      </c>
      <c r="O51" s="36"/>
      <c r="P51" s="36"/>
      <c r="Q51" s="90" t="s">
        <v>161</v>
      </c>
      <c r="R51" s="90"/>
      <c r="S51" s="237" t="s">
        <v>136</v>
      </c>
      <c r="T51" s="223" t="s">
        <v>123</v>
      </c>
      <c r="U51" s="223" t="s">
        <v>97</v>
      </c>
      <c r="V51" s="224"/>
      <c r="W51" s="225"/>
      <c r="X51" s="226" t="s">
        <v>179</v>
      </c>
    </row>
    <row r="52" spans="1:24" ht="15" customHeight="1" x14ac:dyDescent="0.35">
      <c r="A52" s="31" t="s">
        <v>87</v>
      </c>
      <c r="B52" s="32" t="s">
        <v>89</v>
      </c>
      <c r="C52" s="48" t="s">
        <v>49</v>
      </c>
      <c r="D52" s="33" t="s">
        <v>324</v>
      </c>
      <c r="E52" s="31" t="s">
        <v>325</v>
      </c>
      <c r="F52" s="31" t="s">
        <v>326</v>
      </c>
      <c r="G52" s="61"/>
      <c r="H52" s="31" t="s">
        <v>327</v>
      </c>
      <c r="I52" s="48"/>
      <c r="J52" s="48"/>
      <c r="K52" s="48" t="s">
        <v>93</v>
      </c>
      <c r="L52" s="50">
        <v>1</v>
      </c>
      <c r="M52" s="48" t="s">
        <v>109</v>
      </c>
      <c r="N52" s="43" t="s">
        <v>328</v>
      </c>
      <c r="O52" s="48"/>
      <c r="P52" s="48"/>
      <c r="Q52" s="90" t="s">
        <v>161</v>
      </c>
      <c r="R52" s="90"/>
      <c r="S52" s="237" t="s">
        <v>329</v>
      </c>
      <c r="T52" s="223" t="s">
        <v>123</v>
      </c>
      <c r="U52" s="223" t="s">
        <v>97</v>
      </c>
      <c r="V52" s="224"/>
      <c r="W52" s="225"/>
      <c r="X52" s="226" t="s">
        <v>330</v>
      </c>
    </row>
    <row r="53" spans="1:24" ht="15" customHeight="1" x14ac:dyDescent="0.35">
      <c r="A53" s="31" t="s">
        <v>87</v>
      </c>
      <c r="B53" s="32" t="s">
        <v>89</v>
      </c>
      <c r="C53" s="36" t="s">
        <v>49</v>
      </c>
      <c r="D53" s="33" t="s">
        <v>331</v>
      </c>
      <c r="E53" s="36" t="s">
        <v>332</v>
      </c>
      <c r="F53" s="36" t="s">
        <v>333</v>
      </c>
      <c r="G53" s="44"/>
      <c r="H53" s="36" t="s">
        <v>334</v>
      </c>
      <c r="I53" s="36"/>
      <c r="J53" s="36"/>
      <c r="K53" s="36" t="s">
        <v>134</v>
      </c>
      <c r="L53" s="38">
        <v>10</v>
      </c>
      <c r="M53" s="36"/>
      <c r="O53" s="36"/>
      <c r="P53" s="36"/>
      <c r="Q53" s="90" t="s">
        <v>161</v>
      </c>
      <c r="R53" s="90"/>
      <c r="S53" s="237" t="s">
        <v>329</v>
      </c>
      <c r="T53" s="223" t="s">
        <v>123</v>
      </c>
      <c r="U53" s="223" t="s">
        <v>97</v>
      </c>
      <c r="V53" s="224"/>
      <c r="W53" s="225"/>
      <c r="X53" s="226"/>
    </row>
    <row r="54" spans="1:24" ht="15" customHeight="1" x14ac:dyDescent="0.35">
      <c r="A54" s="39" t="s">
        <v>87</v>
      </c>
      <c r="B54" s="32" t="s">
        <v>89</v>
      </c>
      <c r="C54" s="36" t="s">
        <v>49</v>
      </c>
      <c r="D54" s="33" t="s">
        <v>335</v>
      </c>
      <c r="E54" s="36" t="s">
        <v>336</v>
      </c>
      <c r="F54" s="36" t="s">
        <v>337</v>
      </c>
      <c r="G54" s="44"/>
      <c r="H54" s="130" t="s">
        <v>338</v>
      </c>
      <c r="I54" s="40"/>
      <c r="J54" s="40"/>
      <c r="K54" s="36" t="s">
        <v>93</v>
      </c>
      <c r="L54" s="38">
        <v>1</v>
      </c>
      <c r="M54" s="36" t="s">
        <v>109</v>
      </c>
      <c r="N54" s="43" t="s">
        <v>205</v>
      </c>
      <c r="O54" s="40"/>
      <c r="P54" s="40"/>
      <c r="Q54" s="90" t="s">
        <v>161</v>
      </c>
      <c r="R54" s="90"/>
      <c r="S54" s="237" t="s">
        <v>339</v>
      </c>
      <c r="T54" s="223" t="s">
        <v>97</v>
      </c>
      <c r="U54" s="223" t="s">
        <v>123</v>
      </c>
      <c r="V54" s="224"/>
      <c r="W54" s="225"/>
      <c r="X54" s="226"/>
    </row>
    <row r="55" spans="1:24" ht="15" customHeight="1" x14ac:dyDescent="0.35">
      <c r="A55" s="39" t="s">
        <v>87</v>
      </c>
      <c r="B55" s="32" t="s">
        <v>89</v>
      </c>
      <c r="C55" s="36" t="s">
        <v>49</v>
      </c>
      <c r="D55" s="33" t="s">
        <v>340</v>
      </c>
      <c r="E55" s="130" t="s">
        <v>341</v>
      </c>
      <c r="F55" s="36" t="s">
        <v>342</v>
      </c>
      <c r="G55" s="44"/>
      <c r="H55" s="130" t="s">
        <v>343</v>
      </c>
      <c r="I55" s="40"/>
      <c r="J55" s="40"/>
      <c r="K55" s="36" t="s">
        <v>151</v>
      </c>
      <c r="L55" s="38">
        <v>10</v>
      </c>
      <c r="M55" s="36" t="s">
        <v>152</v>
      </c>
      <c r="O55" s="40"/>
      <c r="P55" s="40"/>
      <c r="Q55" s="90" t="s">
        <v>161</v>
      </c>
      <c r="R55" s="90"/>
      <c r="S55" s="237"/>
      <c r="T55" s="223"/>
      <c r="U55" s="223"/>
      <c r="V55" s="224"/>
      <c r="W55" s="225"/>
      <c r="X55" s="226"/>
    </row>
    <row r="56" spans="1:24" ht="15" customHeight="1" x14ac:dyDescent="0.35">
      <c r="A56" s="39" t="s">
        <v>87</v>
      </c>
      <c r="B56" s="32" t="s">
        <v>89</v>
      </c>
      <c r="C56" s="36" t="s">
        <v>49</v>
      </c>
      <c r="D56" s="33" t="s">
        <v>344</v>
      </c>
      <c r="E56" s="36" t="s">
        <v>345</v>
      </c>
      <c r="F56" s="36" t="s">
        <v>346</v>
      </c>
      <c r="G56" s="44"/>
      <c r="H56" s="130" t="s">
        <v>347</v>
      </c>
      <c r="I56" s="40"/>
      <c r="J56" s="40"/>
      <c r="K56" s="36" t="s">
        <v>93</v>
      </c>
      <c r="L56" s="38">
        <v>3</v>
      </c>
      <c r="M56" s="36" t="s">
        <v>115</v>
      </c>
      <c r="N56" s="43" t="s">
        <v>348</v>
      </c>
      <c r="O56" s="40"/>
      <c r="P56" s="40"/>
      <c r="Q56" s="90" t="s">
        <v>161</v>
      </c>
      <c r="R56" s="90"/>
      <c r="S56" s="237"/>
      <c r="T56" s="223"/>
      <c r="U56" s="223"/>
      <c r="V56" s="224"/>
      <c r="W56" s="225"/>
      <c r="X56" s="226"/>
    </row>
    <row r="57" spans="1:24" ht="15" customHeight="1" x14ac:dyDescent="0.35">
      <c r="A57" s="39" t="s">
        <v>87</v>
      </c>
      <c r="B57" s="32" t="s">
        <v>89</v>
      </c>
      <c r="C57" s="36" t="s">
        <v>49</v>
      </c>
      <c r="D57" s="33" t="s">
        <v>349</v>
      </c>
      <c r="E57" s="36" t="s">
        <v>350</v>
      </c>
      <c r="F57" s="36" t="s">
        <v>351</v>
      </c>
      <c r="G57" s="44"/>
      <c r="H57" s="130" t="s">
        <v>352</v>
      </c>
      <c r="I57" s="40"/>
      <c r="J57" s="40"/>
      <c r="K57" s="36" t="s">
        <v>93</v>
      </c>
      <c r="L57" s="38">
        <v>2</v>
      </c>
      <c r="M57" s="36" t="s">
        <v>115</v>
      </c>
      <c r="N57" s="43" t="s">
        <v>353</v>
      </c>
      <c r="O57" s="40"/>
      <c r="P57" s="40"/>
      <c r="Q57" s="90" t="s">
        <v>161</v>
      </c>
      <c r="R57" s="90"/>
      <c r="S57" s="237" t="s">
        <v>283</v>
      </c>
      <c r="T57" s="223" t="s">
        <v>97</v>
      </c>
      <c r="U57" s="223" t="s">
        <v>123</v>
      </c>
      <c r="V57" s="224"/>
      <c r="W57" s="225"/>
      <c r="X57" s="226"/>
    </row>
    <row r="58" spans="1:24" ht="15" customHeight="1" x14ac:dyDescent="0.35">
      <c r="A58" s="31" t="s">
        <v>87</v>
      </c>
      <c r="B58" s="32" t="s">
        <v>89</v>
      </c>
      <c r="C58" s="36" t="s">
        <v>49</v>
      </c>
      <c r="D58" s="33" t="s">
        <v>354</v>
      </c>
      <c r="E58" s="31" t="s">
        <v>355</v>
      </c>
      <c r="F58" s="31" t="s">
        <v>356</v>
      </c>
      <c r="G58" s="61"/>
      <c r="H58" s="31" t="s">
        <v>357</v>
      </c>
      <c r="I58" s="48"/>
      <c r="J58" s="48"/>
      <c r="K58" s="36" t="s">
        <v>93</v>
      </c>
      <c r="L58" s="35">
        <v>1</v>
      </c>
      <c r="M58" s="31" t="s">
        <v>109</v>
      </c>
      <c r="N58" s="43" t="s">
        <v>205</v>
      </c>
      <c r="O58" s="48"/>
      <c r="P58" s="48"/>
      <c r="Q58" s="90" t="s">
        <v>161</v>
      </c>
      <c r="R58" s="90"/>
      <c r="S58" s="237" t="s">
        <v>358</v>
      </c>
      <c r="T58" s="223" t="s">
        <v>97</v>
      </c>
      <c r="U58" s="223" t="s">
        <v>123</v>
      </c>
      <c r="V58" s="224"/>
      <c r="W58" s="225"/>
      <c r="X58" s="226"/>
    </row>
    <row r="59" spans="1:24" ht="15" customHeight="1" x14ac:dyDescent="0.35">
      <c r="A59" s="31" t="s">
        <v>87</v>
      </c>
      <c r="B59" s="32" t="s">
        <v>89</v>
      </c>
      <c r="C59" s="36" t="s">
        <v>49</v>
      </c>
      <c r="D59" s="33" t="s">
        <v>359</v>
      </c>
      <c r="E59" s="36" t="s">
        <v>360</v>
      </c>
      <c r="F59" s="36" t="s">
        <v>361</v>
      </c>
      <c r="G59" s="44"/>
      <c r="H59" s="36" t="s">
        <v>362</v>
      </c>
      <c r="I59" s="36"/>
      <c r="J59" s="36"/>
      <c r="K59" s="36" t="s">
        <v>93</v>
      </c>
      <c r="L59" s="38">
        <v>1</v>
      </c>
      <c r="M59" s="36" t="s">
        <v>109</v>
      </c>
      <c r="N59" s="43" t="s">
        <v>205</v>
      </c>
      <c r="O59" s="36"/>
      <c r="P59" s="36"/>
      <c r="Q59" s="90" t="s">
        <v>161</v>
      </c>
      <c r="R59" s="90"/>
      <c r="S59" s="237"/>
      <c r="T59" s="223"/>
      <c r="U59" s="223"/>
      <c r="V59" s="224"/>
      <c r="W59" s="225"/>
      <c r="X59" s="226"/>
    </row>
    <row r="60" spans="1:24" s="10" customFormat="1" ht="15" customHeight="1" x14ac:dyDescent="0.35">
      <c r="A60" s="31" t="s">
        <v>87</v>
      </c>
      <c r="B60" s="32" t="s">
        <v>89</v>
      </c>
      <c r="C60" s="36" t="s">
        <v>49</v>
      </c>
      <c r="D60" s="33" t="s">
        <v>363</v>
      </c>
      <c r="E60" s="36" t="s">
        <v>364</v>
      </c>
      <c r="F60" s="36" t="s">
        <v>365</v>
      </c>
      <c r="G60" s="44"/>
      <c r="H60" s="36" t="s">
        <v>366</v>
      </c>
      <c r="I60" s="47"/>
      <c r="J60" s="47"/>
      <c r="K60" s="36" t="s">
        <v>93</v>
      </c>
      <c r="L60" s="38">
        <v>1</v>
      </c>
      <c r="M60" s="36" t="s">
        <v>109</v>
      </c>
      <c r="N60" s="43" t="s">
        <v>205</v>
      </c>
      <c r="O60" s="47"/>
      <c r="P60" s="47"/>
      <c r="Q60" s="90" t="s">
        <v>161</v>
      </c>
      <c r="R60" s="90"/>
      <c r="S60" s="237"/>
      <c r="T60" s="223"/>
      <c r="U60" s="223"/>
      <c r="V60" s="224"/>
      <c r="W60" s="225"/>
      <c r="X60" s="226"/>
    </row>
    <row r="61" spans="1:24" ht="15" customHeight="1" x14ac:dyDescent="0.35">
      <c r="A61" s="31" t="s">
        <v>87</v>
      </c>
      <c r="B61" s="32" t="s">
        <v>89</v>
      </c>
      <c r="C61" s="36" t="s">
        <v>49</v>
      </c>
      <c r="D61" s="33" t="s">
        <v>367</v>
      </c>
      <c r="E61" s="36" t="s">
        <v>368</v>
      </c>
      <c r="F61" s="36" t="s">
        <v>369</v>
      </c>
      <c r="G61" s="44"/>
      <c r="H61" s="36" t="s">
        <v>370</v>
      </c>
      <c r="I61" s="40"/>
      <c r="J61" s="40"/>
      <c r="K61" s="36" t="s">
        <v>151</v>
      </c>
      <c r="L61" s="38">
        <v>10</v>
      </c>
      <c r="M61" s="36" t="s">
        <v>152</v>
      </c>
      <c r="O61" s="40"/>
      <c r="P61" s="40"/>
      <c r="Q61" s="90" t="s">
        <v>161</v>
      </c>
      <c r="R61" s="90"/>
      <c r="S61" s="237" t="s">
        <v>371</v>
      </c>
      <c r="T61" s="223" t="s">
        <v>97</v>
      </c>
      <c r="U61" s="223" t="s">
        <v>97</v>
      </c>
      <c r="V61" s="224"/>
      <c r="W61" s="225"/>
      <c r="X61" s="226"/>
    </row>
    <row r="62" spans="1:24" ht="15" customHeight="1" x14ac:dyDescent="0.35">
      <c r="A62" s="31" t="s">
        <v>87</v>
      </c>
      <c r="B62" s="32" t="s">
        <v>89</v>
      </c>
      <c r="C62" s="36" t="s">
        <v>49</v>
      </c>
      <c r="D62" s="33" t="s">
        <v>372</v>
      </c>
      <c r="E62" s="36" t="s">
        <v>373</v>
      </c>
      <c r="F62" s="36" t="s">
        <v>374</v>
      </c>
      <c r="G62" s="44"/>
      <c r="H62" s="36" t="s">
        <v>375</v>
      </c>
      <c r="I62" s="40"/>
      <c r="J62" s="40"/>
      <c r="K62" s="36" t="s">
        <v>93</v>
      </c>
      <c r="L62" s="38">
        <v>2</v>
      </c>
      <c r="M62" s="36" t="s">
        <v>115</v>
      </c>
      <c r="N62" s="43" t="s">
        <v>376</v>
      </c>
      <c r="O62" s="40"/>
      <c r="P62" s="40"/>
      <c r="Q62" s="90" t="s">
        <v>161</v>
      </c>
      <c r="R62" s="90"/>
      <c r="S62" s="237" t="s">
        <v>371</v>
      </c>
      <c r="T62" s="223" t="s">
        <v>97</v>
      </c>
      <c r="U62" s="223" t="s">
        <v>97</v>
      </c>
      <c r="V62" s="224"/>
      <c r="W62" s="225"/>
      <c r="X62" s="226"/>
    </row>
    <row r="63" spans="1:24" ht="15" customHeight="1" x14ac:dyDescent="0.35">
      <c r="A63" s="31" t="s">
        <v>87</v>
      </c>
      <c r="B63" s="32" t="s">
        <v>89</v>
      </c>
      <c r="C63" s="36" t="s">
        <v>49</v>
      </c>
      <c r="D63" s="33" t="s">
        <v>377</v>
      </c>
      <c r="E63" s="36" t="s">
        <v>378</v>
      </c>
      <c r="F63" s="36" t="s">
        <v>379</v>
      </c>
      <c r="G63" s="44"/>
      <c r="H63" s="36" t="s">
        <v>380</v>
      </c>
      <c r="I63" s="40"/>
      <c r="J63" s="40"/>
      <c r="K63" s="40" t="s">
        <v>151</v>
      </c>
      <c r="L63" s="38">
        <v>10</v>
      </c>
      <c r="M63" s="36" t="s">
        <v>152</v>
      </c>
      <c r="O63" s="40"/>
      <c r="P63" s="40"/>
      <c r="Q63" s="90" t="s">
        <v>161</v>
      </c>
      <c r="R63" s="90"/>
      <c r="S63" s="237" t="s">
        <v>371</v>
      </c>
      <c r="T63" s="223" t="s">
        <v>97</v>
      </c>
      <c r="U63" s="223" t="s">
        <v>97</v>
      </c>
      <c r="V63" s="224"/>
      <c r="W63" s="225"/>
      <c r="X63" s="226"/>
    </row>
    <row r="64" spans="1:24" ht="15" customHeight="1" x14ac:dyDescent="0.35">
      <c r="A64" s="31" t="s">
        <v>87</v>
      </c>
      <c r="B64" s="32" t="s">
        <v>89</v>
      </c>
      <c r="C64" s="36" t="s">
        <v>49</v>
      </c>
      <c r="D64" s="33" t="s">
        <v>381</v>
      </c>
      <c r="E64" s="36" t="s">
        <v>382</v>
      </c>
      <c r="F64" s="36" t="s">
        <v>383</v>
      </c>
      <c r="G64" s="44"/>
      <c r="H64" s="36" t="s">
        <v>384</v>
      </c>
      <c r="I64" s="40"/>
      <c r="J64" s="40"/>
      <c r="K64" s="40" t="s">
        <v>93</v>
      </c>
      <c r="L64" s="38">
        <v>2</v>
      </c>
      <c r="M64" s="36" t="s">
        <v>115</v>
      </c>
      <c r="N64" s="43" t="s">
        <v>376</v>
      </c>
      <c r="O64" s="40"/>
      <c r="P64" s="40"/>
      <c r="Q64" s="90" t="s">
        <v>161</v>
      </c>
      <c r="R64" s="90"/>
      <c r="S64" s="237" t="s">
        <v>371</v>
      </c>
      <c r="T64" s="223" t="s">
        <v>97</v>
      </c>
      <c r="U64" s="223" t="s">
        <v>97</v>
      </c>
      <c r="V64" s="224"/>
      <c r="W64" s="225"/>
      <c r="X64" s="226"/>
    </row>
    <row r="65" spans="1:24" ht="15" customHeight="1" x14ac:dyDescent="0.35">
      <c r="A65" s="31" t="s">
        <v>87</v>
      </c>
      <c r="B65" s="32" t="s">
        <v>89</v>
      </c>
      <c r="C65" s="36" t="s">
        <v>49</v>
      </c>
      <c r="D65" s="33" t="s">
        <v>385</v>
      </c>
      <c r="E65" s="31" t="s">
        <v>386</v>
      </c>
      <c r="F65" s="31" t="s">
        <v>387</v>
      </c>
      <c r="G65" s="61"/>
      <c r="H65" s="31" t="s">
        <v>388</v>
      </c>
      <c r="I65" s="48"/>
      <c r="J65" s="48"/>
      <c r="K65" s="48" t="s">
        <v>151</v>
      </c>
      <c r="L65" s="35">
        <v>10</v>
      </c>
      <c r="M65" s="31" t="s">
        <v>152</v>
      </c>
      <c r="O65" s="48"/>
      <c r="P65" s="48"/>
      <c r="Q65" s="90" t="s">
        <v>161</v>
      </c>
      <c r="R65" s="90"/>
      <c r="S65" s="237" t="s">
        <v>371</v>
      </c>
      <c r="T65" s="223" t="s">
        <v>97</v>
      </c>
      <c r="U65" s="223" t="s">
        <v>97</v>
      </c>
      <c r="V65" s="224"/>
      <c r="W65" s="225"/>
      <c r="X65" s="226"/>
    </row>
    <row r="66" spans="1:24" ht="15" customHeight="1" x14ac:dyDescent="0.35">
      <c r="A66" s="31" t="s">
        <v>87</v>
      </c>
      <c r="B66" s="32" t="s">
        <v>89</v>
      </c>
      <c r="C66" s="36" t="s">
        <v>49</v>
      </c>
      <c r="D66" s="33" t="s">
        <v>389</v>
      </c>
      <c r="E66" s="36" t="s">
        <v>390</v>
      </c>
      <c r="F66" s="36" t="s">
        <v>391</v>
      </c>
      <c r="G66" s="44"/>
      <c r="H66" s="36" t="s">
        <v>392</v>
      </c>
      <c r="I66" s="36"/>
      <c r="J66" s="36"/>
      <c r="K66" s="36" t="s">
        <v>93</v>
      </c>
      <c r="L66" s="38">
        <v>2</v>
      </c>
      <c r="M66" s="36" t="s">
        <v>115</v>
      </c>
      <c r="N66" s="43" t="s">
        <v>393</v>
      </c>
      <c r="O66" s="40"/>
      <c r="P66" s="40"/>
      <c r="Q66" s="90" t="s">
        <v>161</v>
      </c>
      <c r="R66" s="90"/>
      <c r="S66" s="237" t="s">
        <v>371</v>
      </c>
      <c r="T66" s="223" t="s">
        <v>97</v>
      </c>
      <c r="U66" s="223" t="s">
        <v>97</v>
      </c>
      <c r="V66" s="224"/>
      <c r="W66" s="225"/>
      <c r="X66" s="226"/>
    </row>
    <row r="67" spans="1:24" ht="15" customHeight="1" x14ac:dyDescent="0.35">
      <c r="A67" s="31" t="s">
        <v>87</v>
      </c>
      <c r="B67" s="32" t="s">
        <v>89</v>
      </c>
      <c r="C67" s="36" t="s">
        <v>49</v>
      </c>
      <c r="D67" s="33" t="s">
        <v>394</v>
      </c>
      <c r="E67" s="31" t="s">
        <v>395</v>
      </c>
      <c r="F67" s="31" t="s">
        <v>396</v>
      </c>
      <c r="G67" s="61"/>
      <c r="H67" s="31" t="s">
        <v>397</v>
      </c>
      <c r="I67" s="48"/>
      <c r="J67" s="48"/>
      <c r="K67" s="48" t="s">
        <v>151</v>
      </c>
      <c r="L67" s="35">
        <v>10</v>
      </c>
      <c r="M67" s="48" t="s">
        <v>152</v>
      </c>
      <c r="O67" s="48"/>
      <c r="P67" s="48"/>
      <c r="Q67" s="91" t="s">
        <v>161</v>
      </c>
      <c r="R67" s="91"/>
      <c r="S67" s="237" t="s">
        <v>371</v>
      </c>
      <c r="T67" s="223" t="s">
        <v>97</v>
      </c>
      <c r="U67" s="223" t="s">
        <v>97</v>
      </c>
      <c r="V67" s="224"/>
      <c r="W67" s="225"/>
      <c r="X67" s="226"/>
    </row>
    <row r="68" spans="1:24" ht="15" customHeight="1" thickBot="1" x14ac:dyDescent="0.4">
      <c r="A68" s="31" t="s">
        <v>87</v>
      </c>
      <c r="B68" s="32" t="s">
        <v>89</v>
      </c>
      <c r="C68" s="36" t="s">
        <v>49</v>
      </c>
      <c r="D68" s="33" t="s">
        <v>398</v>
      </c>
      <c r="E68" s="36" t="s">
        <v>399</v>
      </c>
      <c r="F68" s="36" t="s">
        <v>400</v>
      </c>
      <c r="G68" s="44"/>
      <c r="H68" s="36" t="s">
        <v>401</v>
      </c>
      <c r="I68" s="36"/>
      <c r="J68" s="36"/>
      <c r="K68" s="36" t="s">
        <v>93</v>
      </c>
      <c r="L68" s="38">
        <v>2</v>
      </c>
      <c r="M68" s="36" t="s">
        <v>115</v>
      </c>
      <c r="N68" s="43" t="s">
        <v>393</v>
      </c>
      <c r="O68" s="40"/>
      <c r="P68" s="40"/>
      <c r="Q68" s="90" t="s">
        <v>161</v>
      </c>
      <c r="R68" s="90"/>
      <c r="S68" s="237" t="s">
        <v>371</v>
      </c>
      <c r="T68" s="223" t="s">
        <v>97</v>
      </c>
      <c r="U68" s="223" t="s">
        <v>97</v>
      </c>
      <c r="V68" s="224"/>
      <c r="W68" s="225"/>
      <c r="X68" s="226"/>
    </row>
    <row r="69" spans="1:24" s="6" customFormat="1" ht="15" customHeight="1" thickBot="1" x14ac:dyDescent="0.4">
      <c r="A69" s="28" t="s">
        <v>87</v>
      </c>
      <c r="B69" s="53" t="s">
        <v>99</v>
      </c>
      <c r="C69" s="28" t="s">
        <v>50</v>
      </c>
      <c r="D69" s="28" t="s">
        <v>402</v>
      </c>
      <c r="E69" s="28" t="s">
        <v>50</v>
      </c>
      <c r="F69" s="30" t="s">
        <v>50</v>
      </c>
      <c r="G69" s="28"/>
      <c r="H69" s="28"/>
      <c r="I69" s="28"/>
      <c r="J69" s="28"/>
      <c r="K69" s="28"/>
      <c r="L69" s="28"/>
      <c r="M69" s="28"/>
      <c r="N69" s="28"/>
      <c r="O69" s="28"/>
      <c r="P69" s="28"/>
      <c r="Q69" s="89"/>
      <c r="R69" s="91"/>
      <c r="S69" s="28"/>
      <c r="T69" s="28"/>
      <c r="U69" s="28"/>
      <c r="V69" s="28"/>
      <c r="W69" s="28"/>
      <c r="X69" s="89"/>
    </row>
    <row r="70" spans="1:24" ht="15" customHeight="1" x14ac:dyDescent="0.35">
      <c r="A70" s="31" t="s">
        <v>87</v>
      </c>
      <c r="B70" s="54" t="s">
        <v>99</v>
      </c>
      <c r="C70" s="40" t="s">
        <v>50</v>
      </c>
      <c r="D70" s="55" t="s">
        <v>89</v>
      </c>
      <c r="E70" s="40" t="s">
        <v>175</v>
      </c>
      <c r="F70" s="37" t="s">
        <v>176</v>
      </c>
      <c r="G70" s="41"/>
      <c r="H70" s="36" t="s">
        <v>177</v>
      </c>
      <c r="I70" s="40"/>
      <c r="J70" s="40"/>
      <c r="K70" s="40" t="s">
        <v>134</v>
      </c>
      <c r="L70" s="42">
        <v>9</v>
      </c>
      <c r="M70" s="40"/>
      <c r="O70" s="40"/>
      <c r="P70" s="40"/>
      <c r="Q70" s="91" t="s">
        <v>79</v>
      </c>
      <c r="R70" s="91"/>
      <c r="S70" s="244" t="s">
        <v>403</v>
      </c>
      <c r="T70" s="233" t="s">
        <v>97</v>
      </c>
      <c r="U70" s="233" t="s">
        <v>97</v>
      </c>
      <c r="V70" s="245"/>
      <c r="W70" s="245"/>
      <c r="X70" s="246"/>
    </row>
    <row r="71" spans="1:24" ht="15" customHeight="1" x14ac:dyDescent="0.35">
      <c r="A71" s="39" t="s">
        <v>87</v>
      </c>
      <c r="B71" s="54" t="s">
        <v>99</v>
      </c>
      <c r="C71" s="40" t="s">
        <v>50</v>
      </c>
      <c r="D71" s="55" t="s">
        <v>99</v>
      </c>
      <c r="E71" s="40" t="s">
        <v>90</v>
      </c>
      <c r="F71" s="37" t="s">
        <v>91</v>
      </c>
      <c r="G71" s="41"/>
      <c r="H71" s="36" t="s">
        <v>404</v>
      </c>
      <c r="I71" s="40"/>
      <c r="J71" s="40"/>
      <c r="K71" s="40" t="s">
        <v>93</v>
      </c>
      <c r="L71" s="42">
        <v>4</v>
      </c>
      <c r="M71" s="40" t="s">
        <v>94</v>
      </c>
      <c r="N71" s="51" t="s">
        <v>95</v>
      </c>
      <c r="O71" s="40"/>
      <c r="P71" s="40"/>
      <c r="Q71" s="91" t="s">
        <v>79</v>
      </c>
      <c r="R71" s="91"/>
      <c r="S71" s="247" t="s">
        <v>405</v>
      </c>
      <c r="T71" s="223" t="s">
        <v>97</v>
      </c>
      <c r="U71" s="223" t="s">
        <v>97</v>
      </c>
      <c r="V71" s="248"/>
      <c r="W71" s="248"/>
      <c r="X71" s="249"/>
    </row>
    <row r="72" spans="1:24" ht="15" customHeight="1" x14ac:dyDescent="0.35">
      <c r="A72" s="39" t="s">
        <v>87</v>
      </c>
      <c r="B72" s="54" t="s">
        <v>99</v>
      </c>
      <c r="C72" s="48" t="s">
        <v>50</v>
      </c>
      <c r="D72" s="55" t="s">
        <v>105</v>
      </c>
      <c r="E72" s="48" t="s">
        <v>100</v>
      </c>
      <c r="F72" s="34" t="s">
        <v>101</v>
      </c>
      <c r="G72" s="49"/>
      <c r="H72" s="31" t="s">
        <v>406</v>
      </c>
      <c r="I72" s="48"/>
      <c r="J72" s="48"/>
      <c r="K72" s="48" t="s">
        <v>93</v>
      </c>
      <c r="L72" s="50">
        <v>6</v>
      </c>
      <c r="M72" s="48" t="s">
        <v>103</v>
      </c>
      <c r="N72" s="51" t="s">
        <v>100</v>
      </c>
      <c r="O72" s="48"/>
      <c r="P72" s="48"/>
      <c r="Q72" s="91" t="s">
        <v>79</v>
      </c>
      <c r="R72" s="91"/>
      <c r="S72" s="247" t="s">
        <v>407</v>
      </c>
      <c r="T72" s="223" t="s">
        <v>123</v>
      </c>
      <c r="U72" s="223" t="s">
        <v>97</v>
      </c>
      <c r="V72" s="248"/>
      <c r="W72" s="248"/>
      <c r="X72" s="249"/>
    </row>
    <row r="73" spans="1:24" ht="15" customHeight="1" x14ac:dyDescent="0.35">
      <c r="A73" s="31" t="s">
        <v>87</v>
      </c>
      <c r="B73" s="54" t="s">
        <v>99</v>
      </c>
      <c r="C73" s="40" t="s">
        <v>50</v>
      </c>
      <c r="D73" s="55" t="s">
        <v>111</v>
      </c>
      <c r="E73" s="40" t="s">
        <v>131</v>
      </c>
      <c r="F73" s="37" t="s">
        <v>132</v>
      </c>
      <c r="G73" s="41"/>
      <c r="H73" s="36" t="s">
        <v>133</v>
      </c>
      <c r="I73" s="40"/>
      <c r="J73" s="40"/>
      <c r="K73" s="40" t="s">
        <v>134</v>
      </c>
      <c r="L73" s="42">
        <v>15</v>
      </c>
      <c r="M73" s="40" t="s">
        <v>135</v>
      </c>
      <c r="O73" s="40"/>
      <c r="P73" s="40"/>
      <c r="Q73" s="91" t="s">
        <v>79</v>
      </c>
      <c r="R73" s="91"/>
      <c r="S73" s="247" t="s">
        <v>136</v>
      </c>
      <c r="T73" s="223" t="s">
        <v>123</v>
      </c>
      <c r="U73" s="223" t="s">
        <v>97</v>
      </c>
      <c r="V73" s="248"/>
      <c r="W73" s="248"/>
      <c r="X73" s="249"/>
    </row>
    <row r="74" spans="1:24" ht="15" customHeight="1" x14ac:dyDescent="0.35">
      <c r="A74" s="31" t="s">
        <v>87</v>
      </c>
      <c r="B74" s="54" t="s">
        <v>99</v>
      </c>
      <c r="C74" s="40" t="s">
        <v>50</v>
      </c>
      <c r="D74" s="55" t="s">
        <v>117</v>
      </c>
      <c r="E74" s="40" t="s">
        <v>138</v>
      </c>
      <c r="F74" s="37" t="s">
        <v>139</v>
      </c>
      <c r="G74" s="41"/>
      <c r="H74" s="36" t="s">
        <v>408</v>
      </c>
      <c r="I74" s="40"/>
      <c r="J74" s="40"/>
      <c r="K74" s="40" t="s">
        <v>134</v>
      </c>
      <c r="L74" s="42">
        <v>25</v>
      </c>
      <c r="M74" s="40" t="s">
        <v>141</v>
      </c>
      <c r="O74" s="40"/>
      <c r="P74" s="40"/>
      <c r="Q74" s="91" t="s">
        <v>79</v>
      </c>
      <c r="R74" s="91"/>
      <c r="S74" s="247" t="s">
        <v>142</v>
      </c>
      <c r="T74" s="223" t="s">
        <v>123</v>
      </c>
      <c r="U74" s="223" t="s">
        <v>97</v>
      </c>
      <c r="V74" s="248"/>
      <c r="W74" s="248"/>
      <c r="X74" s="249"/>
    </row>
    <row r="75" spans="1:24" ht="15" customHeight="1" x14ac:dyDescent="0.35">
      <c r="A75" s="31" t="s">
        <v>87</v>
      </c>
      <c r="B75" s="54" t="s">
        <v>99</v>
      </c>
      <c r="C75" s="40" t="s">
        <v>50</v>
      </c>
      <c r="D75" s="55" t="s">
        <v>125</v>
      </c>
      <c r="E75" s="40" t="s">
        <v>144</v>
      </c>
      <c r="F75" s="37" t="s">
        <v>145</v>
      </c>
      <c r="G75" s="41"/>
      <c r="H75" s="36" t="s">
        <v>409</v>
      </c>
      <c r="I75" s="40"/>
      <c r="J75" s="40"/>
      <c r="K75" s="40" t="s">
        <v>134</v>
      </c>
      <c r="L75" s="42">
        <v>50</v>
      </c>
      <c r="M75" s="40"/>
      <c r="O75" s="40"/>
      <c r="P75" s="40"/>
      <c r="Q75" s="91" t="s">
        <v>79</v>
      </c>
      <c r="R75" s="91"/>
      <c r="S75" s="237" t="s">
        <v>136</v>
      </c>
      <c r="T75" s="223" t="s">
        <v>123</v>
      </c>
      <c r="U75" s="223" t="s">
        <v>97</v>
      </c>
      <c r="V75" s="248"/>
      <c r="W75" s="248"/>
      <c r="X75" s="249"/>
    </row>
    <row r="76" spans="1:24" ht="15" customHeight="1" x14ac:dyDescent="0.35">
      <c r="A76" s="31" t="s">
        <v>87</v>
      </c>
      <c r="B76" s="54" t="s">
        <v>99</v>
      </c>
      <c r="C76" s="40" t="s">
        <v>50</v>
      </c>
      <c r="D76" s="55" t="s">
        <v>130</v>
      </c>
      <c r="E76" s="40" t="s">
        <v>410</v>
      </c>
      <c r="F76" s="37" t="s">
        <v>411</v>
      </c>
      <c r="G76" s="41"/>
      <c r="H76" s="36" t="s">
        <v>412</v>
      </c>
      <c r="I76" s="40"/>
      <c r="J76" s="40"/>
      <c r="K76" s="40" t="s">
        <v>151</v>
      </c>
      <c r="L76" s="42"/>
      <c r="M76" s="40" t="s">
        <v>152</v>
      </c>
      <c r="O76" s="40"/>
      <c r="P76" s="40"/>
      <c r="Q76" s="91" t="s">
        <v>79</v>
      </c>
      <c r="R76" s="91"/>
      <c r="S76" s="247" t="s">
        <v>405</v>
      </c>
      <c r="T76" s="223" t="s">
        <v>123</v>
      </c>
      <c r="U76" s="223" t="s">
        <v>97</v>
      </c>
      <c r="V76" s="248"/>
      <c r="W76" s="248"/>
      <c r="X76" s="249"/>
    </row>
    <row r="77" spans="1:24" ht="15" customHeight="1" x14ac:dyDescent="0.35">
      <c r="A77" s="31" t="s">
        <v>87</v>
      </c>
      <c r="B77" s="54" t="s">
        <v>99</v>
      </c>
      <c r="C77" s="40" t="s">
        <v>50</v>
      </c>
      <c r="D77" s="55" t="s">
        <v>137</v>
      </c>
      <c r="E77" s="40" t="s">
        <v>413</v>
      </c>
      <c r="F77" s="37" t="s">
        <v>414</v>
      </c>
      <c r="G77" s="41"/>
      <c r="H77" s="36" t="s">
        <v>415</v>
      </c>
      <c r="I77" s="40"/>
      <c r="J77" s="40"/>
      <c r="K77" s="40" t="s">
        <v>151</v>
      </c>
      <c r="L77" s="42"/>
      <c r="M77" s="40" t="s">
        <v>152</v>
      </c>
      <c r="O77" s="40"/>
      <c r="P77" s="40"/>
      <c r="Q77" s="91" t="s">
        <v>190</v>
      </c>
      <c r="R77" s="91"/>
      <c r="S77" s="247" t="s">
        <v>405</v>
      </c>
      <c r="T77" s="223" t="s">
        <v>123</v>
      </c>
      <c r="U77" s="223" t="s">
        <v>97</v>
      </c>
      <c r="V77" s="248"/>
      <c r="W77" s="248"/>
      <c r="X77" s="249"/>
    </row>
    <row r="78" spans="1:24" ht="15" customHeight="1" x14ac:dyDescent="0.35">
      <c r="A78" s="39" t="s">
        <v>87</v>
      </c>
      <c r="B78" s="54" t="s">
        <v>99</v>
      </c>
      <c r="C78" s="40" t="s">
        <v>50</v>
      </c>
      <c r="D78" s="55" t="s">
        <v>143</v>
      </c>
      <c r="E78" s="40" t="s">
        <v>416</v>
      </c>
      <c r="F78" s="37" t="s">
        <v>417</v>
      </c>
      <c r="G78" s="41"/>
      <c r="H78" s="36" t="s">
        <v>418</v>
      </c>
      <c r="I78" s="40"/>
      <c r="J78" s="40"/>
      <c r="K78" s="40" t="s">
        <v>93</v>
      </c>
      <c r="L78" s="42">
        <v>2</v>
      </c>
      <c r="M78" s="40" t="s">
        <v>115</v>
      </c>
      <c r="N78" s="51" t="s">
        <v>416</v>
      </c>
      <c r="O78" s="40"/>
      <c r="P78" s="40"/>
      <c r="Q78" s="91" t="s">
        <v>161</v>
      </c>
      <c r="R78" s="91"/>
      <c r="S78" s="247" t="s">
        <v>419</v>
      </c>
      <c r="T78" s="223" t="s">
        <v>123</v>
      </c>
      <c r="U78" s="223" t="s">
        <v>97</v>
      </c>
      <c r="V78" s="248"/>
      <c r="W78" s="248"/>
      <c r="X78" s="249"/>
    </row>
    <row r="79" spans="1:24" ht="15" customHeight="1" x14ac:dyDescent="0.35">
      <c r="A79" s="31" t="s">
        <v>87</v>
      </c>
      <c r="B79" s="54" t="s">
        <v>99</v>
      </c>
      <c r="C79" s="40" t="s">
        <v>50</v>
      </c>
      <c r="D79" s="55" t="s">
        <v>147</v>
      </c>
      <c r="E79" s="40" t="s">
        <v>420</v>
      </c>
      <c r="F79" s="37" t="s">
        <v>421</v>
      </c>
      <c r="G79" s="41"/>
      <c r="H79" s="36" t="s">
        <v>422</v>
      </c>
      <c r="I79" s="40"/>
      <c r="J79" s="40"/>
      <c r="K79" s="40" t="s">
        <v>254</v>
      </c>
      <c r="L79" s="42">
        <v>5</v>
      </c>
      <c r="M79" s="57">
        <v>99.99</v>
      </c>
      <c r="O79" s="40"/>
      <c r="P79" s="40"/>
      <c r="Q79" s="91" t="s">
        <v>79</v>
      </c>
      <c r="R79" s="91"/>
      <c r="S79" s="247" t="s">
        <v>423</v>
      </c>
      <c r="T79" s="223" t="s">
        <v>123</v>
      </c>
      <c r="U79" s="223" t="s">
        <v>97</v>
      </c>
      <c r="V79" s="248"/>
      <c r="W79" s="248"/>
      <c r="X79" s="249"/>
    </row>
    <row r="80" spans="1:24" ht="15" customHeight="1" x14ac:dyDescent="0.35">
      <c r="A80" s="31" t="s">
        <v>87</v>
      </c>
      <c r="B80" s="54" t="s">
        <v>99</v>
      </c>
      <c r="C80" s="40" t="s">
        <v>50</v>
      </c>
      <c r="D80" s="55" t="s">
        <v>153</v>
      </c>
      <c r="E80" s="40" t="s">
        <v>424</v>
      </c>
      <c r="F80" s="37" t="s">
        <v>425</v>
      </c>
      <c r="G80" s="41"/>
      <c r="H80" s="36" t="s">
        <v>426</v>
      </c>
      <c r="I80" s="40"/>
      <c r="J80" s="40"/>
      <c r="K80" s="40" t="s">
        <v>254</v>
      </c>
      <c r="L80" s="42">
        <v>5</v>
      </c>
      <c r="M80" s="57">
        <v>99.99</v>
      </c>
      <c r="O80" s="40" t="s">
        <v>88</v>
      </c>
      <c r="P80" s="40" t="s">
        <v>427</v>
      </c>
      <c r="Q80" s="91" t="s">
        <v>161</v>
      </c>
      <c r="R80" s="91"/>
      <c r="S80" s="247" t="s">
        <v>423</v>
      </c>
      <c r="T80" s="223" t="s">
        <v>123</v>
      </c>
      <c r="U80" s="223" t="s">
        <v>97</v>
      </c>
      <c r="V80" s="248"/>
      <c r="W80" s="248"/>
      <c r="X80" s="249"/>
    </row>
    <row r="81" spans="1:24" ht="15" customHeight="1" x14ac:dyDescent="0.35">
      <c r="A81" s="31" t="s">
        <v>87</v>
      </c>
      <c r="B81" s="54" t="s">
        <v>99</v>
      </c>
      <c r="C81" s="40" t="s">
        <v>50</v>
      </c>
      <c r="D81" s="55" t="s">
        <v>157</v>
      </c>
      <c r="E81" s="40" t="s">
        <v>428</v>
      </c>
      <c r="F81" s="37" t="s">
        <v>429</v>
      </c>
      <c r="G81" s="41"/>
      <c r="H81" s="36" t="s">
        <v>430</v>
      </c>
      <c r="I81" s="40"/>
      <c r="J81" s="40"/>
      <c r="K81" s="40" t="s">
        <v>93</v>
      </c>
      <c r="L81" s="42">
        <v>1</v>
      </c>
      <c r="M81" s="57" t="s">
        <v>109</v>
      </c>
      <c r="N81" s="43" t="s">
        <v>205</v>
      </c>
      <c r="O81" s="40"/>
      <c r="P81" s="40"/>
      <c r="Q81" s="91" t="s">
        <v>161</v>
      </c>
      <c r="R81" s="91"/>
      <c r="S81" s="247"/>
      <c r="T81" s="223"/>
      <c r="U81" s="223"/>
      <c r="V81" s="248"/>
      <c r="W81" s="248"/>
      <c r="X81" s="249"/>
    </row>
    <row r="82" spans="1:24" ht="15" customHeight="1" x14ac:dyDescent="0.35">
      <c r="A82" s="31" t="s">
        <v>87</v>
      </c>
      <c r="B82" s="54" t="s">
        <v>99</v>
      </c>
      <c r="C82" s="40" t="s">
        <v>50</v>
      </c>
      <c r="D82" s="55" t="s">
        <v>163</v>
      </c>
      <c r="E82" s="40" t="s">
        <v>431</v>
      </c>
      <c r="F82" s="37" t="s">
        <v>432</v>
      </c>
      <c r="G82" s="41"/>
      <c r="H82" s="36" t="s">
        <v>433</v>
      </c>
      <c r="I82" s="40"/>
      <c r="J82" s="40"/>
      <c r="K82" s="40" t="s">
        <v>134</v>
      </c>
      <c r="L82" s="42">
        <v>4</v>
      </c>
      <c r="M82" s="40" t="s">
        <v>434</v>
      </c>
      <c r="O82" s="40"/>
      <c r="P82" s="40"/>
      <c r="Q82" s="91" t="s">
        <v>161</v>
      </c>
      <c r="R82" s="91"/>
      <c r="S82" s="247" t="s">
        <v>423</v>
      </c>
      <c r="T82" s="223" t="s">
        <v>123</v>
      </c>
      <c r="U82" s="223" t="s">
        <v>97</v>
      </c>
      <c r="V82" s="248"/>
      <c r="W82" s="248"/>
      <c r="X82" s="249"/>
    </row>
    <row r="83" spans="1:24" ht="15" customHeight="1" x14ac:dyDescent="0.35">
      <c r="A83" s="31" t="s">
        <v>87</v>
      </c>
      <c r="B83" s="54" t="s">
        <v>99</v>
      </c>
      <c r="C83" s="36" t="s">
        <v>50</v>
      </c>
      <c r="D83" s="55" t="s">
        <v>167</v>
      </c>
      <c r="E83" s="36" t="s">
        <v>435</v>
      </c>
      <c r="F83" s="37" t="s">
        <v>436</v>
      </c>
      <c r="G83" s="44"/>
      <c r="H83" s="36" t="s">
        <v>437</v>
      </c>
      <c r="I83" s="36"/>
      <c r="J83" s="36"/>
      <c r="K83" s="36" t="s">
        <v>93</v>
      </c>
      <c r="L83" s="38">
        <v>1</v>
      </c>
      <c r="M83" s="36" t="s">
        <v>109</v>
      </c>
      <c r="N83" s="43" t="s">
        <v>205</v>
      </c>
      <c r="O83" s="40"/>
      <c r="P83" s="40"/>
      <c r="Q83" s="90" t="s">
        <v>161</v>
      </c>
      <c r="R83" s="90"/>
      <c r="S83" s="247" t="s">
        <v>423</v>
      </c>
      <c r="T83" s="223" t="s">
        <v>97</v>
      </c>
      <c r="U83" s="223" t="s">
        <v>97</v>
      </c>
      <c r="V83" s="248"/>
      <c r="W83" s="248"/>
      <c r="X83" s="249"/>
    </row>
    <row r="84" spans="1:24" ht="15" customHeight="1" x14ac:dyDescent="0.35">
      <c r="A84" s="31" t="s">
        <v>87</v>
      </c>
      <c r="B84" s="54" t="s">
        <v>99</v>
      </c>
      <c r="C84" s="36" t="s">
        <v>50</v>
      </c>
      <c r="D84" s="55" t="s">
        <v>171</v>
      </c>
      <c r="E84" s="36" t="s">
        <v>438</v>
      </c>
      <c r="F84" s="37" t="s">
        <v>439</v>
      </c>
      <c r="G84" s="44"/>
      <c r="H84" s="36" t="s">
        <v>440</v>
      </c>
      <c r="I84" s="36"/>
      <c r="J84" s="36"/>
      <c r="K84" s="36" t="s">
        <v>93</v>
      </c>
      <c r="L84" s="38">
        <v>1</v>
      </c>
      <c r="M84" s="36" t="s">
        <v>109</v>
      </c>
      <c r="N84" s="43" t="s">
        <v>205</v>
      </c>
      <c r="O84" s="40"/>
      <c r="P84" s="40"/>
      <c r="Q84" s="90" t="s">
        <v>161</v>
      </c>
      <c r="R84" s="90"/>
      <c r="S84" s="247" t="s">
        <v>423</v>
      </c>
      <c r="T84" s="223" t="s">
        <v>97</v>
      </c>
      <c r="U84" s="223" t="s">
        <v>97</v>
      </c>
      <c r="V84" s="248"/>
      <c r="W84" s="248" t="s">
        <v>441</v>
      </c>
      <c r="X84" s="249"/>
    </row>
    <row r="85" spans="1:24" ht="15" customHeight="1" x14ac:dyDescent="0.35">
      <c r="A85" s="31" t="s">
        <v>87</v>
      </c>
      <c r="B85" s="54" t="s">
        <v>99</v>
      </c>
      <c r="C85" s="48" t="s">
        <v>50</v>
      </c>
      <c r="D85" s="55" t="s">
        <v>231</v>
      </c>
      <c r="E85" s="48" t="s">
        <v>442</v>
      </c>
      <c r="F85" s="34" t="s">
        <v>443</v>
      </c>
      <c r="G85" s="49"/>
      <c r="H85" s="31" t="s">
        <v>444</v>
      </c>
      <c r="I85" s="48"/>
      <c r="J85" s="48"/>
      <c r="K85" s="48" t="s">
        <v>121</v>
      </c>
      <c r="L85" s="50">
        <v>1</v>
      </c>
      <c r="M85" s="49">
        <v>9</v>
      </c>
      <c r="O85" s="48"/>
      <c r="P85" s="48"/>
      <c r="Q85" s="91" t="s">
        <v>161</v>
      </c>
      <c r="R85" s="91"/>
      <c r="S85" s="247" t="s">
        <v>423</v>
      </c>
      <c r="T85" s="223" t="s">
        <v>97</v>
      </c>
      <c r="U85" s="223" t="s">
        <v>97</v>
      </c>
      <c r="V85" s="248"/>
      <c r="W85" s="248" t="s">
        <v>441</v>
      </c>
      <c r="X85" s="249"/>
    </row>
    <row r="86" spans="1:24" ht="15" customHeight="1" thickBot="1" x14ac:dyDescent="0.4">
      <c r="A86" s="31" t="s">
        <v>87</v>
      </c>
      <c r="B86" s="54" t="s">
        <v>99</v>
      </c>
      <c r="C86" s="36" t="s">
        <v>50</v>
      </c>
      <c r="D86" s="55" t="s">
        <v>238</v>
      </c>
      <c r="E86" s="36" t="s">
        <v>445</v>
      </c>
      <c r="F86" s="37" t="s">
        <v>446</v>
      </c>
      <c r="G86" s="44"/>
      <c r="H86" s="36" t="s">
        <v>447</v>
      </c>
      <c r="I86" s="36"/>
      <c r="J86" s="36"/>
      <c r="K86" s="36" t="s">
        <v>93</v>
      </c>
      <c r="L86" s="38">
        <v>4</v>
      </c>
      <c r="M86" s="36" t="s">
        <v>94</v>
      </c>
      <c r="N86" s="43" t="s">
        <v>448</v>
      </c>
      <c r="O86" s="40"/>
      <c r="P86" s="40"/>
      <c r="Q86" s="90" t="s">
        <v>161</v>
      </c>
      <c r="R86" s="90"/>
      <c r="S86" s="250" t="s">
        <v>423</v>
      </c>
      <c r="T86" s="251" t="s">
        <v>97</v>
      </c>
      <c r="U86" s="251" t="s">
        <v>97</v>
      </c>
      <c r="V86" s="252"/>
      <c r="W86" s="252" t="s">
        <v>441</v>
      </c>
      <c r="X86" s="253"/>
    </row>
    <row r="87" spans="1:24" s="6" customFormat="1" ht="15" customHeight="1" thickBot="1" x14ac:dyDescent="0.4">
      <c r="A87" s="28" t="s">
        <v>87</v>
      </c>
      <c r="B87" s="53" t="s">
        <v>105</v>
      </c>
      <c r="C87" s="28" t="s">
        <v>51</v>
      </c>
      <c r="D87" s="58" t="s">
        <v>88</v>
      </c>
      <c r="E87" s="28" t="s">
        <v>51</v>
      </c>
      <c r="F87" s="30" t="s">
        <v>51</v>
      </c>
      <c r="G87" s="28" t="b">
        <v>0</v>
      </c>
      <c r="H87" s="28"/>
      <c r="I87" s="28"/>
      <c r="J87" s="28"/>
      <c r="K87" s="28"/>
      <c r="L87" s="28"/>
      <c r="M87" s="28"/>
      <c r="N87" s="28"/>
      <c r="O87" s="28"/>
      <c r="P87" s="28"/>
      <c r="Q87" s="89"/>
      <c r="R87" s="91"/>
      <c r="S87" s="28"/>
      <c r="T87" s="28"/>
      <c r="U87" s="28"/>
      <c r="V87" s="28"/>
      <c r="W87" s="28"/>
      <c r="X87" s="89"/>
    </row>
    <row r="88" spans="1:24" ht="15" customHeight="1" x14ac:dyDescent="0.35">
      <c r="A88" s="31" t="s">
        <v>87</v>
      </c>
      <c r="B88" s="54" t="s">
        <v>105</v>
      </c>
      <c r="C88" s="48" t="s">
        <v>51</v>
      </c>
      <c r="D88" s="56" t="s">
        <v>89</v>
      </c>
      <c r="E88" s="48" t="s">
        <v>175</v>
      </c>
      <c r="F88" s="37" t="s">
        <v>176</v>
      </c>
      <c r="G88" s="49"/>
      <c r="H88" s="31" t="s">
        <v>177</v>
      </c>
      <c r="I88" s="48"/>
      <c r="J88" s="48"/>
      <c r="K88" s="48" t="s">
        <v>134</v>
      </c>
      <c r="L88" s="50">
        <v>9</v>
      </c>
      <c r="M88" s="48" t="s">
        <v>449</v>
      </c>
      <c r="O88" s="48"/>
      <c r="P88" s="48"/>
      <c r="Q88" s="91" t="s">
        <v>79</v>
      </c>
      <c r="R88" s="91"/>
      <c r="S88" s="247" t="s">
        <v>178</v>
      </c>
      <c r="T88" s="223" t="s">
        <v>97</v>
      </c>
      <c r="U88" s="223" t="s">
        <v>97</v>
      </c>
      <c r="V88" s="248" t="s">
        <v>98</v>
      </c>
      <c r="W88" s="248"/>
      <c r="X88" s="249"/>
    </row>
    <row r="89" spans="1:24" ht="15" customHeight="1" x14ac:dyDescent="0.35">
      <c r="A89" s="39" t="s">
        <v>87</v>
      </c>
      <c r="B89" s="54" t="s">
        <v>105</v>
      </c>
      <c r="C89" s="40" t="s">
        <v>51</v>
      </c>
      <c r="D89" s="56" t="s">
        <v>99</v>
      </c>
      <c r="E89" s="40" t="s">
        <v>450</v>
      </c>
      <c r="F89" s="37" t="s">
        <v>91</v>
      </c>
      <c r="G89" s="41"/>
      <c r="H89" s="36" t="s">
        <v>451</v>
      </c>
      <c r="I89" s="40"/>
      <c r="J89" s="40"/>
      <c r="K89" s="40" t="s">
        <v>93</v>
      </c>
      <c r="L89" s="42">
        <v>4</v>
      </c>
      <c r="M89" s="40" t="s">
        <v>94</v>
      </c>
      <c r="N89" s="51" t="s">
        <v>95</v>
      </c>
      <c r="O89" s="40"/>
      <c r="P89" s="40"/>
      <c r="Q89" s="91" t="s">
        <v>79</v>
      </c>
      <c r="R89" s="91"/>
      <c r="S89" s="247" t="s">
        <v>178</v>
      </c>
      <c r="T89" s="223" t="s">
        <v>97</v>
      </c>
      <c r="U89" s="223" t="s">
        <v>97</v>
      </c>
      <c r="V89" s="248" t="s">
        <v>98</v>
      </c>
      <c r="W89" s="248"/>
      <c r="X89" s="249"/>
    </row>
    <row r="90" spans="1:24" ht="15" customHeight="1" x14ac:dyDescent="0.35">
      <c r="A90" s="31" t="s">
        <v>87</v>
      </c>
      <c r="B90" s="54" t="s">
        <v>105</v>
      </c>
      <c r="C90" s="40" t="s">
        <v>51</v>
      </c>
      <c r="D90" s="56" t="s">
        <v>105</v>
      </c>
      <c r="E90" s="40" t="s">
        <v>452</v>
      </c>
      <c r="F90" s="37" t="s">
        <v>453</v>
      </c>
      <c r="G90" s="41"/>
      <c r="H90" s="36" t="s">
        <v>454</v>
      </c>
      <c r="I90" s="40"/>
      <c r="J90" s="40"/>
      <c r="K90" s="40" t="s">
        <v>121</v>
      </c>
      <c r="L90" s="42">
        <v>15</v>
      </c>
      <c r="M90" s="52" t="s">
        <v>455</v>
      </c>
      <c r="O90" s="40" t="s">
        <v>89</v>
      </c>
      <c r="P90" s="40" t="s">
        <v>94</v>
      </c>
      <c r="Q90" s="91" t="s">
        <v>79</v>
      </c>
      <c r="R90" s="91"/>
      <c r="S90" s="247" t="s">
        <v>178</v>
      </c>
      <c r="T90" s="223" t="s">
        <v>97</v>
      </c>
      <c r="U90" s="223" t="s">
        <v>97</v>
      </c>
      <c r="V90" s="248" t="s">
        <v>98</v>
      </c>
      <c r="W90" s="248"/>
      <c r="X90" s="249"/>
    </row>
    <row r="91" spans="1:24" ht="15" customHeight="1" x14ac:dyDescent="0.35">
      <c r="A91" s="31" t="s">
        <v>87</v>
      </c>
      <c r="B91" s="54" t="s">
        <v>105</v>
      </c>
      <c r="C91" s="40" t="s">
        <v>51</v>
      </c>
      <c r="D91" s="56" t="s">
        <v>111</v>
      </c>
      <c r="E91" s="40" t="s">
        <v>151</v>
      </c>
      <c r="F91" s="37" t="s">
        <v>456</v>
      </c>
      <c r="G91" s="41"/>
      <c r="H91" s="36" t="s">
        <v>457</v>
      </c>
      <c r="I91" s="40"/>
      <c r="J91" s="40"/>
      <c r="K91" s="40" t="s">
        <v>151</v>
      </c>
      <c r="L91" s="42">
        <v>10</v>
      </c>
      <c r="M91" s="40" t="s">
        <v>152</v>
      </c>
      <c r="O91" s="40"/>
      <c r="P91" s="40"/>
      <c r="Q91" s="91" t="s">
        <v>79</v>
      </c>
      <c r="R91" s="91"/>
      <c r="S91" s="247" t="s">
        <v>178</v>
      </c>
      <c r="T91" s="223" t="s">
        <v>97</v>
      </c>
      <c r="U91" s="223" t="s">
        <v>97</v>
      </c>
      <c r="V91" s="248" t="s">
        <v>98</v>
      </c>
      <c r="W91" s="248"/>
      <c r="X91" s="249"/>
    </row>
    <row r="92" spans="1:24" ht="15" customHeight="1" thickBot="1" x14ac:dyDescent="0.4">
      <c r="A92" s="31" t="s">
        <v>87</v>
      </c>
      <c r="B92" s="54" t="s">
        <v>105</v>
      </c>
      <c r="C92" s="40" t="s">
        <v>51</v>
      </c>
      <c r="D92" s="56" t="s">
        <v>117</v>
      </c>
      <c r="E92" s="40" t="s">
        <v>458</v>
      </c>
      <c r="F92" s="37" t="s">
        <v>459</v>
      </c>
      <c r="G92" s="41"/>
      <c r="H92" s="36" t="s">
        <v>460</v>
      </c>
      <c r="I92" s="40"/>
      <c r="J92" s="40"/>
      <c r="K92" s="40" t="s">
        <v>461</v>
      </c>
      <c r="L92" s="42">
        <v>6</v>
      </c>
      <c r="M92" s="40" t="s">
        <v>462</v>
      </c>
      <c r="O92" s="40" t="s">
        <v>88</v>
      </c>
      <c r="P92" s="40" t="s">
        <v>157</v>
      </c>
      <c r="Q92" s="91" t="s">
        <v>79</v>
      </c>
      <c r="R92" s="91"/>
      <c r="S92" s="247" t="s">
        <v>463</v>
      </c>
      <c r="T92" s="223" t="s">
        <v>97</v>
      </c>
      <c r="U92" s="223" t="s">
        <v>97</v>
      </c>
      <c r="V92" s="248" t="s">
        <v>98</v>
      </c>
      <c r="W92" s="248"/>
      <c r="X92" s="249"/>
    </row>
    <row r="93" spans="1:24" s="6" customFormat="1" ht="15" customHeight="1" thickBot="1" x14ac:dyDescent="0.4">
      <c r="A93" s="28" t="s">
        <v>87</v>
      </c>
      <c r="B93" s="53" t="s">
        <v>111</v>
      </c>
      <c r="C93" s="28" t="s">
        <v>52</v>
      </c>
      <c r="D93" s="58" t="s">
        <v>88</v>
      </c>
      <c r="E93" s="28" t="s">
        <v>52</v>
      </c>
      <c r="F93" s="30" t="s">
        <v>464</v>
      </c>
      <c r="G93" s="28" t="b">
        <v>0</v>
      </c>
      <c r="H93" s="28"/>
      <c r="I93" s="28"/>
      <c r="J93" s="28"/>
      <c r="K93" s="28"/>
      <c r="L93" s="28"/>
      <c r="M93" s="28"/>
      <c r="N93" s="28"/>
      <c r="O93" s="28"/>
      <c r="P93" s="28"/>
      <c r="Q93" s="89"/>
      <c r="R93" s="91"/>
      <c r="S93" s="28"/>
      <c r="T93" s="28"/>
      <c r="U93" s="28"/>
      <c r="V93" s="28"/>
      <c r="W93" s="28"/>
      <c r="X93" s="89"/>
    </row>
    <row r="94" spans="1:24" ht="15" customHeight="1" x14ac:dyDescent="0.35">
      <c r="A94" s="31" t="s">
        <v>87</v>
      </c>
      <c r="B94" s="54" t="s">
        <v>111</v>
      </c>
      <c r="C94" s="48" t="s">
        <v>52</v>
      </c>
      <c r="D94" s="56" t="s">
        <v>89</v>
      </c>
      <c r="E94" s="48" t="s">
        <v>452</v>
      </c>
      <c r="F94" s="34" t="s">
        <v>453</v>
      </c>
      <c r="G94" s="49"/>
      <c r="H94" s="48" t="s">
        <v>465</v>
      </c>
      <c r="I94" s="48"/>
      <c r="J94" s="48"/>
      <c r="K94" s="48" t="s">
        <v>121</v>
      </c>
      <c r="L94" s="50">
        <v>15</v>
      </c>
      <c r="M94" s="59" t="s">
        <v>455</v>
      </c>
      <c r="O94" s="48" t="s">
        <v>89</v>
      </c>
      <c r="P94" s="59" t="s">
        <v>455</v>
      </c>
      <c r="Q94" s="91" t="s">
        <v>79</v>
      </c>
      <c r="R94" s="91"/>
      <c r="S94" s="247" t="s">
        <v>178</v>
      </c>
      <c r="T94" s="223" t="s">
        <v>97</v>
      </c>
      <c r="U94" s="223" t="s">
        <v>97</v>
      </c>
      <c r="V94" s="248" t="s">
        <v>98</v>
      </c>
      <c r="W94" s="248"/>
      <c r="X94" s="249" t="s">
        <v>51</v>
      </c>
    </row>
    <row r="95" spans="1:24" ht="15" customHeight="1" x14ac:dyDescent="0.35">
      <c r="A95" s="39" t="s">
        <v>87</v>
      </c>
      <c r="B95" s="54" t="s">
        <v>111</v>
      </c>
      <c r="C95" s="36" t="s">
        <v>52</v>
      </c>
      <c r="D95" s="56" t="s">
        <v>99</v>
      </c>
      <c r="E95" s="36" t="s">
        <v>22</v>
      </c>
      <c r="F95" s="37" t="s">
        <v>466</v>
      </c>
      <c r="G95" s="44"/>
      <c r="H95" s="36" t="s">
        <v>467</v>
      </c>
      <c r="I95" s="36"/>
      <c r="J95" s="36"/>
      <c r="K95" s="36" t="s">
        <v>93</v>
      </c>
      <c r="L95" s="60" t="s">
        <v>468</v>
      </c>
      <c r="M95" s="36" t="s">
        <v>469</v>
      </c>
      <c r="N95" s="51" t="s">
        <v>22</v>
      </c>
      <c r="O95" s="40"/>
      <c r="P95" s="40"/>
      <c r="Q95" s="90" t="s">
        <v>79</v>
      </c>
      <c r="R95" s="90"/>
      <c r="S95" s="247" t="s">
        <v>178</v>
      </c>
      <c r="T95" s="223" t="s">
        <v>97</v>
      </c>
      <c r="U95" s="223" t="s">
        <v>97</v>
      </c>
      <c r="V95" s="248" t="s">
        <v>98</v>
      </c>
      <c r="W95" s="248"/>
      <c r="X95" s="249" t="s">
        <v>51</v>
      </c>
    </row>
    <row r="96" spans="1:24" ht="15" customHeight="1" x14ac:dyDescent="0.35">
      <c r="A96" s="31" t="s">
        <v>87</v>
      </c>
      <c r="B96" s="54" t="s">
        <v>111</v>
      </c>
      <c r="C96" s="48" t="s">
        <v>52</v>
      </c>
      <c r="D96" s="56" t="s">
        <v>105</v>
      </c>
      <c r="E96" s="48" t="s">
        <v>470</v>
      </c>
      <c r="F96" s="34" t="s">
        <v>471</v>
      </c>
      <c r="G96" s="49"/>
      <c r="H96" s="48" t="s">
        <v>472</v>
      </c>
      <c r="I96" s="48"/>
      <c r="J96" s="48"/>
      <c r="K96" s="48" t="s">
        <v>93</v>
      </c>
      <c r="L96" s="50">
        <v>1</v>
      </c>
      <c r="M96" s="48" t="s">
        <v>109</v>
      </c>
      <c r="N96" s="43" t="s">
        <v>470</v>
      </c>
      <c r="O96" s="48"/>
      <c r="P96" s="48"/>
      <c r="Q96" s="91" t="s">
        <v>161</v>
      </c>
      <c r="R96" s="91"/>
      <c r="S96" s="247" t="s">
        <v>178</v>
      </c>
      <c r="T96" s="223" t="s">
        <v>97</v>
      </c>
      <c r="U96" s="223" t="s">
        <v>97</v>
      </c>
      <c r="V96" s="248" t="s">
        <v>98</v>
      </c>
      <c r="W96" s="248"/>
      <c r="X96" s="249" t="s">
        <v>51</v>
      </c>
    </row>
    <row r="97" spans="1:24" ht="15" customHeight="1" x14ac:dyDescent="0.35">
      <c r="A97" s="31" t="s">
        <v>87</v>
      </c>
      <c r="B97" s="54" t="s">
        <v>111</v>
      </c>
      <c r="C97" s="40" t="s">
        <v>52</v>
      </c>
      <c r="D97" s="56" t="s">
        <v>111</v>
      </c>
      <c r="E97" s="40" t="s">
        <v>151</v>
      </c>
      <c r="F97" s="37" t="s">
        <v>456</v>
      </c>
      <c r="G97" s="41"/>
      <c r="H97" s="40" t="s">
        <v>473</v>
      </c>
      <c r="I97" s="40"/>
      <c r="J97" s="40"/>
      <c r="K97" s="40" t="s">
        <v>151</v>
      </c>
      <c r="L97" s="42">
        <v>10</v>
      </c>
      <c r="M97" s="40" t="s">
        <v>152</v>
      </c>
      <c r="O97" s="40"/>
      <c r="P97" s="40"/>
      <c r="Q97" s="91" t="s">
        <v>79</v>
      </c>
      <c r="R97" s="91"/>
      <c r="S97" s="247" t="s">
        <v>178</v>
      </c>
      <c r="T97" s="223" t="s">
        <v>97</v>
      </c>
      <c r="U97" s="223" t="s">
        <v>97</v>
      </c>
      <c r="V97" s="248" t="s">
        <v>98</v>
      </c>
      <c r="W97" s="248"/>
      <c r="X97" s="249" t="s">
        <v>51</v>
      </c>
    </row>
    <row r="98" spans="1:24" ht="15" customHeight="1" x14ac:dyDescent="0.35">
      <c r="A98" s="31" t="s">
        <v>87</v>
      </c>
      <c r="B98" s="54" t="s">
        <v>111</v>
      </c>
      <c r="C98" s="40" t="s">
        <v>52</v>
      </c>
      <c r="D98" s="56" t="s">
        <v>117</v>
      </c>
      <c r="E98" s="40" t="s">
        <v>474</v>
      </c>
      <c r="F98" s="37" t="s">
        <v>475</v>
      </c>
      <c r="G98" s="41"/>
      <c r="H98" s="40" t="s">
        <v>476</v>
      </c>
      <c r="I98" s="40"/>
      <c r="J98" s="40"/>
      <c r="K98" s="40" t="s">
        <v>461</v>
      </c>
      <c r="L98" s="42">
        <v>4</v>
      </c>
      <c r="M98" s="40" t="s">
        <v>477</v>
      </c>
      <c r="O98" s="40" t="s">
        <v>88</v>
      </c>
      <c r="P98" s="40" t="s">
        <v>157</v>
      </c>
      <c r="Q98" s="91" t="s">
        <v>79</v>
      </c>
      <c r="R98" s="91"/>
      <c r="S98" s="247" t="s">
        <v>178</v>
      </c>
      <c r="T98" s="223" t="s">
        <v>97</v>
      </c>
      <c r="U98" s="223" t="s">
        <v>97</v>
      </c>
      <c r="V98" s="248" t="s">
        <v>98</v>
      </c>
      <c r="W98" s="248"/>
      <c r="X98" s="249" t="s">
        <v>51</v>
      </c>
    </row>
    <row r="99" spans="1:24" ht="15" customHeight="1" x14ac:dyDescent="0.35">
      <c r="A99" s="31" t="s">
        <v>87</v>
      </c>
      <c r="B99" s="54" t="s">
        <v>111</v>
      </c>
      <c r="C99" s="40" t="s">
        <v>52</v>
      </c>
      <c r="D99" s="56" t="s">
        <v>125</v>
      </c>
      <c r="E99" s="40" t="s">
        <v>478</v>
      </c>
      <c r="F99" s="37" t="s">
        <v>479</v>
      </c>
      <c r="G99" s="41"/>
      <c r="H99" s="40" t="s">
        <v>480</v>
      </c>
      <c r="I99" s="40"/>
      <c r="J99" s="40"/>
      <c r="K99" s="40" t="s">
        <v>461</v>
      </c>
      <c r="L99" s="42">
        <v>4</v>
      </c>
      <c r="M99" s="40" t="s">
        <v>477</v>
      </c>
      <c r="O99" s="40"/>
      <c r="P99" s="40"/>
      <c r="Q99" s="91" t="s">
        <v>79</v>
      </c>
      <c r="R99" s="91"/>
      <c r="S99" s="247" t="s">
        <v>178</v>
      </c>
      <c r="T99" s="223" t="s">
        <v>97</v>
      </c>
      <c r="U99" s="223" t="s">
        <v>97</v>
      </c>
      <c r="V99" s="248" t="s">
        <v>98</v>
      </c>
      <c r="W99" s="248"/>
      <c r="X99" s="249" t="s">
        <v>51</v>
      </c>
    </row>
    <row r="100" spans="1:24" ht="15" customHeight="1" thickBot="1" x14ac:dyDescent="0.4">
      <c r="A100" s="31" t="s">
        <v>87</v>
      </c>
      <c r="B100" s="54" t="s">
        <v>111</v>
      </c>
      <c r="C100" s="40" t="s">
        <v>52</v>
      </c>
      <c r="D100" s="56" t="s">
        <v>130</v>
      </c>
      <c r="E100" s="40" t="s">
        <v>481</v>
      </c>
      <c r="F100" s="37" t="s">
        <v>482</v>
      </c>
      <c r="G100" s="41"/>
      <c r="H100" s="40" t="s">
        <v>483</v>
      </c>
      <c r="I100" s="40"/>
      <c r="J100" s="40"/>
      <c r="K100" s="40" t="s">
        <v>461</v>
      </c>
      <c r="L100" s="42">
        <v>4</v>
      </c>
      <c r="M100" s="40" t="s">
        <v>477</v>
      </c>
      <c r="O100" s="40"/>
      <c r="P100" s="40"/>
      <c r="Q100" s="91" t="s">
        <v>79</v>
      </c>
      <c r="R100" s="91"/>
      <c r="S100" s="247" t="s">
        <v>178</v>
      </c>
      <c r="T100" s="223" t="s">
        <v>97</v>
      </c>
      <c r="U100" s="223" t="s">
        <v>97</v>
      </c>
      <c r="V100" s="248" t="s">
        <v>98</v>
      </c>
      <c r="W100" s="248"/>
      <c r="X100" s="249" t="s">
        <v>51</v>
      </c>
    </row>
    <row r="101" spans="1:24" s="6" customFormat="1" ht="15" customHeight="1" thickBot="1" x14ac:dyDescent="0.4">
      <c r="A101" s="28" t="s">
        <v>87</v>
      </c>
      <c r="B101" s="53" t="s">
        <v>117</v>
      </c>
      <c r="C101" s="28" t="s">
        <v>53</v>
      </c>
      <c r="D101" s="58" t="s">
        <v>88</v>
      </c>
      <c r="E101" s="28" t="s">
        <v>53</v>
      </c>
      <c r="F101" s="30" t="s">
        <v>484</v>
      </c>
      <c r="G101" s="28"/>
      <c r="H101" s="28"/>
      <c r="I101" s="28"/>
      <c r="J101" s="28"/>
      <c r="K101" s="28"/>
      <c r="L101" s="28"/>
      <c r="M101" s="28"/>
      <c r="N101" s="28"/>
      <c r="O101" s="28"/>
      <c r="P101" s="28"/>
      <c r="Q101" s="89"/>
      <c r="R101" s="91"/>
      <c r="S101" s="28"/>
      <c r="T101" s="28"/>
      <c r="U101" s="28"/>
      <c r="V101" s="28"/>
      <c r="W101" s="28"/>
      <c r="X101" s="89"/>
    </row>
    <row r="102" spans="1:24" ht="15" customHeight="1" x14ac:dyDescent="0.35">
      <c r="A102" s="31" t="s">
        <v>87</v>
      </c>
      <c r="B102" s="54" t="s">
        <v>117</v>
      </c>
      <c r="C102" s="40" t="s">
        <v>53</v>
      </c>
      <c r="D102" s="56" t="s">
        <v>89</v>
      </c>
      <c r="E102" s="40" t="s">
        <v>175</v>
      </c>
      <c r="F102" s="37" t="s">
        <v>176</v>
      </c>
      <c r="G102" s="41"/>
      <c r="H102" s="40" t="s">
        <v>177</v>
      </c>
      <c r="I102" s="40"/>
      <c r="J102" s="40"/>
      <c r="K102" s="40" t="s">
        <v>134</v>
      </c>
      <c r="L102" s="42">
        <v>9</v>
      </c>
      <c r="M102" s="40"/>
      <c r="O102" s="40"/>
      <c r="P102" s="40"/>
      <c r="Q102" s="91" t="s">
        <v>79</v>
      </c>
      <c r="R102" s="91"/>
      <c r="S102" s="237" t="s">
        <v>136</v>
      </c>
      <c r="T102" s="223" t="s">
        <v>97</v>
      </c>
      <c r="U102" s="223" t="s">
        <v>97</v>
      </c>
      <c r="V102" s="224" t="s">
        <v>98</v>
      </c>
      <c r="W102" s="224"/>
      <c r="X102" s="226"/>
    </row>
    <row r="103" spans="1:24" ht="15" customHeight="1" x14ac:dyDescent="0.35">
      <c r="A103" s="39" t="s">
        <v>87</v>
      </c>
      <c r="B103" s="54" t="s">
        <v>117</v>
      </c>
      <c r="C103" s="40" t="s">
        <v>53</v>
      </c>
      <c r="D103" s="56" t="s">
        <v>99</v>
      </c>
      <c r="E103" s="40" t="s">
        <v>485</v>
      </c>
      <c r="F103" s="37" t="s">
        <v>486</v>
      </c>
      <c r="G103" s="41"/>
      <c r="H103" s="127" t="s">
        <v>487</v>
      </c>
      <c r="I103" s="40"/>
      <c r="J103" s="40"/>
      <c r="K103" s="40" t="s">
        <v>93</v>
      </c>
      <c r="L103" s="42">
        <v>4</v>
      </c>
      <c r="M103" s="40" t="s">
        <v>94</v>
      </c>
      <c r="N103" s="51" t="s">
        <v>95</v>
      </c>
      <c r="O103" s="40"/>
      <c r="P103" s="40"/>
      <c r="Q103" s="91" t="s">
        <v>79</v>
      </c>
      <c r="R103" s="91"/>
      <c r="S103" s="237" t="s">
        <v>488</v>
      </c>
      <c r="T103" s="223" t="s">
        <v>97</v>
      </c>
      <c r="U103" s="223" t="s">
        <v>97</v>
      </c>
      <c r="V103" s="224" t="s">
        <v>98</v>
      </c>
      <c r="W103" s="224"/>
      <c r="X103" s="226"/>
    </row>
    <row r="104" spans="1:24" ht="15" customHeight="1" x14ac:dyDescent="0.35">
      <c r="A104" s="39" t="s">
        <v>87</v>
      </c>
      <c r="B104" s="54" t="s">
        <v>117</v>
      </c>
      <c r="C104" s="40" t="s">
        <v>53</v>
      </c>
      <c r="D104" s="56" t="s">
        <v>105</v>
      </c>
      <c r="E104" s="40" t="s">
        <v>489</v>
      </c>
      <c r="F104" s="37" t="s">
        <v>490</v>
      </c>
      <c r="G104" s="41"/>
      <c r="H104" s="40" t="s">
        <v>491</v>
      </c>
      <c r="I104" s="40"/>
      <c r="J104" s="40"/>
      <c r="K104" s="40" t="s">
        <v>93</v>
      </c>
      <c r="L104" s="42">
        <v>4</v>
      </c>
      <c r="M104" s="40" t="s">
        <v>94</v>
      </c>
      <c r="N104" s="51" t="s">
        <v>95</v>
      </c>
      <c r="O104" s="40"/>
      <c r="P104" s="40"/>
      <c r="Q104" s="91" t="s">
        <v>79</v>
      </c>
      <c r="R104" s="91"/>
      <c r="S104" s="237" t="s">
        <v>488</v>
      </c>
      <c r="T104" s="223" t="s">
        <v>97</v>
      </c>
      <c r="U104" s="223" t="s">
        <v>97</v>
      </c>
      <c r="V104" s="224" t="s">
        <v>98</v>
      </c>
      <c r="W104" s="224"/>
      <c r="X104" s="226"/>
    </row>
    <row r="105" spans="1:24" ht="15" customHeight="1" x14ac:dyDescent="0.35">
      <c r="A105" s="31" t="s">
        <v>87</v>
      </c>
      <c r="B105" s="54" t="s">
        <v>117</v>
      </c>
      <c r="C105" s="40" t="s">
        <v>53</v>
      </c>
      <c r="D105" s="56" t="s">
        <v>111</v>
      </c>
      <c r="E105" s="40" t="s">
        <v>492</v>
      </c>
      <c r="F105" s="37" t="s">
        <v>493</v>
      </c>
      <c r="G105" s="41"/>
      <c r="H105" s="40" t="s">
        <v>494</v>
      </c>
      <c r="I105" s="40"/>
      <c r="J105" s="40"/>
      <c r="K105" s="40" t="s">
        <v>93</v>
      </c>
      <c r="L105" s="42">
        <v>2</v>
      </c>
      <c r="M105" s="40"/>
      <c r="N105" s="43" t="s">
        <v>495</v>
      </c>
      <c r="O105" s="40"/>
      <c r="P105" s="40"/>
      <c r="Q105" s="91" t="s">
        <v>161</v>
      </c>
      <c r="R105" s="91"/>
      <c r="S105" s="237" t="s">
        <v>488</v>
      </c>
      <c r="T105" s="223" t="s">
        <v>97</v>
      </c>
      <c r="U105" s="223" t="s">
        <v>97</v>
      </c>
      <c r="V105" s="224" t="s">
        <v>496</v>
      </c>
      <c r="W105" s="224"/>
      <c r="X105" s="226"/>
    </row>
    <row r="106" spans="1:24" ht="15" customHeight="1" x14ac:dyDescent="0.35">
      <c r="A106" s="39" t="s">
        <v>87</v>
      </c>
      <c r="B106" s="54" t="s">
        <v>117</v>
      </c>
      <c r="C106" s="40" t="s">
        <v>53</v>
      </c>
      <c r="D106" s="56" t="s">
        <v>117</v>
      </c>
      <c r="E106" s="40" t="s">
        <v>497</v>
      </c>
      <c r="F106" s="37" t="s">
        <v>498</v>
      </c>
      <c r="G106" s="41"/>
      <c r="H106" s="36" t="s">
        <v>499</v>
      </c>
      <c r="I106" s="40"/>
      <c r="J106" s="40"/>
      <c r="K106" s="40" t="s">
        <v>93</v>
      </c>
      <c r="L106" s="42">
        <v>2</v>
      </c>
      <c r="M106" s="40"/>
      <c r="N106" s="51" t="s">
        <v>500</v>
      </c>
      <c r="O106" s="40"/>
      <c r="P106" s="40"/>
      <c r="Q106" s="91" t="s">
        <v>161</v>
      </c>
      <c r="R106" s="91"/>
      <c r="S106" s="237" t="s">
        <v>488</v>
      </c>
      <c r="T106" s="223" t="s">
        <v>97</v>
      </c>
      <c r="U106" s="223" t="s">
        <v>97</v>
      </c>
      <c r="V106" s="224" t="s">
        <v>496</v>
      </c>
      <c r="W106" s="224"/>
      <c r="X106" s="226"/>
    </row>
    <row r="107" spans="1:24" ht="15" customHeight="1" x14ac:dyDescent="0.35">
      <c r="A107" s="31" t="s">
        <v>87</v>
      </c>
      <c r="B107" s="54" t="s">
        <v>117</v>
      </c>
      <c r="C107" s="40" t="s">
        <v>53</v>
      </c>
      <c r="D107" s="56" t="s">
        <v>125</v>
      </c>
      <c r="E107" s="40" t="s">
        <v>118</v>
      </c>
      <c r="F107" s="37" t="s">
        <v>501</v>
      </c>
      <c r="G107" s="41"/>
      <c r="H107" s="40" t="s">
        <v>502</v>
      </c>
      <c r="I107" s="40"/>
      <c r="J107" s="40"/>
      <c r="K107" s="40" t="s">
        <v>121</v>
      </c>
      <c r="L107" s="42">
        <v>4</v>
      </c>
      <c r="M107" s="40" t="s">
        <v>94</v>
      </c>
      <c r="O107" s="40" t="s">
        <v>88</v>
      </c>
      <c r="P107" s="40" t="s">
        <v>503</v>
      </c>
      <c r="Q107" s="91" t="s">
        <v>161</v>
      </c>
      <c r="R107" s="91"/>
      <c r="S107" s="237" t="s">
        <v>488</v>
      </c>
      <c r="T107" s="223" t="s">
        <v>123</v>
      </c>
      <c r="U107" s="223" t="s">
        <v>97</v>
      </c>
      <c r="V107" s="224" t="s">
        <v>98</v>
      </c>
      <c r="W107" s="224"/>
      <c r="X107" s="226"/>
    </row>
    <row r="108" spans="1:24" ht="15" customHeight="1" x14ac:dyDescent="0.35">
      <c r="A108" s="31" t="s">
        <v>87</v>
      </c>
      <c r="B108" s="54" t="s">
        <v>117</v>
      </c>
      <c r="C108" s="36" t="s">
        <v>53</v>
      </c>
      <c r="D108" s="56" t="s">
        <v>130</v>
      </c>
      <c r="E108" s="36" t="s">
        <v>504</v>
      </c>
      <c r="F108" s="37" t="s">
        <v>505</v>
      </c>
      <c r="G108" s="1"/>
      <c r="H108" s="36" t="s">
        <v>506</v>
      </c>
      <c r="I108" s="36"/>
      <c r="J108" s="36"/>
      <c r="K108" s="36" t="s">
        <v>93</v>
      </c>
      <c r="L108" s="38">
        <v>1</v>
      </c>
      <c r="M108" s="36" t="s">
        <v>109</v>
      </c>
      <c r="N108" s="43" t="s">
        <v>205</v>
      </c>
      <c r="O108" s="36"/>
      <c r="P108" s="36"/>
      <c r="Q108" s="90" t="s">
        <v>161</v>
      </c>
      <c r="R108" s="90"/>
      <c r="S108" s="237" t="s">
        <v>488</v>
      </c>
      <c r="T108" s="223" t="s">
        <v>97</v>
      </c>
      <c r="U108" s="223" t="s">
        <v>97</v>
      </c>
      <c r="V108" s="224" t="s">
        <v>98</v>
      </c>
      <c r="W108" s="224"/>
      <c r="X108" s="226"/>
    </row>
    <row r="109" spans="1:24" ht="15" customHeight="1" x14ac:dyDescent="0.35">
      <c r="A109" s="31" t="s">
        <v>87</v>
      </c>
      <c r="B109" s="54" t="s">
        <v>117</v>
      </c>
      <c r="C109" s="40" t="s">
        <v>53</v>
      </c>
      <c r="D109" s="56" t="s">
        <v>137</v>
      </c>
      <c r="E109" s="40" t="s">
        <v>507</v>
      </c>
      <c r="F109" s="37" t="s">
        <v>508</v>
      </c>
      <c r="G109" s="41"/>
      <c r="H109" s="36" t="s">
        <v>509</v>
      </c>
      <c r="I109" s="40"/>
      <c r="J109" s="40"/>
      <c r="K109" s="40" t="s">
        <v>93</v>
      </c>
      <c r="L109" s="42">
        <v>1</v>
      </c>
      <c r="M109" s="36" t="s">
        <v>109</v>
      </c>
      <c r="N109" s="43" t="s">
        <v>205</v>
      </c>
      <c r="O109" s="40"/>
      <c r="P109" s="40"/>
      <c r="Q109" s="91" t="s">
        <v>161</v>
      </c>
      <c r="R109" s="91"/>
      <c r="S109" s="237" t="s">
        <v>488</v>
      </c>
      <c r="T109" s="223" t="s">
        <v>97</v>
      </c>
      <c r="U109" s="223" t="s">
        <v>97</v>
      </c>
      <c r="V109" s="224" t="s">
        <v>98</v>
      </c>
      <c r="W109" s="224"/>
      <c r="X109" s="226"/>
    </row>
    <row r="110" spans="1:24" ht="15" customHeight="1" x14ac:dyDescent="0.35">
      <c r="A110" s="31" t="s">
        <v>87</v>
      </c>
      <c r="B110" s="54" t="s">
        <v>117</v>
      </c>
      <c r="C110" s="40" t="s">
        <v>53</v>
      </c>
      <c r="D110" s="56" t="s">
        <v>143</v>
      </c>
      <c r="E110" s="40" t="s">
        <v>510</v>
      </c>
      <c r="F110" s="37" t="s">
        <v>511</v>
      </c>
      <c r="G110" s="41"/>
      <c r="H110" s="36" t="s">
        <v>512</v>
      </c>
      <c r="I110" s="40"/>
      <c r="J110" s="40"/>
      <c r="K110" s="40" t="s">
        <v>121</v>
      </c>
      <c r="L110" s="42">
        <v>3</v>
      </c>
      <c r="M110" s="40" t="s">
        <v>513</v>
      </c>
      <c r="O110" s="40"/>
      <c r="P110" s="40"/>
      <c r="Q110" s="91" t="s">
        <v>161</v>
      </c>
      <c r="R110" s="91" t="s">
        <v>514</v>
      </c>
      <c r="S110" s="237" t="s">
        <v>488</v>
      </c>
      <c r="T110" s="223" t="s">
        <v>97</v>
      </c>
      <c r="U110" s="223" t="s">
        <v>97</v>
      </c>
      <c r="V110" s="224" t="s">
        <v>98</v>
      </c>
      <c r="W110" s="224"/>
      <c r="X110" s="226"/>
    </row>
    <row r="111" spans="1:24" ht="15" customHeight="1" x14ac:dyDescent="0.35">
      <c r="A111" s="31" t="s">
        <v>87</v>
      </c>
      <c r="B111" s="54" t="s">
        <v>117</v>
      </c>
      <c r="C111" s="48" t="s">
        <v>53</v>
      </c>
      <c r="D111" s="56" t="s">
        <v>147</v>
      </c>
      <c r="E111" s="48" t="s">
        <v>515</v>
      </c>
      <c r="F111" s="34" t="s">
        <v>516</v>
      </c>
      <c r="G111" s="49"/>
      <c r="H111" s="48" t="s">
        <v>517</v>
      </c>
      <c r="I111" s="48"/>
      <c r="J111" s="48"/>
      <c r="K111" s="48" t="s">
        <v>93</v>
      </c>
      <c r="L111" s="50">
        <v>2</v>
      </c>
      <c r="M111" s="48" t="s">
        <v>115</v>
      </c>
      <c r="N111" s="43" t="s">
        <v>518</v>
      </c>
      <c r="O111" s="48"/>
      <c r="P111" s="48"/>
      <c r="Q111" s="91" t="s">
        <v>161</v>
      </c>
      <c r="R111" s="91"/>
      <c r="S111" s="237" t="s">
        <v>488</v>
      </c>
      <c r="T111" s="223" t="s">
        <v>97</v>
      </c>
      <c r="U111" s="223" t="s">
        <v>97</v>
      </c>
      <c r="V111" s="224" t="s">
        <v>98</v>
      </c>
      <c r="W111" s="224"/>
      <c r="X111" s="226"/>
    </row>
    <row r="112" spans="1:24" ht="15" customHeight="1" x14ac:dyDescent="0.35">
      <c r="A112" s="31" t="s">
        <v>87</v>
      </c>
      <c r="B112" s="54" t="s">
        <v>117</v>
      </c>
      <c r="C112" s="40" t="s">
        <v>53</v>
      </c>
      <c r="D112" s="56" t="s">
        <v>153</v>
      </c>
      <c r="E112" s="40" t="s">
        <v>519</v>
      </c>
      <c r="F112" s="37" t="s">
        <v>520</v>
      </c>
      <c r="G112" s="41"/>
      <c r="H112" s="40" t="s">
        <v>521</v>
      </c>
      <c r="I112" s="40"/>
      <c r="J112" s="40"/>
      <c r="K112" s="40" t="s">
        <v>134</v>
      </c>
      <c r="L112" s="42">
        <v>250</v>
      </c>
      <c r="M112" s="40"/>
      <c r="O112" s="40"/>
      <c r="P112" s="40"/>
      <c r="Q112" s="91" t="s">
        <v>161</v>
      </c>
      <c r="R112" s="91"/>
      <c r="S112" s="237" t="s">
        <v>488</v>
      </c>
      <c r="T112" s="223" t="s">
        <v>97</v>
      </c>
      <c r="U112" s="223" t="s">
        <v>97</v>
      </c>
      <c r="V112" s="224" t="s">
        <v>98</v>
      </c>
      <c r="W112" s="224"/>
      <c r="X112" s="226"/>
    </row>
    <row r="113" spans="1:24" ht="15" customHeight="1" x14ac:dyDescent="0.35">
      <c r="A113" s="31" t="s">
        <v>87</v>
      </c>
      <c r="B113" s="54" t="s">
        <v>117</v>
      </c>
      <c r="C113" s="40" t="s">
        <v>53</v>
      </c>
      <c r="D113" s="56" t="s">
        <v>157</v>
      </c>
      <c r="E113" s="40" t="s">
        <v>522</v>
      </c>
      <c r="F113" s="37" t="s">
        <v>523</v>
      </c>
      <c r="G113" s="41"/>
      <c r="H113" s="40" t="s">
        <v>524</v>
      </c>
      <c r="I113" s="40"/>
      <c r="J113" s="40"/>
      <c r="K113" s="40" t="s">
        <v>151</v>
      </c>
      <c r="L113" s="42">
        <v>10</v>
      </c>
      <c r="M113" s="40" t="s">
        <v>152</v>
      </c>
      <c r="O113" s="40"/>
      <c r="P113" s="40"/>
      <c r="Q113" s="91" t="s">
        <v>161</v>
      </c>
      <c r="R113" s="91"/>
      <c r="S113" s="237" t="s">
        <v>488</v>
      </c>
      <c r="T113" s="223" t="s">
        <v>97</v>
      </c>
      <c r="U113" s="223" t="s">
        <v>97</v>
      </c>
      <c r="V113" s="224" t="s">
        <v>98</v>
      </c>
      <c r="W113" s="224"/>
      <c r="X113" s="226"/>
    </row>
    <row r="114" spans="1:24" ht="15" customHeight="1" x14ac:dyDescent="0.35">
      <c r="A114" s="31" t="s">
        <v>87</v>
      </c>
      <c r="B114" s="54" t="s">
        <v>117</v>
      </c>
      <c r="C114" s="40" t="s">
        <v>53</v>
      </c>
      <c r="D114" s="56" t="s">
        <v>163</v>
      </c>
      <c r="E114" s="40" t="s">
        <v>525</v>
      </c>
      <c r="F114" s="37" t="s">
        <v>526</v>
      </c>
      <c r="G114" s="41"/>
      <c r="H114" s="40" t="s">
        <v>527</v>
      </c>
      <c r="I114" s="40"/>
      <c r="J114" s="40"/>
      <c r="K114" s="40" t="s">
        <v>151</v>
      </c>
      <c r="L114" s="42">
        <v>10</v>
      </c>
      <c r="M114" s="40" t="s">
        <v>152</v>
      </c>
      <c r="O114" s="40"/>
      <c r="P114" s="40"/>
      <c r="Q114" s="91" t="s">
        <v>161</v>
      </c>
      <c r="R114" s="91"/>
      <c r="S114" s="237" t="s">
        <v>488</v>
      </c>
      <c r="T114" s="223" t="s">
        <v>97</v>
      </c>
      <c r="U114" s="223" t="s">
        <v>97</v>
      </c>
      <c r="V114" s="224" t="s">
        <v>98</v>
      </c>
      <c r="W114" s="224"/>
      <c r="X114" s="226"/>
    </row>
    <row r="115" spans="1:24" ht="15" customHeight="1" x14ac:dyDescent="0.35">
      <c r="A115" s="31" t="s">
        <v>87</v>
      </c>
      <c r="B115" s="54" t="s">
        <v>117</v>
      </c>
      <c r="C115" s="48" t="s">
        <v>53</v>
      </c>
      <c r="D115" s="56" t="s">
        <v>167</v>
      </c>
      <c r="E115" s="48" t="s">
        <v>528</v>
      </c>
      <c r="F115" s="34" t="s">
        <v>529</v>
      </c>
      <c r="G115" s="49"/>
      <c r="H115" s="48" t="s">
        <v>530</v>
      </c>
      <c r="I115" s="48"/>
      <c r="J115" s="48"/>
      <c r="K115" s="40" t="s">
        <v>151</v>
      </c>
      <c r="L115" s="42">
        <v>10</v>
      </c>
      <c r="M115" s="40" t="s">
        <v>152</v>
      </c>
      <c r="O115" s="48"/>
      <c r="P115" s="48"/>
      <c r="Q115" s="91" t="s">
        <v>161</v>
      </c>
      <c r="R115" s="91"/>
      <c r="S115" s="237" t="s">
        <v>488</v>
      </c>
      <c r="T115" s="223" t="s">
        <v>97</v>
      </c>
      <c r="U115" s="223" t="s">
        <v>97</v>
      </c>
      <c r="V115" s="224" t="s">
        <v>531</v>
      </c>
      <c r="W115" s="224"/>
      <c r="X115" s="226"/>
    </row>
    <row r="116" spans="1:24" ht="15" customHeight="1" x14ac:dyDescent="0.35">
      <c r="A116" s="31" t="s">
        <v>87</v>
      </c>
      <c r="B116" s="54" t="s">
        <v>117</v>
      </c>
      <c r="C116" s="31" t="s">
        <v>53</v>
      </c>
      <c r="D116" s="56" t="s">
        <v>171</v>
      </c>
      <c r="E116" s="31" t="s">
        <v>532</v>
      </c>
      <c r="F116" s="34" t="s">
        <v>533</v>
      </c>
      <c r="G116" s="61"/>
      <c r="H116" s="31" t="s">
        <v>534</v>
      </c>
      <c r="I116" s="31"/>
      <c r="J116" s="31"/>
      <c r="K116" s="31" t="s">
        <v>151</v>
      </c>
      <c r="L116" s="35">
        <v>10</v>
      </c>
      <c r="M116" s="31" t="s">
        <v>152</v>
      </c>
      <c r="O116" s="31"/>
      <c r="P116" s="31"/>
      <c r="Q116" s="90" t="s">
        <v>161</v>
      </c>
      <c r="R116" s="90"/>
      <c r="S116" s="237" t="s">
        <v>488</v>
      </c>
      <c r="T116" s="223" t="s">
        <v>97</v>
      </c>
      <c r="U116" s="223" t="s">
        <v>97</v>
      </c>
      <c r="V116" s="224" t="s">
        <v>98</v>
      </c>
      <c r="W116" s="224"/>
      <c r="X116" s="226"/>
    </row>
    <row r="117" spans="1:24" ht="15" customHeight="1" x14ac:dyDescent="0.35">
      <c r="A117" s="31" t="s">
        <v>87</v>
      </c>
      <c r="B117" s="54" t="s">
        <v>117</v>
      </c>
      <c r="C117" s="36" t="s">
        <v>53</v>
      </c>
      <c r="D117" s="56" t="s">
        <v>231</v>
      </c>
      <c r="E117" s="36" t="s">
        <v>535</v>
      </c>
      <c r="F117" s="37" t="s">
        <v>536</v>
      </c>
      <c r="G117" s="44"/>
      <c r="H117" s="36" t="s">
        <v>537</v>
      </c>
      <c r="I117" s="36"/>
      <c r="J117" s="36"/>
      <c r="K117" s="36" t="s">
        <v>93</v>
      </c>
      <c r="L117" s="38">
        <v>1</v>
      </c>
      <c r="M117" s="36" t="s">
        <v>109</v>
      </c>
      <c r="N117" s="43" t="s">
        <v>205</v>
      </c>
      <c r="O117" s="40"/>
      <c r="P117" s="40"/>
      <c r="Q117" s="90" t="s">
        <v>161</v>
      </c>
      <c r="R117" s="90"/>
      <c r="S117" s="237" t="s">
        <v>488</v>
      </c>
      <c r="T117" s="223" t="s">
        <v>97</v>
      </c>
      <c r="U117" s="223" t="s">
        <v>97</v>
      </c>
      <c r="V117" s="224" t="s">
        <v>98</v>
      </c>
      <c r="W117" s="224"/>
      <c r="X117" s="226"/>
    </row>
    <row r="118" spans="1:24" ht="15" customHeight="1" x14ac:dyDescent="0.35">
      <c r="A118" s="31" t="s">
        <v>87</v>
      </c>
      <c r="B118" s="54" t="s">
        <v>117</v>
      </c>
      <c r="C118" s="40" t="s">
        <v>53</v>
      </c>
      <c r="D118" s="56" t="s">
        <v>238</v>
      </c>
      <c r="E118" s="40" t="s">
        <v>538</v>
      </c>
      <c r="F118" s="37" t="s">
        <v>539</v>
      </c>
      <c r="G118" s="41"/>
      <c r="H118" s="40" t="s">
        <v>540</v>
      </c>
      <c r="I118" s="40"/>
      <c r="J118" s="40"/>
      <c r="K118" s="40" t="s">
        <v>121</v>
      </c>
      <c r="L118" s="42">
        <v>3</v>
      </c>
      <c r="M118" s="40" t="s">
        <v>513</v>
      </c>
      <c r="O118" s="40"/>
      <c r="P118" s="40"/>
      <c r="Q118" s="91" t="s">
        <v>161</v>
      </c>
      <c r="R118" s="91"/>
      <c r="S118" s="237" t="s">
        <v>488</v>
      </c>
      <c r="T118" s="223" t="s">
        <v>97</v>
      </c>
      <c r="U118" s="223" t="s">
        <v>97</v>
      </c>
      <c r="V118" s="224" t="s">
        <v>98</v>
      </c>
      <c r="W118" s="224"/>
      <c r="X118" s="226"/>
    </row>
    <row r="119" spans="1:24" ht="15" customHeight="1" x14ac:dyDescent="0.35">
      <c r="A119" s="31" t="s">
        <v>87</v>
      </c>
      <c r="B119" s="54" t="s">
        <v>117</v>
      </c>
      <c r="C119" s="40" t="s">
        <v>53</v>
      </c>
      <c r="D119" s="56" t="s">
        <v>244</v>
      </c>
      <c r="E119" s="40" t="s">
        <v>541</v>
      </c>
      <c r="F119" s="37" t="s">
        <v>542</v>
      </c>
      <c r="G119" s="41"/>
      <c r="H119" s="40" t="s">
        <v>543</v>
      </c>
      <c r="I119" s="40"/>
      <c r="J119" s="40"/>
      <c r="K119" s="40" t="s">
        <v>93</v>
      </c>
      <c r="L119" s="42">
        <v>2</v>
      </c>
      <c r="M119" s="40" t="s">
        <v>115</v>
      </c>
      <c r="N119" s="43" t="s">
        <v>544</v>
      </c>
      <c r="O119" s="40"/>
      <c r="P119" s="40"/>
      <c r="Q119" s="91" t="s">
        <v>161</v>
      </c>
      <c r="R119" s="91"/>
      <c r="S119" s="237" t="s">
        <v>488</v>
      </c>
      <c r="T119" s="223" t="s">
        <v>97</v>
      </c>
      <c r="U119" s="223" t="s">
        <v>97</v>
      </c>
      <c r="V119" s="224" t="s">
        <v>98</v>
      </c>
      <c r="W119" s="224"/>
      <c r="X119" s="226"/>
    </row>
    <row r="120" spans="1:24" ht="15" customHeight="1" x14ac:dyDescent="0.35">
      <c r="A120" s="31" t="s">
        <v>87</v>
      </c>
      <c r="B120" s="54" t="s">
        <v>117</v>
      </c>
      <c r="C120" s="40" t="s">
        <v>53</v>
      </c>
      <c r="D120" s="56" t="s">
        <v>248</v>
      </c>
      <c r="E120" s="40" t="s">
        <v>545</v>
      </c>
      <c r="F120" s="37" t="s">
        <v>546</v>
      </c>
      <c r="G120" s="41"/>
      <c r="H120" s="40" t="s">
        <v>547</v>
      </c>
      <c r="I120" s="40"/>
      <c r="J120" s="40"/>
      <c r="K120" s="40" t="s">
        <v>93</v>
      </c>
      <c r="L120" s="42">
        <v>2</v>
      </c>
      <c r="M120" s="40" t="s">
        <v>115</v>
      </c>
      <c r="N120" s="43" t="s">
        <v>548</v>
      </c>
      <c r="O120" s="40"/>
      <c r="P120" s="40"/>
      <c r="Q120" s="91" t="s">
        <v>161</v>
      </c>
      <c r="R120" s="91"/>
      <c r="S120" s="237" t="s">
        <v>488</v>
      </c>
      <c r="T120" s="223" t="s">
        <v>97</v>
      </c>
      <c r="U120" s="223" t="s">
        <v>97</v>
      </c>
      <c r="V120" s="224" t="s">
        <v>98</v>
      </c>
      <c r="W120" s="224"/>
      <c r="X120" s="226"/>
    </row>
    <row r="121" spans="1:24" ht="15" customHeight="1" x14ac:dyDescent="0.35">
      <c r="A121" s="31" t="s">
        <v>87</v>
      </c>
      <c r="B121" s="54" t="s">
        <v>117</v>
      </c>
      <c r="C121" s="36" t="s">
        <v>53</v>
      </c>
      <c r="D121" s="56" t="s">
        <v>259</v>
      </c>
      <c r="E121" s="36" t="s">
        <v>549</v>
      </c>
      <c r="F121" s="37" t="s">
        <v>550</v>
      </c>
      <c r="G121" s="44"/>
      <c r="H121" s="36" t="s">
        <v>551</v>
      </c>
      <c r="I121" s="36"/>
      <c r="J121" s="36"/>
      <c r="K121" s="36" t="s">
        <v>93</v>
      </c>
      <c r="L121" s="38">
        <v>1</v>
      </c>
      <c r="M121" s="36" t="s">
        <v>109</v>
      </c>
      <c r="N121" s="43" t="s">
        <v>552</v>
      </c>
      <c r="O121" s="36"/>
      <c r="P121" s="36"/>
      <c r="Q121" s="90" t="s">
        <v>79</v>
      </c>
      <c r="R121" s="90"/>
      <c r="S121" s="237" t="s">
        <v>488</v>
      </c>
      <c r="T121" s="223" t="s">
        <v>97</v>
      </c>
      <c r="U121" s="223" t="s">
        <v>97</v>
      </c>
      <c r="V121" s="224" t="s">
        <v>98</v>
      </c>
      <c r="W121" s="224"/>
      <c r="X121" s="226"/>
    </row>
    <row r="122" spans="1:24" ht="15" customHeight="1" x14ac:dyDescent="0.35">
      <c r="A122" s="31" t="s">
        <v>87</v>
      </c>
      <c r="B122" s="54" t="s">
        <v>117</v>
      </c>
      <c r="C122" s="31" t="s">
        <v>53</v>
      </c>
      <c r="D122" s="56" t="s">
        <v>265</v>
      </c>
      <c r="E122" s="31" t="s">
        <v>553</v>
      </c>
      <c r="F122" s="34" t="s">
        <v>554</v>
      </c>
      <c r="G122" s="61"/>
      <c r="H122" s="31" t="s">
        <v>555</v>
      </c>
      <c r="I122" s="31"/>
      <c r="J122" s="31"/>
      <c r="K122" s="31" t="s">
        <v>93</v>
      </c>
      <c r="L122" s="35">
        <v>2</v>
      </c>
      <c r="M122" s="31" t="s">
        <v>109</v>
      </c>
      <c r="N122" s="43" t="s">
        <v>553</v>
      </c>
      <c r="O122" s="48"/>
      <c r="P122" s="48"/>
      <c r="Q122" s="90" t="s">
        <v>161</v>
      </c>
      <c r="R122" s="90"/>
      <c r="S122" s="237" t="s">
        <v>488</v>
      </c>
      <c r="T122" s="223" t="s">
        <v>97</v>
      </c>
      <c r="U122" s="223" t="s">
        <v>97</v>
      </c>
      <c r="V122" s="224" t="s">
        <v>98</v>
      </c>
      <c r="W122" s="224"/>
      <c r="X122" s="226"/>
    </row>
    <row r="123" spans="1:24" ht="15" customHeight="1" x14ac:dyDescent="0.35">
      <c r="A123" s="39" t="s">
        <v>87</v>
      </c>
      <c r="B123" s="54" t="s">
        <v>117</v>
      </c>
      <c r="C123" s="40" t="s">
        <v>53</v>
      </c>
      <c r="D123" s="56" t="s">
        <v>269</v>
      </c>
      <c r="E123" s="40" t="s">
        <v>556</v>
      </c>
      <c r="F123" s="37" t="s">
        <v>557</v>
      </c>
      <c r="G123" s="41"/>
      <c r="H123" s="40" t="s">
        <v>558</v>
      </c>
      <c r="I123" s="40"/>
      <c r="J123" s="40"/>
      <c r="K123" s="40" t="s">
        <v>93</v>
      </c>
      <c r="L123" s="42">
        <v>1</v>
      </c>
      <c r="M123" s="40"/>
      <c r="N123" s="51" t="s">
        <v>559</v>
      </c>
      <c r="O123" s="40"/>
      <c r="P123" s="40"/>
      <c r="Q123" s="90" t="s">
        <v>161</v>
      </c>
      <c r="R123" s="90"/>
      <c r="S123" s="237" t="s">
        <v>488</v>
      </c>
      <c r="T123" s="223" t="s">
        <v>97</v>
      </c>
      <c r="U123" s="223" t="s">
        <v>97</v>
      </c>
      <c r="V123" s="224" t="s">
        <v>98</v>
      </c>
      <c r="W123" s="224"/>
      <c r="X123" s="226"/>
    </row>
    <row r="124" spans="1:24" ht="15" customHeight="1" x14ac:dyDescent="0.35">
      <c r="A124" s="31" t="s">
        <v>87</v>
      </c>
      <c r="B124" s="54" t="s">
        <v>117</v>
      </c>
      <c r="C124" s="31" t="s">
        <v>53</v>
      </c>
      <c r="D124" s="56" t="s">
        <v>273</v>
      </c>
      <c r="E124" s="31" t="s">
        <v>560</v>
      </c>
      <c r="F124" s="34" t="s">
        <v>561</v>
      </c>
      <c r="G124" s="61"/>
      <c r="H124" s="31" t="s">
        <v>562</v>
      </c>
      <c r="I124" s="31"/>
      <c r="J124" s="31"/>
      <c r="K124" s="31" t="s">
        <v>151</v>
      </c>
      <c r="L124" s="35">
        <v>10</v>
      </c>
      <c r="M124" s="31" t="s">
        <v>563</v>
      </c>
      <c r="O124" s="31"/>
      <c r="P124" s="31"/>
      <c r="Q124" s="90" t="s">
        <v>161</v>
      </c>
      <c r="R124" s="90"/>
      <c r="S124" s="237" t="s">
        <v>488</v>
      </c>
      <c r="T124" s="223" t="s">
        <v>97</v>
      </c>
      <c r="U124" s="223" t="s">
        <v>97</v>
      </c>
      <c r="V124" s="224" t="s">
        <v>531</v>
      </c>
      <c r="W124" s="224"/>
      <c r="X124" s="226"/>
    </row>
    <row r="125" spans="1:24" ht="15" customHeight="1" x14ac:dyDescent="0.35">
      <c r="A125" s="31" t="s">
        <v>87</v>
      </c>
      <c r="B125" s="54" t="s">
        <v>117</v>
      </c>
      <c r="C125" s="31" t="s">
        <v>53</v>
      </c>
      <c r="D125" s="56" t="s">
        <v>278</v>
      </c>
      <c r="E125" s="31" t="s">
        <v>564</v>
      </c>
      <c r="F125" s="34" t="s">
        <v>565</v>
      </c>
      <c r="G125" s="61"/>
      <c r="H125" s="31" t="s">
        <v>566</v>
      </c>
      <c r="I125" s="31"/>
      <c r="J125" s="31"/>
      <c r="K125" s="31" t="s">
        <v>93</v>
      </c>
      <c r="L125" s="35">
        <v>2</v>
      </c>
      <c r="M125" s="31" t="s">
        <v>115</v>
      </c>
      <c r="N125" s="43" t="s">
        <v>567</v>
      </c>
      <c r="O125" s="31"/>
      <c r="P125" s="31"/>
      <c r="Q125" s="90" t="s">
        <v>161</v>
      </c>
      <c r="R125" s="90"/>
      <c r="S125" s="237" t="s">
        <v>488</v>
      </c>
      <c r="T125" s="223" t="s">
        <v>97</v>
      </c>
      <c r="U125" s="223" t="s">
        <v>97</v>
      </c>
      <c r="V125" s="224" t="s">
        <v>531</v>
      </c>
      <c r="W125" s="224"/>
      <c r="X125" s="226"/>
    </row>
    <row r="126" spans="1:24" ht="15" customHeight="1" x14ac:dyDescent="0.35">
      <c r="A126" s="31" t="s">
        <v>87</v>
      </c>
      <c r="B126" s="54" t="s">
        <v>117</v>
      </c>
      <c r="C126" s="40" t="s">
        <v>53</v>
      </c>
      <c r="D126" s="56" t="s">
        <v>284</v>
      </c>
      <c r="E126" s="40" t="s">
        <v>568</v>
      </c>
      <c r="F126" s="37" t="s">
        <v>569</v>
      </c>
      <c r="G126" s="41"/>
      <c r="H126" s="40" t="s">
        <v>570</v>
      </c>
      <c r="I126" s="40"/>
      <c r="J126" s="40"/>
      <c r="K126" s="40" t="s">
        <v>134</v>
      </c>
      <c r="L126" s="42">
        <v>9</v>
      </c>
      <c r="M126" s="40" t="s">
        <v>571</v>
      </c>
      <c r="O126" s="40"/>
      <c r="P126" s="40"/>
      <c r="Q126" s="91" t="s">
        <v>79</v>
      </c>
      <c r="R126" s="91"/>
      <c r="S126" s="237" t="s">
        <v>488</v>
      </c>
      <c r="T126" s="223" t="s">
        <v>123</v>
      </c>
      <c r="U126" s="223" t="s">
        <v>97</v>
      </c>
      <c r="V126" s="224" t="s">
        <v>98</v>
      </c>
      <c r="W126" s="224"/>
      <c r="X126" s="226"/>
    </row>
    <row r="127" spans="1:24" ht="15" customHeight="1" thickBot="1" x14ac:dyDescent="0.4">
      <c r="A127" s="31" t="s">
        <v>87</v>
      </c>
      <c r="B127" s="54" t="s">
        <v>117</v>
      </c>
      <c r="C127" s="40" t="s">
        <v>53</v>
      </c>
      <c r="D127" s="56" t="s">
        <v>289</v>
      </c>
      <c r="E127" s="40" t="s">
        <v>572</v>
      </c>
      <c r="F127" s="37" t="s">
        <v>573</v>
      </c>
      <c r="G127" s="41"/>
      <c r="H127" s="40" t="s">
        <v>574</v>
      </c>
      <c r="I127" s="40"/>
      <c r="J127" s="40"/>
      <c r="K127" s="40" t="s">
        <v>134</v>
      </c>
      <c r="L127" s="42">
        <v>250</v>
      </c>
      <c r="M127" s="40"/>
      <c r="O127" s="40"/>
      <c r="P127" s="40"/>
      <c r="Q127" s="91" t="s">
        <v>190</v>
      </c>
      <c r="R127" s="91"/>
      <c r="S127" s="237" t="s">
        <v>575</v>
      </c>
      <c r="T127" s="223" t="s">
        <v>123</v>
      </c>
      <c r="U127" s="223" t="s">
        <v>123</v>
      </c>
      <c r="V127" s="224"/>
      <c r="W127" s="224"/>
      <c r="X127" s="226"/>
    </row>
    <row r="128" spans="1:24" s="6" customFormat="1" ht="15" customHeight="1" thickBot="1" x14ac:dyDescent="0.4">
      <c r="A128" s="28" t="s">
        <v>87</v>
      </c>
      <c r="B128" s="29" t="s">
        <v>125</v>
      </c>
      <c r="C128" s="28" t="s">
        <v>54</v>
      </c>
      <c r="D128" s="58" t="s">
        <v>88</v>
      </c>
      <c r="E128" s="28" t="s">
        <v>54</v>
      </c>
      <c r="F128" s="30" t="s">
        <v>576</v>
      </c>
      <c r="G128" s="28"/>
      <c r="H128" s="28"/>
      <c r="I128" s="28"/>
      <c r="J128" s="28"/>
      <c r="K128" s="28"/>
      <c r="L128" s="28"/>
      <c r="M128" s="28"/>
      <c r="N128" s="28"/>
      <c r="O128" s="28"/>
      <c r="P128" s="28"/>
      <c r="Q128" s="89"/>
      <c r="R128" s="91"/>
      <c r="S128" s="28"/>
      <c r="T128" s="28"/>
      <c r="U128" s="28"/>
      <c r="V128" s="28"/>
      <c r="W128" s="28"/>
      <c r="X128" s="89"/>
    </row>
    <row r="129" spans="1:24" ht="15" customHeight="1" x14ac:dyDescent="0.35">
      <c r="A129" s="31" t="s">
        <v>87</v>
      </c>
      <c r="B129" s="62" t="s">
        <v>125</v>
      </c>
      <c r="C129" s="40" t="s">
        <v>54</v>
      </c>
      <c r="D129" s="56" t="s">
        <v>89</v>
      </c>
      <c r="E129" s="40" t="s">
        <v>175</v>
      </c>
      <c r="F129" s="37" t="s">
        <v>176</v>
      </c>
      <c r="G129" s="41"/>
      <c r="H129" s="40" t="s">
        <v>177</v>
      </c>
      <c r="I129" s="40"/>
      <c r="J129" s="40"/>
      <c r="K129" s="40" t="s">
        <v>134</v>
      </c>
      <c r="L129" s="42">
        <v>9</v>
      </c>
      <c r="M129" s="40"/>
      <c r="O129" s="40"/>
      <c r="P129" s="40"/>
      <c r="Q129" s="91" t="s">
        <v>79</v>
      </c>
      <c r="R129" s="91"/>
      <c r="S129" s="247" t="s">
        <v>577</v>
      </c>
      <c r="T129" s="223" t="s">
        <v>123</v>
      </c>
      <c r="U129" s="223" t="s">
        <v>97</v>
      </c>
      <c r="V129" s="248" t="s">
        <v>98</v>
      </c>
      <c r="W129" s="248"/>
      <c r="X129" s="249" t="s">
        <v>136</v>
      </c>
    </row>
    <row r="130" spans="1:24" ht="15" customHeight="1" x14ac:dyDescent="0.35">
      <c r="A130" s="39" t="s">
        <v>87</v>
      </c>
      <c r="B130" s="62" t="s">
        <v>125</v>
      </c>
      <c r="C130" s="40" t="s">
        <v>54</v>
      </c>
      <c r="D130" s="56" t="s">
        <v>99</v>
      </c>
      <c r="E130" s="40" t="s">
        <v>489</v>
      </c>
      <c r="F130" s="37" t="s">
        <v>490</v>
      </c>
      <c r="G130" s="41"/>
      <c r="H130" s="40" t="s">
        <v>578</v>
      </c>
      <c r="I130" s="40"/>
      <c r="J130" s="40"/>
      <c r="K130" s="40" t="s">
        <v>93</v>
      </c>
      <c r="L130" s="42">
        <v>4</v>
      </c>
      <c r="M130" s="40" t="s">
        <v>94</v>
      </c>
      <c r="N130" s="51" t="s">
        <v>95</v>
      </c>
      <c r="O130" s="40"/>
      <c r="P130" s="40"/>
      <c r="Q130" s="91" t="s">
        <v>79</v>
      </c>
      <c r="R130" s="91"/>
      <c r="S130" s="247" t="s">
        <v>579</v>
      </c>
      <c r="T130" s="223" t="s">
        <v>123</v>
      </c>
      <c r="U130" s="223" t="s">
        <v>97</v>
      </c>
      <c r="V130" s="248" t="s">
        <v>98</v>
      </c>
      <c r="W130" s="248"/>
      <c r="X130" s="249" t="s">
        <v>136</v>
      </c>
    </row>
    <row r="131" spans="1:24" ht="15" customHeight="1" x14ac:dyDescent="0.35">
      <c r="A131" s="31" t="s">
        <v>87</v>
      </c>
      <c r="B131" s="62" t="s">
        <v>125</v>
      </c>
      <c r="C131" s="40" t="s">
        <v>54</v>
      </c>
      <c r="D131" s="56" t="s">
        <v>105</v>
      </c>
      <c r="E131" s="40" t="s">
        <v>580</v>
      </c>
      <c r="F131" s="37" t="s">
        <v>581</v>
      </c>
      <c r="G131" s="41"/>
      <c r="H131" s="40" t="s">
        <v>582</v>
      </c>
      <c r="I131" s="40"/>
      <c r="J131" s="40"/>
      <c r="K131" s="40" t="s">
        <v>93</v>
      </c>
      <c r="L131" s="42">
        <v>1</v>
      </c>
      <c r="M131" s="36" t="s">
        <v>109</v>
      </c>
      <c r="N131" s="43" t="s">
        <v>205</v>
      </c>
      <c r="O131" s="40"/>
      <c r="P131" s="40"/>
      <c r="Q131" s="91" t="s">
        <v>79</v>
      </c>
      <c r="R131" s="91"/>
      <c r="S131" s="247" t="s">
        <v>277</v>
      </c>
      <c r="T131" s="223" t="s">
        <v>123</v>
      </c>
      <c r="U131" s="223" t="s">
        <v>97</v>
      </c>
      <c r="V131" s="248" t="s">
        <v>98</v>
      </c>
      <c r="W131" s="248"/>
      <c r="X131" s="249" t="s">
        <v>136</v>
      </c>
    </row>
    <row r="132" spans="1:24" ht="15" customHeight="1" x14ac:dyDescent="0.35">
      <c r="A132" s="31" t="s">
        <v>87</v>
      </c>
      <c r="B132" s="62" t="s">
        <v>125</v>
      </c>
      <c r="C132" s="40" t="s">
        <v>54</v>
      </c>
      <c r="D132" s="56" t="s">
        <v>111</v>
      </c>
      <c r="E132" s="40" t="s">
        <v>583</v>
      </c>
      <c r="F132" s="37" t="s">
        <v>584</v>
      </c>
      <c r="G132" s="41"/>
      <c r="H132" s="40" t="s">
        <v>585</v>
      </c>
      <c r="I132" s="40"/>
      <c r="J132" s="40"/>
      <c r="K132" s="40" t="s">
        <v>93</v>
      </c>
      <c r="L132" s="42">
        <v>1</v>
      </c>
      <c r="M132" s="36" t="s">
        <v>109</v>
      </c>
      <c r="N132" s="43" t="s">
        <v>205</v>
      </c>
      <c r="O132" s="40"/>
      <c r="P132" s="40"/>
      <c r="Q132" s="91" t="s">
        <v>79</v>
      </c>
      <c r="R132" s="91"/>
      <c r="S132" s="247" t="s">
        <v>277</v>
      </c>
      <c r="T132" s="223" t="s">
        <v>123</v>
      </c>
      <c r="U132" s="223" t="s">
        <v>97</v>
      </c>
      <c r="V132" s="248" t="s">
        <v>98</v>
      </c>
      <c r="W132" s="248"/>
      <c r="X132" s="249" t="s">
        <v>136</v>
      </c>
    </row>
    <row r="133" spans="1:24" ht="15" customHeight="1" x14ac:dyDescent="0.35">
      <c r="A133" s="31" t="s">
        <v>87</v>
      </c>
      <c r="B133" s="62" t="s">
        <v>125</v>
      </c>
      <c r="C133" s="40" t="s">
        <v>54</v>
      </c>
      <c r="D133" s="56" t="s">
        <v>117</v>
      </c>
      <c r="E133" s="40" t="s">
        <v>586</v>
      </c>
      <c r="F133" s="37" t="s">
        <v>587</v>
      </c>
      <c r="G133" s="41"/>
      <c r="H133" s="40" t="s">
        <v>588</v>
      </c>
      <c r="I133" s="40"/>
      <c r="J133" s="40"/>
      <c r="K133" s="40" t="s">
        <v>93</v>
      </c>
      <c r="L133" s="42">
        <v>1</v>
      </c>
      <c r="M133" s="36" t="s">
        <v>109</v>
      </c>
      <c r="N133" s="43" t="s">
        <v>205</v>
      </c>
      <c r="O133" s="40"/>
      <c r="P133" s="40"/>
      <c r="Q133" s="91" t="s">
        <v>79</v>
      </c>
      <c r="R133" s="91"/>
      <c r="S133" s="247" t="s">
        <v>277</v>
      </c>
      <c r="T133" s="223" t="s">
        <v>123</v>
      </c>
      <c r="U133" s="223" t="s">
        <v>97</v>
      </c>
      <c r="V133" s="248" t="s">
        <v>98</v>
      </c>
      <c r="W133" s="248"/>
      <c r="X133" s="249" t="s">
        <v>136</v>
      </c>
    </row>
    <row r="134" spans="1:24" ht="15" customHeight="1" x14ac:dyDescent="0.35">
      <c r="A134" s="31" t="s">
        <v>87</v>
      </c>
      <c r="B134" s="62" t="s">
        <v>125</v>
      </c>
      <c r="C134" s="40" t="s">
        <v>54</v>
      </c>
      <c r="D134" s="56" t="s">
        <v>125</v>
      </c>
      <c r="E134" s="40" t="s">
        <v>589</v>
      </c>
      <c r="F134" s="37" t="s">
        <v>590</v>
      </c>
      <c r="G134" s="41"/>
      <c r="H134" s="40" t="s">
        <v>591</v>
      </c>
      <c r="I134" s="40"/>
      <c r="J134" s="40"/>
      <c r="K134" s="40" t="s">
        <v>93</v>
      </c>
      <c r="L134" s="42">
        <v>1</v>
      </c>
      <c r="M134" s="36" t="s">
        <v>109</v>
      </c>
      <c r="N134" s="43" t="s">
        <v>205</v>
      </c>
      <c r="O134" s="40"/>
      <c r="P134" s="40"/>
      <c r="Q134" s="91" t="s">
        <v>79</v>
      </c>
      <c r="R134" s="91"/>
      <c r="S134" s="247" t="s">
        <v>277</v>
      </c>
      <c r="T134" s="223" t="s">
        <v>123</v>
      </c>
      <c r="U134" s="223" t="s">
        <v>97</v>
      </c>
      <c r="V134" s="248" t="s">
        <v>98</v>
      </c>
      <c r="W134" s="248"/>
      <c r="X134" s="249" t="s">
        <v>136</v>
      </c>
    </row>
    <row r="135" spans="1:24" ht="15" customHeight="1" x14ac:dyDescent="0.35">
      <c r="A135" s="31" t="s">
        <v>87</v>
      </c>
      <c r="B135" s="62" t="s">
        <v>125</v>
      </c>
      <c r="C135" s="40" t="s">
        <v>54</v>
      </c>
      <c r="D135" s="56" t="s">
        <v>130</v>
      </c>
      <c r="E135" s="40" t="s">
        <v>592</v>
      </c>
      <c r="F135" s="37" t="s">
        <v>593</v>
      </c>
      <c r="G135" s="41"/>
      <c r="H135" s="40" t="s">
        <v>594</v>
      </c>
      <c r="I135" s="40"/>
      <c r="J135" s="40"/>
      <c r="K135" s="40" t="s">
        <v>93</v>
      </c>
      <c r="L135" s="42">
        <v>1</v>
      </c>
      <c r="M135" s="36" t="s">
        <v>109</v>
      </c>
      <c r="N135" s="43" t="s">
        <v>205</v>
      </c>
      <c r="O135" s="40"/>
      <c r="P135" s="40"/>
      <c r="Q135" s="91" t="s">
        <v>79</v>
      </c>
      <c r="R135" s="91"/>
      <c r="S135" s="247" t="s">
        <v>277</v>
      </c>
      <c r="T135" s="223" t="s">
        <v>123</v>
      </c>
      <c r="U135" s="223" t="s">
        <v>97</v>
      </c>
      <c r="V135" s="248" t="s">
        <v>98</v>
      </c>
      <c r="W135" s="248"/>
      <c r="X135" s="249" t="s">
        <v>136</v>
      </c>
    </row>
    <row r="136" spans="1:24" ht="15" customHeight="1" x14ac:dyDescent="0.35">
      <c r="A136" s="31" t="s">
        <v>87</v>
      </c>
      <c r="B136" s="62" t="s">
        <v>125</v>
      </c>
      <c r="C136" s="40" t="s">
        <v>54</v>
      </c>
      <c r="D136" s="56" t="s">
        <v>137</v>
      </c>
      <c r="E136" s="40" t="s">
        <v>595</v>
      </c>
      <c r="F136" s="37" t="s">
        <v>596</v>
      </c>
      <c r="G136" s="41"/>
      <c r="H136" s="40" t="s">
        <v>597</v>
      </c>
      <c r="I136" s="40"/>
      <c r="J136" s="40"/>
      <c r="K136" s="40" t="s">
        <v>93</v>
      </c>
      <c r="L136" s="42">
        <v>1</v>
      </c>
      <c r="M136" s="40"/>
      <c r="N136" s="43" t="s">
        <v>559</v>
      </c>
      <c r="O136" s="40"/>
      <c r="P136" s="40"/>
      <c r="Q136" s="91" t="s">
        <v>79</v>
      </c>
      <c r="R136" s="91"/>
      <c r="S136" s="247" t="s">
        <v>277</v>
      </c>
      <c r="T136" s="223" t="s">
        <v>123</v>
      </c>
      <c r="U136" s="223" t="s">
        <v>97</v>
      </c>
      <c r="V136" s="248" t="s">
        <v>98</v>
      </c>
      <c r="W136" s="248"/>
      <c r="X136" s="249" t="s">
        <v>136</v>
      </c>
    </row>
    <row r="137" spans="1:24" ht="15" customHeight="1" x14ac:dyDescent="0.35">
      <c r="A137" s="31" t="s">
        <v>87</v>
      </c>
      <c r="B137" s="62" t="s">
        <v>125</v>
      </c>
      <c r="C137" s="48" t="s">
        <v>54</v>
      </c>
      <c r="D137" s="56" t="s">
        <v>143</v>
      </c>
      <c r="E137" s="48" t="s">
        <v>598</v>
      </c>
      <c r="F137" s="34" t="s">
        <v>599</v>
      </c>
      <c r="G137" s="49"/>
      <c r="H137" s="48" t="s">
        <v>600</v>
      </c>
      <c r="I137" s="48"/>
      <c r="J137" s="48"/>
      <c r="K137" s="48" t="s">
        <v>151</v>
      </c>
      <c r="L137" s="50">
        <v>10</v>
      </c>
      <c r="M137" s="48" t="s">
        <v>152</v>
      </c>
      <c r="O137" s="48"/>
      <c r="P137" s="48"/>
      <c r="Q137" s="91" t="s">
        <v>190</v>
      </c>
      <c r="R137" s="91"/>
      <c r="S137" s="247" t="s">
        <v>277</v>
      </c>
      <c r="T137" s="223" t="s">
        <v>123</v>
      </c>
      <c r="U137" s="223" t="s">
        <v>97</v>
      </c>
      <c r="V137" s="248" t="s">
        <v>98</v>
      </c>
      <c r="W137" s="248"/>
      <c r="X137" s="249" t="s">
        <v>136</v>
      </c>
    </row>
    <row r="138" spans="1:24" ht="15" customHeight="1" x14ac:dyDescent="0.35">
      <c r="A138" s="31" t="s">
        <v>87</v>
      </c>
      <c r="B138" s="62" t="s">
        <v>125</v>
      </c>
      <c r="C138" s="40" t="s">
        <v>54</v>
      </c>
      <c r="D138" s="56" t="s">
        <v>147</v>
      </c>
      <c r="E138" s="40" t="s">
        <v>601</v>
      </c>
      <c r="F138" s="37" t="s">
        <v>602</v>
      </c>
      <c r="G138" s="41"/>
      <c r="H138" s="40" t="s">
        <v>603</v>
      </c>
      <c r="I138" s="40"/>
      <c r="J138" s="40"/>
      <c r="K138" s="40" t="s">
        <v>151</v>
      </c>
      <c r="L138" s="42">
        <v>10</v>
      </c>
      <c r="M138" s="40" t="s">
        <v>152</v>
      </c>
      <c r="O138" s="40"/>
      <c r="P138" s="40"/>
      <c r="Q138" s="91" t="s">
        <v>79</v>
      </c>
      <c r="R138" s="91"/>
      <c r="S138" s="247" t="s">
        <v>277</v>
      </c>
      <c r="T138" s="223" t="s">
        <v>123</v>
      </c>
      <c r="U138" s="223" t="s">
        <v>97</v>
      </c>
      <c r="V138" s="248" t="s">
        <v>98</v>
      </c>
      <c r="W138" s="248"/>
      <c r="X138" s="249" t="s">
        <v>136</v>
      </c>
    </row>
    <row r="139" spans="1:24" ht="15" customHeight="1" x14ac:dyDescent="0.35">
      <c r="A139" s="31" t="s">
        <v>87</v>
      </c>
      <c r="B139" s="62" t="s">
        <v>125</v>
      </c>
      <c r="C139" s="48" t="s">
        <v>54</v>
      </c>
      <c r="D139" s="56" t="s">
        <v>153</v>
      </c>
      <c r="E139" s="31" t="s">
        <v>604</v>
      </c>
      <c r="F139" s="34" t="s">
        <v>605</v>
      </c>
      <c r="G139" s="49"/>
      <c r="H139" s="36" t="s">
        <v>606</v>
      </c>
      <c r="I139" s="48"/>
      <c r="J139" s="48"/>
      <c r="K139" s="48" t="s">
        <v>151</v>
      </c>
      <c r="L139" s="50">
        <v>10</v>
      </c>
      <c r="M139" s="48" t="s">
        <v>152</v>
      </c>
      <c r="O139" s="48"/>
      <c r="P139" s="48"/>
      <c r="Q139" s="91" t="s">
        <v>190</v>
      </c>
      <c r="R139" s="91"/>
      <c r="S139" s="247" t="s">
        <v>277</v>
      </c>
      <c r="T139" s="223" t="s">
        <v>123</v>
      </c>
      <c r="U139" s="223" t="s">
        <v>97</v>
      </c>
      <c r="V139" s="248" t="s">
        <v>98</v>
      </c>
      <c r="W139" s="248"/>
      <c r="X139" s="249" t="s">
        <v>136</v>
      </c>
    </row>
    <row r="140" spans="1:24" ht="15" customHeight="1" thickBot="1" x14ac:dyDescent="0.4">
      <c r="A140" s="31" t="s">
        <v>87</v>
      </c>
      <c r="B140" s="62" t="s">
        <v>125</v>
      </c>
      <c r="C140" s="40" t="s">
        <v>54</v>
      </c>
      <c r="D140" s="56" t="s">
        <v>157</v>
      </c>
      <c r="E140" s="36" t="s">
        <v>607</v>
      </c>
      <c r="F140" s="37" t="s">
        <v>608</v>
      </c>
      <c r="G140" s="41"/>
      <c r="H140" s="31" t="s">
        <v>609</v>
      </c>
      <c r="I140" s="40"/>
      <c r="J140" s="40"/>
      <c r="K140" s="40" t="s">
        <v>93</v>
      </c>
      <c r="L140" s="42">
        <v>2</v>
      </c>
      <c r="M140" s="40"/>
      <c r="N140" s="43" t="s">
        <v>610</v>
      </c>
      <c r="O140" s="40"/>
      <c r="P140" s="40"/>
      <c r="Q140" s="91" t="s">
        <v>161</v>
      </c>
      <c r="R140" s="91"/>
      <c r="S140" s="247" t="s">
        <v>277</v>
      </c>
      <c r="T140" s="223" t="s">
        <v>123</v>
      </c>
      <c r="U140" s="223" t="s">
        <v>97</v>
      </c>
      <c r="V140" s="248" t="s">
        <v>98</v>
      </c>
      <c r="W140" s="248"/>
      <c r="X140" s="249" t="s">
        <v>136</v>
      </c>
    </row>
    <row r="141" spans="1:24" s="6" customFormat="1" ht="15" customHeight="1" thickBot="1" x14ac:dyDescent="0.4">
      <c r="A141" s="28" t="s">
        <v>87</v>
      </c>
      <c r="B141" s="53" t="s">
        <v>130</v>
      </c>
      <c r="C141" s="28" t="s">
        <v>55</v>
      </c>
      <c r="D141" s="58" t="s">
        <v>88</v>
      </c>
      <c r="E141" s="28" t="s">
        <v>55</v>
      </c>
      <c r="F141" s="30" t="s">
        <v>611</v>
      </c>
      <c r="G141" s="28"/>
      <c r="H141" s="28"/>
      <c r="I141" s="28"/>
      <c r="J141" s="28"/>
      <c r="K141" s="28"/>
      <c r="L141" s="28"/>
      <c r="M141" s="28"/>
      <c r="N141" s="28"/>
      <c r="O141" s="28"/>
      <c r="P141" s="28"/>
      <c r="Q141" s="89"/>
      <c r="R141" s="91"/>
      <c r="S141" s="28"/>
      <c r="T141" s="28"/>
      <c r="U141" s="28"/>
      <c r="V141" s="28"/>
      <c r="W141" s="28"/>
      <c r="X141" s="89"/>
    </row>
    <row r="142" spans="1:24" ht="15" customHeight="1" x14ac:dyDescent="0.35">
      <c r="A142" s="31" t="s">
        <v>87</v>
      </c>
      <c r="B142" s="62" t="s">
        <v>130</v>
      </c>
      <c r="C142" s="40" t="s">
        <v>55</v>
      </c>
      <c r="D142" s="56" t="s">
        <v>89</v>
      </c>
      <c r="E142" s="40" t="s">
        <v>612</v>
      </c>
      <c r="F142" s="37" t="s">
        <v>613</v>
      </c>
      <c r="G142" s="41"/>
      <c r="H142" s="40" t="s">
        <v>614</v>
      </c>
      <c r="I142" s="40"/>
      <c r="J142" s="40"/>
      <c r="K142" s="40" t="s">
        <v>134</v>
      </c>
      <c r="L142" s="42">
        <v>9</v>
      </c>
      <c r="M142" s="40" t="s">
        <v>571</v>
      </c>
      <c r="O142" s="40"/>
      <c r="P142" s="40"/>
      <c r="Q142" s="91" t="s">
        <v>79</v>
      </c>
      <c r="R142" s="91"/>
      <c r="S142" s="247" t="s">
        <v>615</v>
      </c>
      <c r="T142" s="223" t="s">
        <v>97</v>
      </c>
      <c r="U142" s="223" t="s">
        <v>97</v>
      </c>
      <c r="V142" s="248" t="s">
        <v>98</v>
      </c>
      <c r="W142" s="248"/>
      <c r="X142" s="249"/>
    </row>
    <row r="143" spans="1:24" ht="15" customHeight="1" x14ac:dyDescent="0.35">
      <c r="A143" s="31" t="s">
        <v>87</v>
      </c>
      <c r="B143" s="62" t="s">
        <v>130</v>
      </c>
      <c r="C143" s="40" t="s">
        <v>55</v>
      </c>
      <c r="D143" s="56" t="s">
        <v>99</v>
      </c>
      <c r="E143" s="40" t="s">
        <v>180</v>
      </c>
      <c r="F143" s="37" t="s">
        <v>181</v>
      </c>
      <c r="G143" s="41"/>
      <c r="H143" s="87" t="s">
        <v>616</v>
      </c>
      <c r="I143" s="40"/>
      <c r="J143" s="40"/>
      <c r="K143" s="40" t="s">
        <v>134</v>
      </c>
      <c r="L143" s="42">
        <v>35</v>
      </c>
      <c r="M143" s="40"/>
      <c r="O143" s="40"/>
      <c r="P143" s="40"/>
      <c r="Q143" s="91" t="s">
        <v>79</v>
      </c>
      <c r="R143" s="91"/>
      <c r="S143" s="247" t="s">
        <v>617</v>
      </c>
      <c r="T143" s="223" t="s">
        <v>97</v>
      </c>
      <c r="U143" s="223" t="s">
        <v>97</v>
      </c>
      <c r="V143" s="248" t="s">
        <v>98</v>
      </c>
      <c r="W143" s="248"/>
      <c r="X143" s="249"/>
    </row>
    <row r="144" spans="1:24" ht="15" customHeight="1" x14ac:dyDescent="0.35">
      <c r="A144" s="31" t="s">
        <v>87</v>
      </c>
      <c r="B144" s="62" t="s">
        <v>130</v>
      </c>
      <c r="C144" s="48" t="s">
        <v>55</v>
      </c>
      <c r="D144" s="56" t="s">
        <v>105</v>
      </c>
      <c r="E144" s="48" t="s">
        <v>184</v>
      </c>
      <c r="F144" s="34" t="s">
        <v>185</v>
      </c>
      <c r="G144" s="49"/>
      <c r="H144" s="40" t="s">
        <v>186</v>
      </c>
      <c r="I144" s="48"/>
      <c r="J144" s="48"/>
      <c r="K144" s="48" t="s">
        <v>134</v>
      </c>
      <c r="L144" s="50">
        <v>35</v>
      </c>
      <c r="M144" s="48"/>
      <c r="O144" s="48"/>
      <c r="P144" s="48"/>
      <c r="Q144" s="91" t="s">
        <v>79</v>
      </c>
      <c r="R144" s="91"/>
      <c r="S144" s="247" t="s">
        <v>617</v>
      </c>
      <c r="T144" s="223" t="s">
        <v>97</v>
      </c>
      <c r="U144" s="223" t="s">
        <v>97</v>
      </c>
      <c r="V144" s="248" t="s">
        <v>98</v>
      </c>
      <c r="W144" s="248"/>
      <c r="X144" s="249"/>
    </row>
    <row r="145" spans="1:24" ht="15" customHeight="1" x14ac:dyDescent="0.35">
      <c r="A145" s="31" t="s">
        <v>87</v>
      </c>
      <c r="B145" s="62" t="s">
        <v>130</v>
      </c>
      <c r="C145" s="40" t="s">
        <v>55</v>
      </c>
      <c r="D145" s="56" t="s">
        <v>111</v>
      </c>
      <c r="E145" s="40" t="s">
        <v>187</v>
      </c>
      <c r="F145" s="37" t="s">
        <v>188</v>
      </c>
      <c r="G145" s="41"/>
      <c r="H145" s="40" t="s">
        <v>189</v>
      </c>
      <c r="I145" s="40"/>
      <c r="J145" s="40"/>
      <c r="K145" s="40" t="s">
        <v>134</v>
      </c>
      <c r="L145" s="42">
        <v>40</v>
      </c>
      <c r="M145" s="40"/>
      <c r="O145" s="40"/>
      <c r="P145" s="40"/>
      <c r="Q145" s="91" t="s">
        <v>190</v>
      </c>
      <c r="R145" s="91"/>
      <c r="S145" s="237" t="s">
        <v>617</v>
      </c>
      <c r="T145" s="223" t="s">
        <v>97</v>
      </c>
      <c r="U145" s="223" t="s">
        <v>97</v>
      </c>
      <c r="V145" s="224" t="s">
        <v>98</v>
      </c>
      <c r="W145" s="224"/>
      <c r="X145" s="226"/>
    </row>
    <row r="146" spans="1:24" ht="15" customHeight="1" x14ac:dyDescent="0.35">
      <c r="A146" s="31" t="s">
        <v>87</v>
      </c>
      <c r="B146" s="62" t="s">
        <v>130</v>
      </c>
      <c r="C146" s="40" t="s">
        <v>55</v>
      </c>
      <c r="D146" s="56" t="s">
        <v>117</v>
      </c>
      <c r="E146" s="40" t="s">
        <v>191</v>
      </c>
      <c r="F146" s="37" t="s">
        <v>192</v>
      </c>
      <c r="G146" s="41"/>
      <c r="H146" s="40" t="s">
        <v>618</v>
      </c>
      <c r="I146" s="40"/>
      <c r="J146" s="40"/>
      <c r="K146" s="40" t="s">
        <v>134</v>
      </c>
      <c r="L146" s="42">
        <v>8</v>
      </c>
      <c r="M146" s="40"/>
      <c r="O146" s="40"/>
      <c r="P146" s="40"/>
      <c r="Q146" s="91" t="s">
        <v>190</v>
      </c>
      <c r="R146" s="91"/>
      <c r="S146" s="247" t="s">
        <v>617</v>
      </c>
      <c r="T146" s="223" t="s">
        <v>97</v>
      </c>
      <c r="U146" s="223" t="s">
        <v>97</v>
      </c>
      <c r="V146" s="248" t="s">
        <v>98</v>
      </c>
      <c r="W146" s="248"/>
      <c r="X146" s="249"/>
    </row>
    <row r="147" spans="1:24" ht="15" customHeight="1" x14ac:dyDescent="0.35">
      <c r="A147" s="31" t="s">
        <v>87</v>
      </c>
      <c r="B147" s="62" t="s">
        <v>130</v>
      </c>
      <c r="C147" s="40" t="s">
        <v>55</v>
      </c>
      <c r="D147" s="56" t="s">
        <v>125</v>
      </c>
      <c r="E147" s="40" t="s">
        <v>619</v>
      </c>
      <c r="F147" s="37" t="s">
        <v>620</v>
      </c>
      <c r="G147" s="41"/>
      <c r="H147" s="40" t="s">
        <v>621</v>
      </c>
      <c r="I147" s="40"/>
      <c r="J147" s="40"/>
      <c r="K147" s="40" t="s">
        <v>134</v>
      </c>
      <c r="L147" s="42">
        <v>50</v>
      </c>
      <c r="M147" s="40"/>
      <c r="O147" s="40"/>
      <c r="P147" s="40"/>
      <c r="Q147" s="91" t="s">
        <v>190</v>
      </c>
      <c r="R147" s="91"/>
      <c r="S147" s="247" t="s">
        <v>617</v>
      </c>
      <c r="T147" s="223" t="s">
        <v>97</v>
      </c>
      <c r="U147" s="223" t="s">
        <v>97</v>
      </c>
      <c r="V147" s="248" t="s">
        <v>98</v>
      </c>
      <c r="W147" s="248"/>
      <c r="X147" s="249"/>
    </row>
    <row r="148" spans="1:24" ht="15" customHeight="1" x14ac:dyDescent="0.35">
      <c r="A148" s="31" t="s">
        <v>87</v>
      </c>
      <c r="B148" s="62" t="s">
        <v>130</v>
      </c>
      <c r="C148" s="40" t="s">
        <v>55</v>
      </c>
      <c r="D148" s="56" t="s">
        <v>130</v>
      </c>
      <c r="E148" s="40" t="s">
        <v>194</v>
      </c>
      <c r="F148" s="37" t="s">
        <v>195</v>
      </c>
      <c r="G148" s="41"/>
      <c r="H148" s="40" t="s">
        <v>196</v>
      </c>
      <c r="I148" s="40"/>
      <c r="J148" s="40"/>
      <c r="K148" s="40" t="s">
        <v>151</v>
      </c>
      <c r="L148" s="42"/>
      <c r="M148" s="40" t="s">
        <v>152</v>
      </c>
      <c r="O148" s="40"/>
      <c r="P148" s="40"/>
      <c r="Q148" s="91" t="s">
        <v>79</v>
      </c>
      <c r="R148" s="91"/>
      <c r="S148" s="247" t="s">
        <v>617</v>
      </c>
      <c r="T148" s="223" t="s">
        <v>97</v>
      </c>
      <c r="U148" s="223" t="s">
        <v>97</v>
      </c>
      <c r="V148" s="248" t="s">
        <v>98</v>
      </c>
      <c r="W148" s="248"/>
      <c r="X148" s="249"/>
    </row>
    <row r="149" spans="1:24" ht="15" customHeight="1" x14ac:dyDescent="0.35">
      <c r="A149" s="31" t="s">
        <v>87</v>
      </c>
      <c r="B149" s="62" t="s">
        <v>130</v>
      </c>
      <c r="C149" s="40" t="s">
        <v>55</v>
      </c>
      <c r="D149" s="56" t="s">
        <v>137</v>
      </c>
      <c r="E149" s="40" t="s">
        <v>198</v>
      </c>
      <c r="F149" s="37" t="s">
        <v>199</v>
      </c>
      <c r="G149" s="41"/>
      <c r="H149" s="40" t="s">
        <v>200</v>
      </c>
      <c r="I149" s="40"/>
      <c r="J149" s="40"/>
      <c r="K149" s="40" t="s">
        <v>93</v>
      </c>
      <c r="L149" s="42">
        <v>1</v>
      </c>
      <c r="M149" s="36" t="s">
        <v>109</v>
      </c>
      <c r="N149" s="43" t="s">
        <v>198</v>
      </c>
      <c r="O149" s="40"/>
      <c r="P149" s="40"/>
      <c r="Q149" s="91" t="s">
        <v>79</v>
      </c>
      <c r="R149" s="91"/>
      <c r="S149" s="247" t="s">
        <v>617</v>
      </c>
      <c r="T149" s="223" t="s">
        <v>97</v>
      </c>
      <c r="U149" s="223" t="s">
        <v>97</v>
      </c>
      <c r="V149" s="248" t="s">
        <v>98</v>
      </c>
      <c r="W149" s="248"/>
      <c r="X149" s="249"/>
    </row>
    <row r="150" spans="1:24" ht="15" customHeight="1" x14ac:dyDescent="0.35">
      <c r="A150" s="31" t="s">
        <v>87</v>
      </c>
      <c r="B150" s="62" t="s">
        <v>130</v>
      </c>
      <c r="C150" s="40" t="s">
        <v>55</v>
      </c>
      <c r="D150" s="56" t="s">
        <v>143</v>
      </c>
      <c r="E150" s="40" t="s">
        <v>202</v>
      </c>
      <c r="F150" s="37" t="s">
        <v>203</v>
      </c>
      <c r="G150" s="41"/>
      <c r="H150" s="40" t="s">
        <v>204</v>
      </c>
      <c r="I150" s="40"/>
      <c r="J150" s="40"/>
      <c r="K150" s="40" t="s">
        <v>93</v>
      </c>
      <c r="L150" s="42">
        <v>1</v>
      </c>
      <c r="M150" s="36" t="s">
        <v>109</v>
      </c>
      <c r="N150" s="43" t="s">
        <v>205</v>
      </c>
      <c r="O150" s="40"/>
      <c r="P150" s="40"/>
      <c r="Q150" s="91" t="s">
        <v>79</v>
      </c>
      <c r="R150" s="91"/>
      <c r="S150" s="247" t="s">
        <v>622</v>
      </c>
      <c r="T150" s="223" t="s">
        <v>123</v>
      </c>
      <c r="U150" s="223" t="s">
        <v>123</v>
      </c>
      <c r="V150" s="248" t="s">
        <v>98</v>
      </c>
      <c r="W150" s="248"/>
      <c r="X150" s="249"/>
    </row>
    <row r="151" spans="1:24" ht="15" customHeight="1" x14ac:dyDescent="0.35">
      <c r="A151" s="31" t="s">
        <v>87</v>
      </c>
      <c r="B151" s="62" t="s">
        <v>130</v>
      </c>
      <c r="C151" s="40" t="s">
        <v>55</v>
      </c>
      <c r="D151" s="56" t="s">
        <v>147</v>
      </c>
      <c r="E151" s="40" t="s">
        <v>206</v>
      </c>
      <c r="F151" s="37" t="s">
        <v>207</v>
      </c>
      <c r="G151" s="41"/>
      <c r="H151" s="40" t="s">
        <v>208</v>
      </c>
      <c r="I151" s="40"/>
      <c r="J151" s="40"/>
      <c r="K151" s="40" t="s">
        <v>93</v>
      </c>
      <c r="L151" s="42">
        <v>1</v>
      </c>
      <c r="M151" s="36" t="s">
        <v>109</v>
      </c>
      <c r="N151" s="43" t="s">
        <v>205</v>
      </c>
      <c r="O151" s="40"/>
      <c r="P151" s="40"/>
      <c r="Q151" s="91" t="s">
        <v>79</v>
      </c>
      <c r="R151" s="91"/>
      <c r="S151" s="247" t="s">
        <v>622</v>
      </c>
      <c r="T151" s="223" t="s">
        <v>123</v>
      </c>
      <c r="U151" s="223" t="s">
        <v>123</v>
      </c>
      <c r="V151" s="248" t="s">
        <v>98</v>
      </c>
      <c r="W151" s="248"/>
      <c r="X151" s="249"/>
    </row>
    <row r="152" spans="1:24" ht="15" customHeight="1" x14ac:dyDescent="0.35">
      <c r="A152" s="31" t="s">
        <v>87</v>
      </c>
      <c r="B152" s="62" t="s">
        <v>130</v>
      </c>
      <c r="C152" s="40" t="s">
        <v>55</v>
      </c>
      <c r="D152" s="56" t="s">
        <v>153</v>
      </c>
      <c r="E152" s="40" t="s">
        <v>209</v>
      </c>
      <c r="F152" s="37" t="s">
        <v>210</v>
      </c>
      <c r="G152" s="41"/>
      <c r="H152" s="40" t="s">
        <v>211</v>
      </c>
      <c r="I152" s="40"/>
      <c r="J152" s="40"/>
      <c r="K152" s="40" t="s">
        <v>93</v>
      </c>
      <c r="L152" s="42">
        <v>1</v>
      </c>
      <c r="M152" s="36" t="s">
        <v>109</v>
      </c>
      <c r="N152" s="43" t="s">
        <v>205</v>
      </c>
      <c r="O152" s="40"/>
      <c r="P152" s="40"/>
      <c r="Q152" s="91" t="s">
        <v>79</v>
      </c>
      <c r="R152" s="91"/>
      <c r="S152" s="247" t="s">
        <v>622</v>
      </c>
      <c r="T152" s="223" t="s">
        <v>123</v>
      </c>
      <c r="U152" s="223" t="s">
        <v>123</v>
      </c>
      <c r="V152" s="248" t="s">
        <v>98</v>
      </c>
      <c r="W152" s="248"/>
      <c r="X152" s="249"/>
    </row>
    <row r="153" spans="1:24" ht="15" customHeight="1" x14ac:dyDescent="0.35">
      <c r="A153" s="31" t="s">
        <v>87</v>
      </c>
      <c r="B153" s="62" t="s">
        <v>130</v>
      </c>
      <c r="C153" s="40" t="s">
        <v>55</v>
      </c>
      <c r="D153" s="56" t="s">
        <v>157</v>
      </c>
      <c r="E153" s="40" t="s">
        <v>212</v>
      </c>
      <c r="F153" s="37" t="s">
        <v>213</v>
      </c>
      <c r="G153" s="41"/>
      <c r="H153" s="40" t="s">
        <v>214</v>
      </c>
      <c r="I153" s="40"/>
      <c r="J153" s="40"/>
      <c r="K153" s="40" t="s">
        <v>93</v>
      </c>
      <c r="L153" s="42">
        <v>1</v>
      </c>
      <c r="M153" s="36" t="s">
        <v>109</v>
      </c>
      <c r="N153" s="43" t="s">
        <v>205</v>
      </c>
      <c r="O153" s="40"/>
      <c r="P153" s="40"/>
      <c r="Q153" s="91" t="s">
        <v>79</v>
      </c>
      <c r="R153" s="91"/>
      <c r="S153" s="247" t="s">
        <v>622</v>
      </c>
      <c r="T153" s="223" t="s">
        <v>123</v>
      </c>
      <c r="U153" s="223" t="s">
        <v>123</v>
      </c>
      <c r="V153" s="248" t="s">
        <v>98</v>
      </c>
      <c r="W153" s="248"/>
      <c r="X153" s="249"/>
    </row>
    <row r="154" spans="1:24" ht="15" customHeight="1" x14ac:dyDescent="0.35">
      <c r="A154" s="31" t="s">
        <v>87</v>
      </c>
      <c r="B154" s="62" t="s">
        <v>130</v>
      </c>
      <c r="C154" s="40" t="s">
        <v>55</v>
      </c>
      <c r="D154" s="56" t="s">
        <v>163</v>
      </c>
      <c r="E154" s="40" t="s">
        <v>215</v>
      </c>
      <c r="F154" s="37" t="s">
        <v>216</v>
      </c>
      <c r="G154" s="41"/>
      <c r="H154" s="40" t="s">
        <v>217</v>
      </c>
      <c r="I154" s="40"/>
      <c r="J154" s="40"/>
      <c r="K154" s="40" t="s">
        <v>93</v>
      </c>
      <c r="L154" s="42">
        <v>1</v>
      </c>
      <c r="M154" s="36" t="s">
        <v>109</v>
      </c>
      <c r="N154" s="43" t="s">
        <v>205</v>
      </c>
      <c r="O154" s="40"/>
      <c r="P154" s="40"/>
      <c r="Q154" s="91" t="s">
        <v>79</v>
      </c>
      <c r="R154" s="91"/>
      <c r="S154" s="247" t="s">
        <v>622</v>
      </c>
      <c r="T154" s="223" t="s">
        <v>123</v>
      </c>
      <c r="U154" s="223" t="s">
        <v>123</v>
      </c>
      <c r="V154" s="248" t="s">
        <v>98</v>
      </c>
      <c r="W154" s="248"/>
      <c r="X154" s="249"/>
    </row>
    <row r="155" spans="1:24" ht="15" customHeight="1" x14ac:dyDescent="0.35">
      <c r="A155" s="31" t="s">
        <v>87</v>
      </c>
      <c r="B155" s="62" t="s">
        <v>130</v>
      </c>
      <c r="C155" s="40" t="s">
        <v>55</v>
      </c>
      <c r="D155" s="56" t="s">
        <v>167</v>
      </c>
      <c r="E155" s="40" t="s">
        <v>218</v>
      </c>
      <c r="F155" s="37" t="s">
        <v>219</v>
      </c>
      <c r="G155" s="41"/>
      <c r="H155" s="40" t="s">
        <v>220</v>
      </c>
      <c r="I155" s="40"/>
      <c r="J155" s="40"/>
      <c r="K155" s="40" t="s">
        <v>93</v>
      </c>
      <c r="L155" s="42">
        <v>1</v>
      </c>
      <c r="M155" s="36" t="s">
        <v>109</v>
      </c>
      <c r="N155" s="43" t="s">
        <v>205</v>
      </c>
      <c r="O155" s="40"/>
      <c r="P155" s="40"/>
      <c r="Q155" s="91" t="s">
        <v>79</v>
      </c>
      <c r="R155" s="91"/>
      <c r="S155" s="247" t="s">
        <v>622</v>
      </c>
      <c r="T155" s="223" t="s">
        <v>123</v>
      </c>
      <c r="U155" s="223" t="s">
        <v>123</v>
      </c>
      <c r="V155" s="248" t="s">
        <v>98</v>
      </c>
      <c r="W155" s="248"/>
      <c r="X155" s="249"/>
    </row>
    <row r="156" spans="1:24" ht="15" customHeight="1" x14ac:dyDescent="0.35">
      <c r="A156" s="31" t="s">
        <v>87</v>
      </c>
      <c r="B156" s="62" t="s">
        <v>130</v>
      </c>
      <c r="C156" s="40" t="s">
        <v>55</v>
      </c>
      <c r="D156" s="56" t="s">
        <v>171</v>
      </c>
      <c r="E156" s="40" t="s">
        <v>623</v>
      </c>
      <c r="F156" s="37" t="s">
        <v>624</v>
      </c>
      <c r="G156" s="41"/>
      <c r="H156" s="40" t="s">
        <v>625</v>
      </c>
      <c r="I156" s="40"/>
      <c r="J156" s="40"/>
      <c r="K156" s="40" t="s">
        <v>93</v>
      </c>
      <c r="L156" s="42">
        <v>3</v>
      </c>
      <c r="M156" s="36" t="s">
        <v>626</v>
      </c>
      <c r="N156" s="43" t="s">
        <v>348</v>
      </c>
      <c r="O156" s="40"/>
      <c r="P156" s="40"/>
      <c r="Q156" s="91" t="s">
        <v>190</v>
      </c>
      <c r="R156" s="91"/>
      <c r="S156" s="247" t="s">
        <v>622</v>
      </c>
      <c r="T156" s="223" t="s">
        <v>123</v>
      </c>
      <c r="U156" s="223" t="s">
        <v>123</v>
      </c>
      <c r="V156" s="248" t="s">
        <v>98</v>
      </c>
      <c r="W156" s="248"/>
      <c r="X156" s="249"/>
    </row>
    <row r="157" spans="1:24" ht="15" customHeight="1" x14ac:dyDescent="0.35">
      <c r="A157" s="31" t="s">
        <v>87</v>
      </c>
      <c r="B157" s="62" t="s">
        <v>130</v>
      </c>
      <c r="C157" s="40" t="s">
        <v>55</v>
      </c>
      <c r="D157" s="56" t="s">
        <v>231</v>
      </c>
      <c r="E157" s="40" t="s">
        <v>627</v>
      </c>
      <c r="F157" s="37" t="s">
        <v>628</v>
      </c>
      <c r="G157" s="41"/>
      <c r="H157" s="40" t="s">
        <v>629</v>
      </c>
      <c r="I157" s="40"/>
      <c r="J157" s="40"/>
      <c r="K157" s="40" t="s">
        <v>93</v>
      </c>
      <c r="L157" s="42">
        <v>1</v>
      </c>
      <c r="M157" s="36" t="s">
        <v>109</v>
      </c>
      <c r="N157" s="43" t="s">
        <v>205</v>
      </c>
      <c r="O157" s="40"/>
      <c r="P157" s="40"/>
      <c r="Q157" s="91" t="s">
        <v>79</v>
      </c>
      <c r="R157" s="91"/>
      <c r="S157" s="247" t="s">
        <v>630</v>
      </c>
      <c r="T157" s="223" t="s">
        <v>97</v>
      </c>
      <c r="U157" s="223" t="s">
        <v>97</v>
      </c>
      <c r="V157" s="248" t="s">
        <v>98</v>
      </c>
      <c r="W157" s="248"/>
      <c r="X157" s="249"/>
    </row>
    <row r="158" spans="1:24" ht="15" customHeight="1" x14ac:dyDescent="0.35">
      <c r="A158" s="31" t="s">
        <v>87</v>
      </c>
      <c r="B158" s="62" t="s">
        <v>130</v>
      </c>
      <c r="C158" s="40" t="s">
        <v>55</v>
      </c>
      <c r="D158" s="56" t="s">
        <v>238</v>
      </c>
      <c r="E158" s="40" t="s">
        <v>631</v>
      </c>
      <c r="F158" s="37" t="s">
        <v>632</v>
      </c>
      <c r="G158" s="41"/>
      <c r="H158" s="40" t="s">
        <v>633</v>
      </c>
      <c r="I158" s="40"/>
      <c r="J158" s="40"/>
      <c r="K158" s="40" t="s">
        <v>93</v>
      </c>
      <c r="L158" s="42">
        <v>1</v>
      </c>
      <c r="M158" s="36" t="s">
        <v>109</v>
      </c>
      <c r="N158" s="43" t="s">
        <v>634</v>
      </c>
      <c r="O158" s="40"/>
      <c r="P158" s="40"/>
      <c r="Q158" s="91" t="s">
        <v>79</v>
      </c>
      <c r="R158" s="91"/>
      <c r="S158" s="247" t="s">
        <v>630</v>
      </c>
      <c r="T158" s="223" t="s">
        <v>97</v>
      </c>
      <c r="U158" s="223" t="s">
        <v>123</v>
      </c>
      <c r="V158" s="248" t="s">
        <v>98</v>
      </c>
      <c r="W158" s="248"/>
      <c r="X158" s="249"/>
    </row>
    <row r="159" spans="1:24" ht="15" customHeight="1" x14ac:dyDescent="0.35">
      <c r="A159" s="31" t="s">
        <v>87</v>
      </c>
      <c r="B159" s="62" t="s">
        <v>130</v>
      </c>
      <c r="C159" s="40" t="s">
        <v>55</v>
      </c>
      <c r="D159" s="56" t="s">
        <v>244</v>
      </c>
      <c r="E159" s="40" t="s">
        <v>635</v>
      </c>
      <c r="F159" s="37" t="s">
        <v>636</v>
      </c>
      <c r="G159" s="41"/>
      <c r="H159" s="40" t="s">
        <v>637</v>
      </c>
      <c r="I159" s="40"/>
      <c r="J159" s="40"/>
      <c r="K159" s="40" t="s">
        <v>134</v>
      </c>
      <c r="L159" s="42">
        <v>4</v>
      </c>
      <c r="M159" s="40" t="s">
        <v>638</v>
      </c>
      <c r="O159" s="40" t="s">
        <v>639</v>
      </c>
      <c r="P159" s="40"/>
      <c r="Q159" s="91" t="s">
        <v>161</v>
      </c>
      <c r="R159" s="91"/>
      <c r="S159" s="247" t="s">
        <v>630</v>
      </c>
      <c r="T159" s="223" t="s">
        <v>123</v>
      </c>
      <c r="U159" s="223" t="s">
        <v>97</v>
      </c>
      <c r="V159" s="248" t="s">
        <v>98</v>
      </c>
      <c r="W159" s="248"/>
      <c r="X159" s="249"/>
    </row>
    <row r="160" spans="1:24" ht="15" customHeight="1" x14ac:dyDescent="0.35">
      <c r="A160" s="31" t="s">
        <v>87</v>
      </c>
      <c r="B160" s="62" t="s">
        <v>130</v>
      </c>
      <c r="C160" s="40" t="s">
        <v>55</v>
      </c>
      <c r="D160" s="56" t="s">
        <v>248</v>
      </c>
      <c r="E160" s="40" t="s">
        <v>640</v>
      </c>
      <c r="F160" s="37" t="s">
        <v>641</v>
      </c>
      <c r="G160" s="41"/>
      <c r="H160" s="40" t="s">
        <v>642</v>
      </c>
      <c r="I160" s="40"/>
      <c r="J160" s="40"/>
      <c r="K160" s="40" t="s">
        <v>93</v>
      </c>
      <c r="L160" s="42">
        <v>2</v>
      </c>
      <c r="M160" s="40" t="s">
        <v>115</v>
      </c>
      <c r="N160" s="43" t="s">
        <v>643</v>
      </c>
      <c r="O160" s="40"/>
      <c r="P160" s="40"/>
      <c r="Q160" s="91" t="s">
        <v>161</v>
      </c>
      <c r="R160" s="91"/>
      <c r="S160" s="247" t="s">
        <v>630</v>
      </c>
      <c r="T160" s="223" t="s">
        <v>123</v>
      </c>
      <c r="U160" s="223" t="s">
        <v>97</v>
      </c>
      <c r="V160" s="248" t="s">
        <v>98</v>
      </c>
      <c r="W160" s="248"/>
      <c r="X160" s="249"/>
    </row>
    <row r="161" spans="1:24" ht="15" customHeight="1" x14ac:dyDescent="0.35">
      <c r="A161" s="31" t="s">
        <v>87</v>
      </c>
      <c r="B161" s="62" t="s">
        <v>130</v>
      </c>
      <c r="C161" s="40" t="s">
        <v>55</v>
      </c>
      <c r="D161" s="56" t="s">
        <v>259</v>
      </c>
      <c r="E161" s="40" t="s">
        <v>644</v>
      </c>
      <c r="F161" s="37" t="s">
        <v>645</v>
      </c>
      <c r="G161" s="41"/>
      <c r="H161" s="40" t="s">
        <v>646</v>
      </c>
      <c r="I161" s="40"/>
      <c r="J161" s="40"/>
      <c r="K161" s="40" t="s">
        <v>93</v>
      </c>
      <c r="L161" s="42">
        <v>2</v>
      </c>
      <c r="M161" s="40" t="s">
        <v>115</v>
      </c>
      <c r="N161" s="43" t="s">
        <v>647</v>
      </c>
      <c r="O161" s="40"/>
      <c r="P161" s="40"/>
      <c r="Q161" s="91" t="s">
        <v>161</v>
      </c>
      <c r="R161" s="91"/>
      <c r="S161" s="247" t="s">
        <v>630</v>
      </c>
      <c r="T161" s="223" t="s">
        <v>123</v>
      </c>
      <c r="U161" s="223" t="s">
        <v>97</v>
      </c>
      <c r="V161" s="248" t="s">
        <v>98</v>
      </c>
      <c r="W161" s="248"/>
      <c r="X161" s="249"/>
    </row>
    <row r="162" spans="1:24" ht="15" customHeight="1" x14ac:dyDescent="0.35">
      <c r="A162" s="31" t="s">
        <v>87</v>
      </c>
      <c r="B162" s="62" t="s">
        <v>130</v>
      </c>
      <c r="C162" s="40" t="s">
        <v>55</v>
      </c>
      <c r="D162" s="56" t="s">
        <v>265</v>
      </c>
      <c r="E162" s="40" t="s">
        <v>648</v>
      </c>
      <c r="F162" s="37" t="s">
        <v>649</v>
      </c>
      <c r="G162" s="41"/>
      <c r="H162" s="40" t="s">
        <v>650</v>
      </c>
      <c r="I162" s="40"/>
      <c r="J162" s="40"/>
      <c r="K162" s="40" t="s">
        <v>134</v>
      </c>
      <c r="L162" s="42">
        <v>4</v>
      </c>
      <c r="M162" s="40" t="s">
        <v>638</v>
      </c>
      <c r="O162" s="40"/>
      <c r="P162" s="40"/>
      <c r="Q162" s="91" t="s">
        <v>161</v>
      </c>
      <c r="R162" s="91"/>
      <c r="S162" s="247" t="s">
        <v>630</v>
      </c>
      <c r="T162" s="223" t="s">
        <v>123</v>
      </c>
      <c r="U162" s="223" t="s">
        <v>97</v>
      </c>
      <c r="V162" s="248" t="s">
        <v>98</v>
      </c>
      <c r="W162" s="248"/>
      <c r="X162" s="249"/>
    </row>
    <row r="163" spans="1:24" ht="15" customHeight="1" x14ac:dyDescent="0.35">
      <c r="A163" s="31" t="s">
        <v>87</v>
      </c>
      <c r="B163" s="62" t="s">
        <v>130</v>
      </c>
      <c r="C163" s="40" t="s">
        <v>55</v>
      </c>
      <c r="D163" s="56" t="s">
        <v>269</v>
      </c>
      <c r="E163" s="40" t="s">
        <v>651</v>
      </c>
      <c r="F163" s="37" t="s">
        <v>652</v>
      </c>
      <c r="G163" s="41"/>
      <c r="H163" s="40" t="s">
        <v>653</v>
      </c>
      <c r="I163" s="40"/>
      <c r="J163" s="40"/>
      <c r="K163" s="40" t="s">
        <v>93</v>
      </c>
      <c r="L163" s="42">
        <v>3</v>
      </c>
      <c r="M163" s="40" t="s">
        <v>513</v>
      </c>
      <c r="N163" s="43" t="s">
        <v>654</v>
      </c>
      <c r="O163" s="40"/>
      <c r="P163" s="40"/>
      <c r="Q163" s="91" t="s">
        <v>161</v>
      </c>
      <c r="R163" s="91"/>
      <c r="S163" s="247" t="s">
        <v>630</v>
      </c>
      <c r="T163" s="223" t="s">
        <v>123</v>
      </c>
      <c r="U163" s="223" t="s">
        <v>97</v>
      </c>
      <c r="V163" s="248" t="s">
        <v>98</v>
      </c>
      <c r="W163" s="248"/>
      <c r="X163" s="249"/>
    </row>
    <row r="164" spans="1:24" ht="15" customHeight="1" x14ac:dyDescent="0.35">
      <c r="A164" s="31" t="s">
        <v>87</v>
      </c>
      <c r="B164" s="62" t="s">
        <v>130</v>
      </c>
      <c r="C164" s="40" t="s">
        <v>55</v>
      </c>
      <c r="D164" s="56" t="s">
        <v>273</v>
      </c>
      <c r="E164" s="40" t="s">
        <v>655</v>
      </c>
      <c r="F164" s="37" t="s">
        <v>656</v>
      </c>
      <c r="G164" s="41"/>
      <c r="H164" s="40" t="s">
        <v>657</v>
      </c>
      <c r="I164" s="40"/>
      <c r="J164" s="40"/>
      <c r="K164" s="40" t="s">
        <v>93</v>
      </c>
      <c r="L164" s="42">
        <v>2</v>
      </c>
      <c r="M164" s="40" t="s">
        <v>115</v>
      </c>
      <c r="N164" s="43" t="s">
        <v>643</v>
      </c>
      <c r="O164" s="40"/>
      <c r="P164" s="40"/>
      <c r="Q164" s="91" t="s">
        <v>161</v>
      </c>
      <c r="R164" s="91"/>
      <c r="S164" s="247" t="s">
        <v>630</v>
      </c>
      <c r="T164" s="223" t="s">
        <v>123</v>
      </c>
      <c r="U164" s="223" t="s">
        <v>97</v>
      </c>
      <c r="V164" s="248" t="s">
        <v>98</v>
      </c>
      <c r="W164" s="248"/>
      <c r="X164" s="249"/>
    </row>
    <row r="165" spans="1:24" ht="15" customHeight="1" x14ac:dyDescent="0.35">
      <c r="A165" s="39" t="s">
        <v>87</v>
      </c>
      <c r="B165" s="62" t="s">
        <v>130</v>
      </c>
      <c r="C165" s="40" t="s">
        <v>55</v>
      </c>
      <c r="D165" s="56" t="s">
        <v>278</v>
      </c>
      <c r="E165" s="40" t="s">
        <v>658</v>
      </c>
      <c r="F165" s="37" t="s">
        <v>659</v>
      </c>
      <c r="G165" s="41"/>
      <c r="H165" s="40" t="s">
        <v>660</v>
      </c>
      <c r="I165" s="40"/>
      <c r="J165" s="40"/>
      <c r="K165" s="40" t="s">
        <v>93</v>
      </c>
      <c r="L165" s="42">
        <v>7</v>
      </c>
      <c r="M165" s="40" t="s">
        <v>661</v>
      </c>
      <c r="N165" s="51" t="s">
        <v>662</v>
      </c>
      <c r="O165" s="40"/>
      <c r="P165" s="40"/>
      <c r="Q165" s="91" t="s">
        <v>161</v>
      </c>
      <c r="R165" s="91"/>
      <c r="S165" s="247" t="s">
        <v>630</v>
      </c>
      <c r="T165" s="223" t="s">
        <v>123</v>
      </c>
      <c r="U165" s="223" t="s">
        <v>97</v>
      </c>
      <c r="V165" s="248" t="s">
        <v>98</v>
      </c>
      <c r="W165" s="248"/>
      <c r="X165" s="249"/>
    </row>
    <row r="166" spans="1:24" ht="15" customHeight="1" x14ac:dyDescent="0.35">
      <c r="A166" s="39" t="s">
        <v>87</v>
      </c>
      <c r="B166" s="62" t="s">
        <v>130</v>
      </c>
      <c r="C166" s="40" t="s">
        <v>55</v>
      </c>
      <c r="D166" s="56" t="s">
        <v>284</v>
      </c>
      <c r="E166" s="40" t="s">
        <v>663</v>
      </c>
      <c r="F166" s="37" t="s">
        <v>664</v>
      </c>
      <c r="G166" s="41"/>
      <c r="H166" s="40" t="s">
        <v>665</v>
      </c>
      <c r="I166" s="40"/>
      <c r="J166" s="40"/>
      <c r="K166" s="40" t="s">
        <v>93</v>
      </c>
      <c r="L166" s="42">
        <v>7</v>
      </c>
      <c r="M166" s="40" t="s">
        <v>661</v>
      </c>
      <c r="N166" s="51" t="s">
        <v>662</v>
      </c>
      <c r="O166" s="40"/>
      <c r="P166" s="40"/>
      <c r="Q166" s="91" t="s">
        <v>190</v>
      </c>
      <c r="R166" s="91"/>
      <c r="S166" s="247" t="s">
        <v>630</v>
      </c>
      <c r="T166" s="223" t="s">
        <v>123</v>
      </c>
      <c r="U166" s="223" t="s">
        <v>97</v>
      </c>
      <c r="V166" s="248" t="s">
        <v>98</v>
      </c>
      <c r="W166" s="248"/>
      <c r="X166" s="249"/>
    </row>
    <row r="167" spans="1:24" ht="15" customHeight="1" x14ac:dyDescent="0.35">
      <c r="A167" s="31" t="s">
        <v>87</v>
      </c>
      <c r="B167" s="62" t="s">
        <v>130</v>
      </c>
      <c r="C167" s="40" t="s">
        <v>55</v>
      </c>
      <c r="D167" s="56" t="s">
        <v>289</v>
      </c>
      <c r="E167" s="40" t="s">
        <v>666</v>
      </c>
      <c r="F167" s="37" t="s">
        <v>667</v>
      </c>
      <c r="G167" s="41"/>
      <c r="H167" s="40" t="s">
        <v>668</v>
      </c>
      <c r="I167" s="40"/>
      <c r="J167" s="40"/>
      <c r="K167" s="40" t="s">
        <v>254</v>
      </c>
      <c r="L167" s="42">
        <v>6</v>
      </c>
      <c r="M167" s="40" t="s">
        <v>669</v>
      </c>
      <c r="O167" s="40" t="s">
        <v>256</v>
      </c>
      <c r="P167" s="40" t="s">
        <v>670</v>
      </c>
      <c r="Q167" s="91" t="s">
        <v>161</v>
      </c>
      <c r="R167" s="91"/>
      <c r="S167" s="247" t="s">
        <v>630</v>
      </c>
      <c r="T167" s="223" t="s">
        <v>123</v>
      </c>
      <c r="U167" s="223" t="s">
        <v>97</v>
      </c>
      <c r="V167" s="248" t="s">
        <v>98</v>
      </c>
      <c r="W167" s="248"/>
      <c r="X167" s="249"/>
    </row>
    <row r="168" spans="1:24" ht="15" customHeight="1" x14ac:dyDescent="0.35">
      <c r="A168" s="31" t="s">
        <v>87</v>
      </c>
      <c r="B168" s="62" t="s">
        <v>130</v>
      </c>
      <c r="C168" s="40" t="s">
        <v>55</v>
      </c>
      <c r="D168" s="56" t="s">
        <v>295</v>
      </c>
      <c r="E168" s="40" t="s">
        <v>671</v>
      </c>
      <c r="F168" s="37" t="s">
        <v>672</v>
      </c>
      <c r="G168" s="41"/>
      <c r="H168" s="40" t="s">
        <v>673</v>
      </c>
      <c r="I168" s="40"/>
      <c r="J168" s="40"/>
      <c r="K168" s="40" t="s">
        <v>93</v>
      </c>
      <c r="L168" s="42">
        <v>2</v>
      </c>
      <c r="M168" s="40" t="s">
        <v>115</v>
      </c>
      <c r="N168" s="43" t="s">
        <v>647</v>
      </c>
      <c r="O168" s="40"/>
      <c r="P168" s="40"/>
      <c r="Q168" s="91" t="s">
        <v>190</v>
      </c>
      <c r="R168" s="91"/>
      <c r="S168" s="247" t="s">
        <v>630</v>
      </c>
      <c r="T168" s="223" t="s">
        <v>123</v>
      </c>
      <c r="U168" s="223" t="s">
        <v>97</v>
      </c>
      <c r="V168" s="248" t="s">
        <v>98</v>
      </c>
      <c r="W168" s="248"/>
      <c r="X168" s="249"/>
    </row>
    <row r="169" spans="1:24" ht="15" customHeight="1" x14ac:dyDescent="0.35">
      <c r="A169" s="31" t="s">
        <v>87</v>
      </c>
      <c r="B169" s="62" t="s">
        <v>130</v>
      </c>
      <c r="C169" s="40" t="s">
        <v>55</v>
      </c>
      <c r="D169" s="56" t="s">
        <v>300</v>
      </c>
      <c r="E169" s="40" t="s">
        <v>674</v>
      </c>
      <c r="F169" s="37" t="s">
        <v>675</v>
      </c>
      <c r="G169" s="41"/>
      <c r="H169" s="40" t="s">
        <v>676</v>
      </c>
      <c r="I169" s="40"/>
      <c r="J169" s="40"/>
      <c r="K169" s="40" t="s">
        <v>134</v>
      </c>
      <c r="L169" s="42">
        <v>4</v>
      </c>
      <c r="M169" s="40" t="s">
        <v>638</v>
      </c>
      <c r="O169" s="40"/>
      <c r="P169" s="40"/>
      <c r="Q169" s="91" t="s">
        <v>161</v>
      </c>
      <c r="R169" s="91"/>
      <c r="S169" s="247" t="s">
        <v>630</v>
      </c>
      <c r="T169" s="223" t="s">
        <v>123</v>
      </c>
      <c r="U169" s="223" t="s">
        <v>97</v>
      </c>
      <c r="V169" s="248" t="s">
        <v>98</v>
      </c>
      <c r="W169" s="248"/>
      <c r="X169" s="249"/>
    </row>
    <row r="170" spans="1:24" ht="15" customHeight="1" x14ac:dyDescent="0.35">
      <c r="A170" s="31" t="s">
        <v>87</v>
      </c>
      <c r="B170" s="62" t="s">
        <v>130</v>
      </c>
      <c r="C170" s="40" t="s">
        <v>55</v>
      </c>
      <c r="D170" s="56" t="s">
        <v>308</v>
      </c>
      <c r="E170" s="40" t="s">
        <v>677</v>
      </c>
      <c r="F170" s="37" t="s">
        <v>678</v>
      </c>
      <c r="G170" s="41"/>
      <c r="H170" s="40" t="s">
        <v>679</v>
      </c>
      <c r="I170" s="40"/>
      <c r="J170" s="40"/>
      <c r="K170" s="40" t="s">
        <v>93</v>
      </c>
      <c r="L170" s="42">
        <v>3</v>
      </c>
      <c r="M170" s="40" t="s">
        <v>513</v>
      </c>
      <c r="N170" s="43" t="s">
        <v>654</v>
      </c>
      <c r="O170" s="40"/>
      <c r="P170" s="40"/>
      <c r="Q170" s="91" t="s">
        <v>161</v>
      </c>
      <c r="R170" s="91"/>
      <c r="S170" s="247" t="s">
        <v>630</v>
      </c>
      <c r="T170" s="223" t="s">
        <v>123</v>
      </c>
      <c r="U170" s="223" t="s">
        <v>97</v>
      </c>
      <c r="V170" s="248" t="s">
        <v>98</v>
      </c>
      <c r="W170" s="248"/>
      <c r="X170" s="249"/>
    </row>
    <row r="171" spans="1:24" ht="15" customHeight="1" x14ac:dyDescent="0.35">
      <c r="A171" s="31" t="s">
        <v>87</v>
      </c>
      <c r="B171" s="62" t="s">
        <v>130</v>
      </c>
      <c r="C171" s="40" t="s">
        <v>55</v>
      </c>
      <c r="D171" s="56" t="s">
        <v>312</v>
      </c>
      <c r="E171" s="40" t="s">
        <v>680</v>
      </c>
      <c r="F171" s="37" t="s">
        <v>681</v>
      </c>
      <c r="G171" s="41"/>
      <c r="H171" s="40" t="s">
        <v>682</v>
      </c>
      <c r="I171" s="40"/>
      <c r="J171" s="40"/>
      <c r="K171" s="40" t="s">
        <v>93</v>
      </c>
      <c r="L171" s="42">
        <v>2</v>
      </c>
      <c r="M171" s="40" t="s">
        <v>115</v>
      </c>
      <c r="N171" s="43" t="s">
        <v>643</v>
      </c>
      <c r="O171" s="40"/>
      <c r="P171" s="40"/>
      <c r="Q171" s="91" t="s">
        <v>161</v>
      </c>
      <c r="R171" s="91"/>
      <c r="S171" s="247" t="s">
        <v>630</v>
      </c>
      <c r="T171" s="223" t="s">
        <v>123</v>
      </c>
      <c r="U171" s="223" t="s">
        <v>97</v>
      </c>
      <c r="V171" s="248" t="s">
        <v>98</v>
      </c>
      <c r="W171" s="248"/>
      <c r="X171" s="249"/>
    </row>
    <row r="172" spans="1:24" ht="15" customHeight="1" x14ac:dyDescent="0.35">
      <c r="A172" s="39" t="s">
        <v>87</v>
      </c>
      <c r="B172" s="62" t="s">
        <v>130</v>
      </c>
      <c r="C172" s="40" t="s">
        <v>55</v>
      </c>
      <c r="D172" s="56" t="s">
        <v>316</v>
      </c>
      <c r="E172" s="40" t="s">
        <v>683</v>
      </c>
      <c r="F172" s="37" t="s">
        <v>684</v>
      </c>
      <c r="G172" s="41"/>
      <c r="H172" s="40" t="s">
        <v>685</v>
      </c>
      <c r="I172" s="40"/>
      <c r="J172" s="40"/>
      <c r="K172" s="40" t="s">
        <v>93</v>
      </c>
      <c r="L172" s="42">
        <v>7</v>
      </c>
      <c r="M172" s="40" t="s">
        <v>661</v>
      </c>
      <c r="N172" s="51" t="s">
        <v>662</v>
      </c>
      <c r="O172" s="40"/>
      <c r="P172" s="40"/>
      <c r="Q172" s="91" t="s">
        <v>161</v>
      </c>
      <c r="R172" s="91"/>
      <c r="S172" s="247" t="s">
        <v>630</v>
      </c>
      <c r="T172" s="223" t="s">
        <v>123</v>
      </c>
      <c r="U172" s="223" t="s">
        <v>97</v>
      </c>
      <c r="V172" s="248" t="s">
        <v>98</v>
      </c>
      <c r="W172" s="248"/>
      <c r="X172" s="249"/>
    </row>
    <row r="173" spans="1:24" ht="15" customHeight="1" x14ac:dyDescent="0.35">
      <c r="A173" s="39" t="s">
        <v>87</v>
      </c>
      <c r="B173" s="62" t="s">
        <v>130</v>
      </c>
      <c r="C173" s="40" t="s">
        <v>55</v>
      </c>
      <c r="D173" s="56" t="s">
        <v>320</v>
      </c>
      <c r="E173" s="40" t="s">
        <v>686</v>
      </c>
      <c r="F173" s="37" t="s">
        <v>687</v>
      </c>
      <c r="G173" s="41"/>
      <c r="H173" s="40" t="s">
        <v>688</v>
      </c>
      <c r="I173" s="40"/>
      <c r="J173" s="40"/>
      <c r="K173" s="40" t="s">
        <v>93</v>
      </c>
      <c r="L173" s="42">
        <v>7</v>
      </c>
      <c r="M173" s="40" t="s">
        <v>661</v>
      </c>
      <c r="N173" s="51" t="s">
        <v>662</v>
      </c>
      <c r="O173" s="40"/>
      <c r="P173" s="40"/>
      <c r="Q173" s="91" t="s">
        <v>190</v>
      </c>
      <c r="R173" s="91"/>
      <c r="S173" s="247" t="s">
        <v>630</v>
      </c>
      <c r="T173" s="223" t="s">
        <v>123</v>
      </c>
      <c r="U173" s="223" t="s">
        <v>97</v>
      </c>
      <c r="V173" s="248" t="s">
        <v>98</v>
      </c>
      <c r="W173" s="248"/>
      <c r="X173" s="249"/>
    </row>
    <row r="174" spans="1:24" ht="15" customHeight="1" x14ac:dyDescent="0.35">
      <c r="A174" s="31" t="s">
        <v>87</v>
      </c>
      <c r="B174" s="62" t="s">
        <v>130</v>
      </c>
      <c r="C174" s="40" t="s">
        <v>55</v>
      </c>
      <c r="D174" s="56" t="s">
        <v>324</v>
      </c>
      <c r="E174" s="40" t="s">
        <v>689</v>
      </c>
      <c r="F174" s="37" t="s">
        <v>690</v>
      </c>
      <c r="G174" s="41"/>
      <c r="H174" s="40" t="s">
        <v>691</v>
      </c>
      <c r="I174" s="40"/>
      <c r="J174" s="40"/>
      <c r="K174" s="40" t="s">
        <v>93</v>
      </c>
      <c r="L174" s="42">
        <v>2</v>
      </c>
      <c r="M174" s="40" t="s">
        <v>115</v>
      </c>
      <c r="N174" s="43" t="s">
        <v>647</v>
      </c>
      <c r="O174" s="40"/>
      <c r="P174" s="40"/>
      <c r="Q174" s="91" t="s">
        <v>190</v>
      </c>
      <c r="R174" s="91"/>
      <c r="S174" s="247" t="s">
        <v>630</v>
      </c>
      <c r="T174" s="223" t="s">
        <v>123</v>
      </c>
      <c r="U174" s="223" t="s">
        <v>97</v>
      </c>
      <c r="V174" s="248" t="s">
        <v>98</v>
      </c>
      <c r="W174" s="248"/>
      <c r="X174" s="249"/>
    </row>
    <row r="175" spans="1:24" ht="15" customHeight="1" x14ac:dyDescent="0.35">
      <c r="A175" s="31" t="s">
        <v>87</v>
      </c>
      <c r="B175" s="62" t="s">
        <v>130</v>
      </c>
      <c r="C175" s="40" t="s">
        <v>55</v>
      </c>
      <c r="D175" s="56" t="s">
        <v>331</v>
      </c>
      <c r="E175" s="40" t="s">
        <v>692</v>
      </c>
      <c r="F175" s="37" t="s">
        <v>693</v>
      </c>
      <c r="G175" s="41"/>
      <c r="H175" s="40" t="s">
        <v>694</v>
      </c>
      <c r="I175" s="40"/>
      <c r="J175" s="40"/>
      <c r="K175" s="40" t="s">
        <v>134</v>
      </c>
      <c r="L175" s="42">
        <v>4</v>
      </c>
      <c r="M175" s="40" t="s">
        <v>638</v>
      </c>
      <c r="O175" s="40"/>
      <c r="P175" s="40"/>
      <c r="Q175" s="91" t="s">
        <v>161</v>
      </c>
      <c r="R175" s="91"/>
      <c r="S175" s="247" t="s">
        <v>630</v>
      </c>
      <c r="T175" s="223" t="s">
        <v>123</v>
      </c>
      <c r="U175" s="223" t="s">
        <v>97</v>
      </c>
      <c r="V175" s="248" t="s">
        <v>98</v>
      </c>
      <c r="W175" s="248"/>
      <c r="X175" s="249"/>
    </row>
    <row r="176" spans="1:24" ht="15" customHeight="1" x14ac:dyDescent="0.35">
      <c r="A176" s="31" t="s">
        <v>87</v>
      </c>
      <c r="B176" s="62" t="s">
        <v>130</v>
      </c>
      <c r="C176" s="40" t="s">
        <v>55</v>
      </c>
      <c r="D176" s="56" t="s">
        <v>335</v>
      </c>
      <c r="E176" s="40" t="s">
        <v>695</v>
      </c>
      <c r="F176" s="37" t="s">
        <v>696</v>
      </c>
      <c r="G176" s="41"/>
      <c r="H176" s="40" t="s">
        <v>697</v>
      </c>
      <c r="I176" s="40"/>
      <c r="J176" s="40"/>
      <c r="K176" s="40" t="s">
        <v>93</v>
      </c>
      <c r="L176" s="42">
        <v>3</v>
      </c>
      <c r="M176" s="40" t="s">
        <v>513</v>
      </c>
      <c r="N176" s="43" t="s">
        <v>654</v>
      </c>
      <c r="O176" s="40"/>
      <c r="P176" s="40"/>
      <c r="Q176" s="91" t="s">
        <v>161</v>
      </c>
      <c r="R176" s="91"/>
      <c r="S176" s="247" t="s">
        <v>630</v>
      </c>
      <c r="T176" s="223" t="s">
        <v>123</v>
      </c>
      <c r="U176" s="223" t="s">
        <v>97</v>
      </c>
      <c r="V176" s="248" t="s">
        <v>98</v>
      </c>
      <c r="W176" s="248"/>
      <c r="X176" s="249"/>
    </row>
    <row r="177" spans="1:24" ht="15" customHeight="1" x14ac:dyDescent="0.35">
      <c r="A177" s="31" t="s">
        <v>87</v>
      </c>
      <c r="B177" s="62" t="s">
        <v>130</v>
      </c>
      <c r="C177" s="40" t="s">
        <v>55</v>
      </c>
      <c r="D177" s="56" t="s">
        <v>340</v>
      </c>
      <c r="E177" s="40" t="s">
        <v>698</v>
      </c>
      <c r="F177" s="37" t="s">
        <v>699</v>
      </c>
      <c r="G177" s="41"/>
      <c r="H177" s="40" t="s">
        <v>700</v>
      </c>
      <c r="I177" s="40"/>
      <c r="J177" s="40"/>
      <c r="K177" s="40" t="s">
        <v>93</v>
      </c>
      <c r="L177" s="42">
        <v>2</v>
      </c>
      <c r="M177" s="40" t="s">
        <v>115</v>
      </c>
      <c r="N177" s="43" t="s">
        <v>643</v>
      </c>
      <c r="O177" s="40"/>
      <c r="P177" s="40"/>
      <c r="Q177" s="91" t="s">
        <v>161</v>
      </c>
      <c r="R177" s="91"/>
      <c r="S177" s="247" t="s">
        <v>630</v>
      </c>
      <c r="T177" s="223" t="s">
        <v>123</v>
      </c>
      <c r="U177" s="223" t="s">
        <v>97</v>
      </c>
      <c r="V177" s="248" t="s">
        <v>98</v>
      </c>
      <c r="W177" s="248"/>
      <c r="X177" s="249"/>
    </row>
    <row r="178" spans="1:24" ht="15" customHeight="1" x14ac:dyDescent="0.35">
      <c r="A178" s="39" t="s">
        <v>87</v>
      </c>
      <c r="B178" s="62" t="s">
        <v>130</v>
      </c>
      <c r="C178" s="40" t="s">
        <v>55</v>
      </c>
      <c r="D178" s="56" t="s">
        <v>344</v>
      </c>
      <c r="E178" s="40" t="s">
        <v>701</v>
      </c>
      <c r="F178" s="37" t="s">
        <v>702</v>
      </c>
      <c r="G178" s="41"/>
      <c r="H178" s="40" t="s">
        <v>703</v>
      </c>
      <c r="I178" s="40"/>
      <c r="J178" s="40"/>
      <c r="K178" s="40" t="s">
        <v>93</v>
      </c>
      <c r="L178" s="42">
        <v>7</v>
      </c>
      <c r="M178" s="40" t="s">
        <v>661</v>
      </c>
      <c r="N178" s="51" t="s">
        <v>662</v>
      </c>
      <c r="O178" s="40"/>
      <c r="P178" s="40"/>
      <c r="Q178" s="91" t="s">
        <v>161</v>
      </c>
      <c r="R178" s="91"/>
      <c r="S178" s="247" t="s">
        <v>630</v>
      </c>
      <c r="T178" s="223" t="s">
        <v>123</v>
      </c>
      <c r="U178" s="223" t="s">
        <v>97</v>
      </c>
      <c r="V178" s="248" t="s">
        <v>98</v>
      </c>
      <c r="W178" s="248"/>
      <c r="X178" s="249"/>
    </row>
    <row r="179" spans="1:24" ht="15" customHeight="1" x14ac:dyDescent="0.35">
      <c r="A179" s="39" t="s">
        <v>87</v>
      </c>
      <c r="B179" s="62" t="s">
        <v>130</v>
      </c>
      <c r="C179" s="40" t="s">
        <v>55</v>
      </c>
      <c r="D179" s="56" t="s">
        <v>349</v>
      </c>
      <c r="E179" s="40" t="s">
        <v>704</v>
      </c>
      <c r="F179" s="37" t="s">
        <v>705</v>
      </c>
      <c r="G179" s="41"/>
      <c r="H179" s="40" t="s">
        <v>706</v>
      </c>
      <c r="I179" s="40"/>
      <c r="J179" s="40"/>
      <c r="K179" s="40" t="s">
        <v>93</v>
      </c>
      <c r="L179" s="42">
        <v>7</v>
      </c>
      <c r="M179" s="40" t="s">
        <v>661</v>
      </c>
      <c r="N179" s="51" t="s">
        <v>662</v>
      </c>
      <c r="O179" s="40"/>
      <c r="P179" s="40"/>
      <c r="Q179" s="91" t="s">
        <v>190</v>
      </c>
      <c r="R179" s="91"/>
      <c r="S179" s="247" t="s">
        <v>630</v>
      </c>
      <c r="T179" s="223" t="s">
        <v>123</v>
      </c>
      <c r="U179" s="223" t="s">
        <v>97</v>
      </c>
      <c r="V179" s="248" t="s">
        <v>98</v>
      </c>
      <c r="W179" s="248"/>
      <c r="X179" s="249"/>
    </row>
    <row r="180" spans="1:24" ht="15" customHeight="1" x14ac:dyDescent="0.35">
      <c r="A180" s="31" t="s">
        <v>87</v>
      </c>
      <c r="B180" s="62" t="s">
        <v>130</v>
      </c>
      <c r="C180" s="40" t="s">
        <v>55</v>
      </c>
      <c r="D180" s="56" t="s">
        <v>354</v>
      </c>
      <c r="E180" s="40" t="s">
        <v>707</v>
      </c>
      <c r="F180" s="37" t="s">
        <v>708</v>
      </c>
      <c r="G180" s="41"/>
      <c r="H180" s="40" t="s">
        <v>709</v>
      </c>
      <c r="I180" s="40"/>
      <c r="J180" s="40"/>
      <c r="K180" s="40" t="s">
        <v>93</v>
      </c>
      <c r="L180" s="42">
        <v>2</v>
      </c>
      <c r="M180" s="40" t="s">
        <v>115</v>
      </c>
      <c r="N180" s="43" t="s">
        <v>647</v>
      </c>
      <c r="O180" s="40"/>
      <c r="P180" s="40"/>
      <c r="Q180" s="91" t="s">
        <v>190</v>
      </c>
      <c r="R180" s="91"/>
      <c r="S180" s="247" t="s">
        <v>630</v>
      </c>
      <c r="T180" s="223" t="s">
        <v>123</v>
      </c>
      <c r="U180" s="223" t="s">
        <v>97</v>
      </c>
      <c r="V180" s="248" t="s">
        <v>98</v>
      </c>
      <c r="W180" s="248"/>
      <c r="X180" s="249"/>
    </row>
    <row r="181" spans="1:24" ht="15" customHeight="1" x14ac:dyDescent="0.35">
      <c r="A181" s="31" t="s">
        <v>87</v>
      </c>
      <c r="B181" s="62" t="s">
        <v>130</v>
      </c>
      <c r="C181" s="40" t="s">
        <v>55</v>
      </c>
      <c r="D181" s="56" t="s">
        <v>359</v>
      </c>
      <c r="E181" s="40" t="s">
        <v>710</v>
      </c>
      <c r="F181" s="37" t="s">
        <v>711</v>
      </c>
      <c r="G181" s="41"/>
      <c r="H181" s="40" t="s">
        <v>712</v>
      </c>
      <c r="I181" s="40"/>
      <c r="J181" s="40"/>
      <c r="K181" s="40" t="s">
        <v>134</v>
      </c>
      <c r="L181" s="42">
        <v>4</v>
      </c>
      <c r="M181" s="40" t="s">
        <v>638</v>
      </c>
      <c r="O181" s="40"/>
      <c r="P181" s="40"/>
      <c r="Q181" s="91" t="s">
        <v>161</v>
      </c>
      <c r="R181" s="91"/>
      <c r="S181" s="247" t="s">
        <v>630</v>
      </c>
      <c r="T181" s="223" t="s">
        <v>123</v>
      </c>
      <c r="U181" s="223" t="s">
        <v>97</v>
      </c>
      <c r="V181" s="248" t="s">
        <v>98</v>
      </c>
      <c r="W181" s="248"/>
      <c r="X181" s="249"/>
    </row>
    <row r="182" spans="1:24" ht="15" customHeight="1" x14ac:dyDescent="0.35">
      <c r="A182" s="31" t="s">
        <v>87</v>
      </c>
      <c r="B182" s="62" t="s">
        <v>130</v>
      </c>
      <c r="C182" s="40" t="s">
        <v>55</v>
      </c>
      <c r="D182" s="56" t="s">
        <v>363</v>
      </c>
      <c r="E182" s="40" t="s">
        <v>713</v>
      </c>
      <c r="F182" s="37" t="s">
        <v>714</v>
      </c>
      <c r="G182" s="41"/>
      <c r="H182" s="40" t="s">
        <v>715</v>
      </c>
      <c r="I182" s="40"/>
      <c r="J182" s="40"/>
      <c r="K182" s="40" t="s">
        <v>93</v>
      </c>
      <c r="L182" s="42">
        <v>3</v>
      </c>
      <c r="M182" s="40" t="s">
        <v>513</v>
      </c>
      <c r="N182" s="43" t="s">
        <v>654</v>
      </c>
      <c r="O182" s="40"/>
      <c r="P182" s="40"/>
      <c r="Q182" s="91" t="s">
        <v>190</v>
      </c>
      <c r="R182" s="91"/>
      <c r="S182" s="247" t="s">
        <v>630</v>
      </c>
      <c r="T182" s="223" t="s">
        <v>123</v>
      </c>
      <c r="U182" s="223" t="s">
        <v>97</v>
      </c>
      <c r="V182" s="248" t="s">
        <v>98</v>
      </c>
      <c r="W182" s="248"/>
      <c r="X182" s="249"/>
    </row>
    <row r="183" spans="1:24" ht="15" customHeight="1" x14ac:dyDescent="0.35">
      <c r="A183" s="31" t="s">
        <v>87</v>
      </c>
      <c r="B183" s="62" t="s">
        <v>130</v>
      </c>
      <c r="C183" s="40" t="s">
        <v>55</v>
      </c>
      <c r="D183" s="56" t="s">
        <v>367</v>
      </c>
      <c r="E183" s="40" t="s">
        <v>716</v>
      </c>
      <c r="F183" s="37" t="s">
        <v>717</v>
      </c>
      <c r="G183" s="41"/>
      <c r="H183" s="40" t="s">
        <v>718</v>
      </c>
      <c r="I183" s="40"/>
      <c r="J183" s="40"/>
      <c r="K183" s="40" t="s">
        <v>93</v>
      </c>
      <c r="L183" s="42">
        <v>2</v>
      </c>
      <c r="M183" s="40" t="s">
        <v>115</v>
      </c>
      <c r="N183" s="43" t="s">
        <v>643</v>
      </c>
      <c r="O183" s="40"/>
      <c r="P183" s="40"/>
      <c r="Q183" s="91" t="s">
        <v>161</v>
      </c>
      <c r="R183" s="91"/>
      <c r="S183" s="247" t="s">
        <v>630</v>
      </c>
      <c r="T183" s="223" t="s">
        <v>123</v>
      </c>
      <c r="U183" s="223" t="s">
        <v>97</v>
      </c>
      <c r="V183" s="248" t="s">
        <v>98</v>
      </c>
      <c r="W183" s="248"/>
      <c r="X183" s="249"/>
    </row>
    <row r="184" spans="1:24" ht="15" customHeight="1" x14ac:dyDescent="0.35">
      <c r="A184" s="39" t="s">
        <v>87</v>
      </c>
      <c r="B184" s="62" t="s">
        <v>130</v>
      </c>
      <c r="C184" s="40" t="s">
        <v>55</v>
      </c>
      <c r="D184" s="56" t="s">
        <v>372</v>
      </c>
      <c r="E184" s="40" t="s">
        <v>719</v>
      </c>
      <c r="F184" s="37" t="s">
        <v>720</v>
      </c>
      <c r="G184" s="41"/>
      <c r="H184" s="40" t="s">
        <v>721</v>
      </c>
      <c r="I184" s="40"/>
      <c r="J184" s="40"/>
      <c r="K184" s="40" t="s">
        <v>93</v>
      </c>
      <c r="L184" s="42">
        <v>7</v>
      </c>
      <c r="M184" s="40" t="s">
        <v>661</v>
      </c>
      <c r="N184" s="51" t="s">
        <v>662</v>
      </c>
      <c r="O184" s="40"/>
      <c r="P184" s="40"/>
      <c r="Q184" s="91" t="s">
        <v>190</v>
      </c>
      <c r="R184" s="91"/>
      <c r="S184" s="247" t="s">
        <v>630</v>
      </c>
      <c r="T184" s="223" t="s">
        <v>123</v>
      </c>
      <c r="U184" s="223" t="s">
        <v>97</v>
      </c>
      <c r="V184" s="248" t="s">
        <v>98</v>
      </c>
      <c r="W184" s="248"/>
      <c r="X184" s="249"/>
    </row>
    <row r="185" spans="1:24" ht="15" customHeight="1" x14ac:dyDescent="0.35">
      <c r="A185" s="39" t="s">
        <v>87</v>
      </c>
      <c r="B185" s="62" t="s">
        <v>130</v>
      </c>
      <c r="C185" s="40" t="s">
        <v>55</v>
      </c>
      <c r="D185" s="56" t="s">
        <v>377</v>
      </c>
      <c r="E185" s="40" t="s">
        <v>722</v>
      </c>
      <c r="F185" s="37" t="s">
        <v>723</v>
      </c>
      <c r="G185" s="41"/>
      <c r="H185" s="40" t="s">
        <v>724</v>
      </c>
      <c r="I185" s="40"/>
      <c r="J185" s="40"/>
      <c r="K185" s="40" t="s">
        <v>93</v>
      </c>
      <c r="L185" s="42">
        <v>7</v>
      </c>
      <c r="M185" s="40" t="s">
        <v>661</v>
      </c>
      <c r="N185" s="51" t="s">
        <v>662</v>
      </c>
      <c r="O185" s="40"/>
      <c r="P185" s="40"/>
      <c r="Q185" s="91" t="s">
        <v>190</v>
      </c>
      <c r="R185" s="91"/>
      <c r="S185" s="247" t="s">
        <v>630</v>
      </c>
      <c r="T185" s="223" t="s">
        <v>123</v>
      </c>
      <c r="U185" s="223" t="s">
        <v>97</v>
      </c>
      <c r="V185" s="248" t="s">
        <v>98</v>
      </c>
      <c r="W185" s="248"/>
      <c r="X185" s="249"/>
    </row>
    <row r="186" spans="1:24" ht="15" customHeight="1" x14ac:dyDescent="0.35">
      <c r="A186" s="31" t="s">
        <v>87</v>
      </c>
      <c r="B186" s="62" t="s">
        <v>130</v>
      </c>
      <c r="C186" s="40" t="s">
        <v>55</v>
      </c>
      <c r="D186" s="56" t="s">
        <v>381</v>
      </c>
      <c r="E186" s="40" t="s">
        <v>725</v>
      </c>
      <c r="F186" s="37" t="s">
        <v>726</v>
      </c>
      <c r="G186" s="41"/>
      <c r="H186" s="40" t="s">
        <v>727</v>
      </c>
      <c r="I186" s="40"/>
      <c r="J186" s="40"/>
      <c r="K186" s="40" t="s">
        <v>93</v>
      </c>
      <c r="L186" s="42">
        <v>2</v>
      </c>
      <c r="M186" s="40" t="s">
        <v>115</v>
      </c>
      <c r="N186" s="43" t="s">
        <v>647</v>
      </c>
      <c r="O186" s="40"/>
      <c r="P186" s="40"/>
      <c r="Q186" s="91" t="s">
        <v>190</v>
      </c>
      <c r="R186" s="91"/>
      <c r="S186" s="247" t="s">
        <v>630</v>
      </c>
      <c r="T186" s="223" t="s">
        <v>123</v>
      </c>
      <c r="U186" s="223" t="s">
        <v>97</v>
      </c>
      <c r="V186" s="248" t="s">
        <v>98</v>
      </c>
      <c r="W186" s="248"/>
      <c r="X186" s="249"/>
    </row>
    <row r="187" spans="1:24" ht="15" customHeight="1" x14ac:dyDescent="0.35">
      <c r="A187" s="31" t="s">
        <v>87</v>
      </c>
      <c r="B187" s="62" t="s">
        <v>130</v>
      </c>
      <c r="C187" s="40" t="s">
        <v>55</v>
      </c>
      <c r="D187" s="56" t="s">
        <v>385</v>
      </c>
      <c r="E187" s="40" t="s">
        <v>728</v>
      </c>
      <c r="F187" s="37" t="s">
        <v>729</v>
      </c>
      <c r="G187" s="41"/>
      <c r="H187" s="40" t="s">
        <v>730</v>
      </c>
      <c r="I187" s="40"/>
      <c r="J187" s="40"/>
      <c r="K187" s="40" t="s">
        <v>134</v>
      </c>
      <c r="L187" s="42">
        <v>4</v>
      </c>
      <c r="M187" s="40" t="s">
        <v>638</v>
      </c>
      <c r="O187" s="40"/>
      <c r="P187" s="40"/>
      <c r="Q187" s="91" t="s">
        <v>161</v>
      </c>
      <c r="R187" s="91"/>
      <c r="S187" s="247" t="s">
        <v>630</v>
      </c>
      <c r="T187" s="223" t="s">
        <v>123</v>
      </c>
      <c r="U187" s="223" t="s">
        <v>97</v>
      </c>
      <c r="V187" s="248" t="s">
        <v>98</v>
      </c>
      <c r="W187" s="248"/>
      <c r="X187" s="249"/>
    </row>
    <row r="188" spans="1:24" ht="15" customHeight="1" x14ac:dyDescent="0.35">
      <c r="A188" s="31" t="s">
        <v>87</v>
      </c>
      <c r="B188" s="62" t="s">
        <v>130</v>
      </c>
      <c r="C188" s="40" t="s">
        <v>55</v>
      </c>
      <c r="D188" s="56" t="s">
        <v>389</v>
      </c>
      <c r="E188" s="40" t="s">
        <v>731</v>
      </c>
      <c r="F188" s="37" t="s">
        <v>732</v>
      </c>
      <c r="G188" s="41"/>
      <c r="H188" s="40" t="s">
        <v>733</v>
      </c>
      <c r="I188" s="40"/>
      <c r="J188" s="40"/>
      <c r="K188" s="40" t="s">
        <v>93</v>
      </c>
      <c r="L188" s="42">
        <v>3</v>
      </c>
      <c r="M188" s="40" t="s">
        <v>513</v>
      </c>
      <c r="N188" s="43" t="s">
        <v>654</v>
      </c>
      <c r="O188" s="40"/>
      <c r="P188" s="40"/>
      <c r="Q188" s="91" t="s">
        <v>161</v>
      </c>
      <c r="R188" s="91"/>
      <c r="S188" s="247" t="s">
        <v>630</v>
      </c>
      <c r="T188" s="223" t="s">
        <v>123</v>
      </c>
      <c r="U188" s="223" t="s">
        <v>97</v>
      </c>
      <c r="V188" s="248" t="s">
        <v>98</v>
      </c>
      <c r="W188" s="248"/>
      <c r="X188" s="249"/>
    </row>
    <row r="189" spans="1:24" ht="15" customHeight="1" x14ac:dyDescent="0.35">
      <c r="A189" s="31" t="s">
        <v>87</v>
      </c>
      <c r="B189" s="62" t="s">
        <v>130</v>
      </c>
      <c r="C189" s="40" t="s">
        <v>55</v>
      </c>
      <c r="D189" s="56" t="s">
        <v>394</v>
      </c>
      <c r="E189" s="40" t="s">
        <v>734</v>
      </c>
      <c r="F189" s="37" t="s">
        <v>735</v>
      </c>
      <c r="G189" s="41"/>
      <c r="H189" s="40" t="s">
        <v>736</v>
      </c>
      <c r="I189" s="40"/>
      <c r="J189" s="40"/>
      <c r="K189" s="40" t="s">
        <v>93</v>
      </c>
      <c r="L189" s="42">
        <v>2</v>
      </c>
      <c r="M189" s="40" t="s">
        <v>115</v>
      </c>
      <c r="N189" s="43" t="s">
        <v>643</v>
      </c>
      <c r="O189" s="40"/>
      <c r="P189" s="40"/>
      <c r="Q189" s="91" t="s">
        <v>161</v>
      </c>
      <c r="R189" s="91"/>
      <c r="S189" s="247" t="s">
        <v>630</v>
      </c>
      <c r="T189" s="223" t="s">
        <v>123</v>
      </c>
      <c r="U189" s="223" t="s">
        <v>97</v>
      </c>
      <c r="V189" s="248" t="s">
        <v>98</v>
      </c>
      <c r="W189" s="248"/>
      <c r="X189" s="249"/>
    </row>
    <row r="190" spans="1:24" ht="15" customHeight="1" x14ac:dyDescent="0.35">
      <c r="A190" s="39" t="s">
        <v>87</v>
      </c>
      <c r="B190" s="62" t="s">
        <v>130</v>
      </c>
      <c r="C190" s="40" t="s">
        <v>55</v>
      </c>
      <c r="D190" s="56" t="s">
        <v>398</v>
      </c>
      <c r="E190" s="40" t="s">
        <v>737</v>
      </c>
      <c r="F190" s="37" t="s">
        <v>738</v>
      </c>
      <c r="G190" s="41"/>
      <c r="H190" s="40" t="s">
        <v>739</v>
      </c>
      <c r="I190" s="40"/>
      <c r="J190" s="40"/>
      <c r="K190" s="40" t="s">
        <v>93</v>
      </c>
      <c r="L190" s="42">
        <v>7</v>
      </c>
      <c r="M190" s="40" t="s">
        <v>661</v>
      </c>
      <c r="N190" s="51" t="s">
        <v>662</v>
      </c>
      <c r="O190" s="40"/>
      <c r="P190" s="40"/>
      <c r="Q190" s="91" t="s">
        <v>161</v>
      </c>
      <c r="R190" s="91"/>
      <c r="S190" s="247" t="s">
        <v>630</v>
      </c>
      <c r="T190" s="223" t="s">
        <v>123</v>
      </c>
      <c r="U190" s="223" t="s">
        <v>97</v>
      </c>
      <c r="V190" s="248" t="s">
        <v>98</v>
      </c>
      <c r="W190" s="248"/>
      <c r="X190" s="249"/>
    </row>
    <row r="191" spans="1:24" ht="15" customHeight="1" x14ac:dyDescent="0.35">
      <c r="A191" s="39" t="s">
        <v>87</v>
      </c>
      <c r="B191" s="62" t="s">
        <v>130</v>
      </c>
      <c r="C191" s="40" t="s">
        <v>55</v>
      </c>
      <c r="D191" s="56" t="s">
        <v>740</v>
      </c>
      <c r="E191" s="40" t="s">
        <v>741</v>
      </c>
      <c r="F191" s="37" t="s">
        <v>742</v>
      </c>
      <c r="G191" s="41"/>
      <c r="H191" s="40" t="s">
        <v>743</v>
      </c>
      <c r="I191" s="40"/>
      <c r="J191" s="40"/>
      <c r="K191" s="40" t="s">
        <v>93</v>
      </c>
      <c r="L191" s="42">
        <v>7</v>
      </c>
      <c r="M191" s="40" t="s">
        <v>661</v>
      </c>
      <c r="N191" s="51" t="s">
        <v>662</v>
      </c>
      <c r="O191" s="40"/>
      <c r="P191" s="40"/>
      <c r="Q191" s="91" t="s">
        <v>190</v>
      </c>
      <c r="R191" s="91"/>
      <c r="S191" s="247" t="s">
        <v>630</v>
      </c>
      <c r="T191" s="223"/>
      <c r="U191" s="223" t="s">
        <v>97</v>
      </c>
      <c r="V191" s="248" t="s">
        <v>98</v>
      </c>
      <c r="W191" s="248"/>
      <c r="X191" s="249"/>
    </row>
    <row r="192" spans="1:24" ht="15" customHeight="1" x14ac:dyDescent="0.35">
      <c r="A192" s="31" t="s">
        <v>87</v>
      </c>
      <c r="B192" s="62" t="s">
        <v>130</v>
      </c>
      <c r="C192" s="40" t="s">
        <v>55</v>
      </c>
      <c r="D192" s="56" t="s">
        <v>744</v>
      </c>
      <c r="E192" s="40" t="s">
        <v>745</v>
      </c>
      <c r="F192" s="37" t="s">
        <v>746</v>
      </c>
      <c r="G192" s="41"/>
      <c r="H192" s="40" t="s">
        <v>747</v>
      </c>
      <c r="I192" s="40"/>
      <c r="J192" s="40"/>
      <c r="K192" s="40" t="s">
        <v>151</v>
      </c>
      <c r="L192" s="42">
        <v>4</v>
      </c>
      <c r="M192" s="40" t="s">
        <v>152</v>
      </c>
      <c r="O192" s="40" t="s">
        <v>639</v>
      </c>
      <c r="P192" s="40" t="s">
        <v>294</v>
      </c>
      <c r="Q192" s="91" t="s">
        <v>161</v>
      </c>
      <c r="R192" s="91"/>
      <c r="S192" s="247" t="s">
        <v>277</v>
      </c>
      <c r="T192" s="223" t="s">
        <v>97</v>
      </c>
      <c r="U192" s="223" t="s">
        <v>123</v>
      </c>
      <c r="V192" s="248" t="s">
        <v>98</v>
      </c>
      <c r="W192" s="248"/>
      <c r="X192" s="249"/>
    </row>
    <row r="193" spans="1:24" ht="15" customHeight="1" x14ac:dyDescent="0.35">
      <c r="A193" s="31" t="s">
        <v>87</v>
      </c>
      <c r="B193" s="62" t="s">
        <v>130</v>
      </c>
      <c r="C193" s="40" t="s">
        <v>55</v>
      </c>
      <c r="D193" s="56" t="s">
        <v>748</v>
      </c>
      <c r="E193" s="40" t="s">
        <v>749</v>
      </c>
      <c r="F193" s="37" t="s">
        <v>750</v>
      </c>
      <c r="G193" s="41"/>
      <c r="H193" s="40" t="s">
        <v>751</v>
      </c>
      <c r="I193" s="40"/>
      <c r="J193" s="40"/>
      <c r="K193" s="40" t="s">
        <v>93</v>
      </c>
      <c r="L193" s="42">
        <v>3</v>
      </c>
      <c r="M193" s="40" t="s">
        <v>513</v>
      </c>
      <c r="N193" s="43" t="s">
        <v>654</v>
      </c>
      <c r="O193" s="40"/>
      <c r="P193" s="40"/>
      <c r="Q193" s="91" t="s">
        <v>161</v>
      </c>
      <c r="R193" s="91"/>
      <c r="S193" s="247" t="s">
        <v>277</v>
      </c>
      <c r="T193" s="223" t="s">
        <v>97</v>
      </c>
      <c r="U193" s="223" t="s">
        <v>123</v>
      </c>
      <c r="V193" s="248" t="s">
        <v>98</v>
      </c>
      <c r="W193" s="248"/>
      <c r="X193" s="249"/>
    </row>
    <row r="194" spans="1:24" ht="15" customHeight="1" x14ac:dyDescent="0.35">
      <c r="A194" s="31" t="s">
        <v>87</v>
      </c>
      <c r="B194" s="62" t="s">
        <v>130</v>
      </c>
      <c r="C194" s="40" t="s">
        <v>55</v>
      </c>
      <c r="D194" s="56" t="s">
        <v>752</v>
      </c>
      <c r="E194" s="40" t="s">
        <v>753</v>
      </c>
      <c r="F194" s="37" t="s">
        <v>754</v>
      </c>
      <c r="G194" s="41"/>
      <c r="H194" s="40" t="s">
        <v>755</v>
      </c>
      <c r="I194" s="40"/>
      <c r="J194" s="40"/>
      <c r="K194" s="40" t="s">
        <v>93</v>
      </c>
      <c r="L194" s="42">
        <v>2</v>
      </c>
      <c r="M194" s="40" t="s">
        <v>115</v>
      </c>
      <c r="N194" s="43" t="s">
        <v>643</v>
      </c>
      <c r="O194" s="40"/>
      <c r="P194" s="40"/>
      <c r="Q194" s="91" t="s">
        <v>161</v>
      </c>
      <c r="R194" s="91"/>
      <c r="S194" s="247" t="s">
        <v>277</v>
      </c>
      <c r="T194" s="223" t="s">
        <v>97</v>
      </c>
      <c r="U194" s="223" t="s">
        <v>123</v>
      </c>
      <c r="V194" s="248" t="s">
        <v>98</v>
      </c>
      <c r="W194" s="248"/>
      <c r="X194" s="249"/>
    </row>
    <row r="195" spans="1:24" ht="15" customHeight="1" x14ac:dyDescent="0.35">
      <c r="A195" s="31" t="s">
        <v>87</v>
      </c>
      <c r="B195" s="62" t="s">
        <v>130</v>
      </c>
      <c r="C195" s="40" t="s">
        <v>55</v>
      </c>
      <c r="D195" s="56" t="s">
        <v>756</v>
      </c>
      <c r="E195" s="40" t="s">
        <v>757</v>
      </c>
      <c r="F195" s="37" t="s">
        <v>758</v>
      </c>
      <c r="G195" s="41"/>
      <c r="H195" s="40" t="s">
        <v>759</v>
      </c>
      <c r="I195" s="40"/>
      <c r="J195" s="40"/>
      <c r="K195" s="40" t="s">
        <v>93</v>
      </c>
      <c r="L195" s="42">
        <v>1</v>
      </c>
      <c r="M195" s="40" t="s">
        <v>109</v>
      </c>
      <c r="N195" s="43" t="s">
        <v>760</v>
      </c>
      <c r="O195" s="40"/>
      <c r="P195" s="40"/>
      <c r="Q195" s="91" t="s">
        <v>161</v>
      </c>
      <c r="R195" s="91"/>
      <c r="S195" s="247" t="s">
        <v>761</v>
      </c>
      <c r="T195" s="223" t="s">
        <v>97</v>
      </c>
      <c r="U195" s="223" t="s">
        <v>123</v>
      </c>
      <c r="V195" s="248" t="s">
        <v>98</v>
      </c>
      <c r="W195" s="248"/>
      <c r="X195" s="249"/>
    </row>
    <row r="196" spans="1:24" ht="15" customHeight="1" x14ac:dyDescent="0.35">
      <c r="A196" s="31" t="s">
        <v>87</v>
      </c>
      <c r="B196" s="62" t="s">
        <v>130</v>
      </c>
      <c r="C196" s="40" t="s">
        <v>55</v>
      </c>
      <c r="D196" s="56" t="s">
        <v>762</v>
      </c>
      <c r="E196" s="40" t="s">
        <v>763</v>
      </c>
      <c r="F196" s="37" t="s">
        <v>764</v>
      </c>
      <c r="G196" s="41"/>
      <c r="H196" s="40" t="s">
        <v>765</v>
      </c>
      <c r="I196" s="40"/>
      <c r="J196" s="40"/>
      <c r="K196" s="40" t="s">
        <v>151</v>
      </c>
      <c r="L196" s="42">
        <v>10</v>
      </c>
      <c r="M196" s="40" t="s">
        <v>152</v>
      </c>
      <c r="O196" s="40"/>
      <c r="P196" s="40" t="s">
        <v>294</v>
      </c>
      <c r="Q196" s="91" t="s">
        <v>161</v>
      </c>
      <c r="R196" s="91"/>
      <c r="S196" s="247" t="s">
        <v>761</v>
      </c>
      <c r="T196" s="223" t="s">
        <v>97</v>
      </c>
      <c r="U196" s="223" t="s">
        <v>123</v>
      </c>
      <c r="V196" s="248" t="s">
        <v>98</v>
      </c>
      <c r="W196" s="248"/>
      <c r="X196" s="249"/>
    </row>
    <row r="197" spans="1:24" ht="15" customHeight="1" x14ac:dyDescent="0.35">
      <c r="A197" s="31" t="s">
        <v>87</v>
      </c>
      <c r="B197" s="62" t="s">
        <v>130</v>
      </c>
      <c r="C197" s="40" t="s">
        <v>55</v>
      </c>
      <c r="D197" s="56" t="s">
        <v>766</v>
      </c>
      <c r="E197" s="40" t="s">
        <v>767</v>
      </c>
      <c r="F197" s="37" t="s">
        <v>768</v>
      </c>
      <c r="G197" s="41"/>
      <c r="H197" s="40" t="s">
        <v>769</v>
      </c>
      <c r="I197" s="40"/>
      <c r="J197" s="40"/>
      <c r="K197" s="40" t="s">
        <v>254</v>
      </c>
      <c r="L197" s="42">
        <v>3</v>
      </c>
      <c r="M197" s="40" t="s">
        <v>513</v>
      </c>
      <c r="O197" s="40" t="s">
        <v>88</v>
      </c>
      <c r="P197" s="40" t="s">
        <v>513</v>
      </c>
      <c r="Q197" s="91" t="s">
        <v>161</v>
      </c>
      <c r="R197" s="91"/>
      <c r="S197" s="247" t="s">
        <v>761</v>
      </c>
      <c r="T197" s="223" t="s">
        <v>97</v>
      </c>
      <c r="U197" s="223" t="s">
        <v>123</v>
      </c>
      <c r="V197" s="248" t="s">
        <v>98</v>
      </c>
      <c r="W197" s="248"/>
      <c r="X197" s="249"/>
    </row>
    <row r="198" spans="1:24" ht="15" customHeight="1" x14ac:dyDescent="0.35">
      <c r="A198" s="31" t="s">
        <v>87</v>
      </c>
      <c r="B198" s="62" t="s">
        <v>130</v>
      </c>
      <c r="C198" s="40" t="s">
        <v>55</v>
      </c>
      <c r="D198" s="56" t="s">
        <v>770</v>
      </c>
      <c r="E198" s="40" t="s">
        <v>771</v>
      </c>
      <c r="F198" s="37" t="s">
        <v>772</v>
      </c>
      <c r="G198" s="41"/>
      <c r="H198" s="40" t="s">
        <v>773</v>
      </c>
      <c r="I198" s="40"/>
      <c r="J198" s="40"/>
      <c r="K198" s="40" t="s">
        <v>93</v>
      </c>
      <c r="L198" s="42">
        <v>1</v>
      </c>
      <c r="M198" s="40" t="s">
        <v>109</v>
      </c>
      <c r="N198" s="43" t="s">
        <v>205</v>
      </c>
      <c r="O198" s="40"/>
      <c r="P198" s="40"/>
      <c r="Q198" s="91" t="s">
        <v>161</v>
      </c>
      <c r="R198" s="91"/>
      <c r="S198" s="247" t="s">
        <v>761</v>
      </c>
      <c r="T198" s="223" t="s">
        <v>97</v>
      </c>
      <c r="U198" s="223" t="s">
        <v>123</v>
      </c>
      <c r="V198" s="248" t="s">
        <v>98</v>
      </c>
      <c r="W198" s="248"/>
      <c r="X198" s="249"/>
    </row>
    <row r="199" spans="1:24" ht="15" customHeight="1" x14ac:dyDescent="0.35">
      <c r="A199" s="31" t="s">
        <v>87</v>
      </c>
      <c r="B199" s="62" t="s">
        <v>130</v>
      </c>
      <c r="C199" s="40" t="s">
        <v>55</v>
      </c>
      <c r="D199" s="56" t="s">
        <v>774</v>
      </c>
      <c r="E199" s="40" t="s">
        <v>775</v>
      </c>
      <c r="F199" s="37" t="s">
        <v>776</v>
      </c>
      <c r="G199" s="41"/>
      <c r="H199" s="40" t="s">
        <v>777</v>
      </c>
      <c r="I199" s="40"/>
      <c r="J199" s="40"/>
      <c r="K199" s="40" t="s">
        <v>93</v>
      </c>
      <c r="L199" s="42">
        <v>1</v>
      </c>
      <c r="M199" s="40" t="s">
        <v>109</v>
      </c>
      <c r="N199" s="43" t="s">
        <v>205</v>
      </c>
      <c r="O199" s="40"/>
      <c r="P199" s="40"/>
      <c r="Q199" s="91" t="s">
        <v>161</v>
      </c>
      <c r="R199" s="91"/>
      <c r="S199" s="247" t="s">
        <v>761</v>
      </c>
      <c r="T199" s="223" t="s">
        <v>97</v>
      </c>
      <c r="U199" s="223" t="s">
        <v>123</v>
      </c>
      <c r="V199" s="248" t="s">
        <v>98</v>
      </c>
      <c r="W199" s="248"/>
      <c r="X199" s="249"/>
    </row>
    <row r="200" spans="1:24" ht="15" customHeight="1" x14ac:dyDescent="0.35">
      <c r="A200" s="39" t="s">
        <v>87</v>
      </c>
      <c r="B200" s="62" t="s">
        <v>130</v>
      </c>
      <c r="C200" s="40" t="s">
        <v>55</v>
      </c>
      <c r="D200" s="56" t="s">
        <v>778</v>
      </c>
      <c r="E200" s="40" t="s">
        <v>221</v>
      </c>
      <c r="F200" s="37" t="s">
        <v>91</v>
      </c>
      <c r="G200" s="41"/>
      <c r="H200" s="40" t="s">
        <v>779</v>
      </c>
      <c r="I200" s="40"/>
      <c r="J200" s="40"/>
      <c r="K200" s="40" t="s">
        <v>93</v>
      </c>
      <c r="L200" s="42">
        <v>4</v>
      </c>
      <c r="M200" s="40" t="s">
        <v>94</v>
      </c>
      <c r="N200" s="51" t="s">
        <v>95</v>
      </c>
      <c r="O200" s="40"/>
      <c r="P200" s="40"/>
      <c r="Q200" s="91" t="s">
        <v>79</v>
      </c>
      <c r="R200" s="91"/>
      <c r="S200" s="247" t="s">
        <v>761</v>
      </c>
      <c r="T200" s="223" t="s">
        <v>97</v>
      </c>
      <c r="U200" s="223" t="s">
        <v>97</v>
      </c>
      <c r="V200" s="248" t="s">
        <v>98</v>
      </c>
      <c r="W200" s="248"/>
      <c r="X200" s="249"/>
    </row>
    <row r="201" spans="1:24" ht="15" customHeight="1" x14ac:dyDescent="0.35">
      <c r="A201" s="31" t="s">
        <v>87</v>
      </c>
      <c r="B201" s="62" t="s">
        <v>130</v>
      </c>
      <c r="C201" s="40" t="s">
        <v>55</v>
      </c>
      <c r="D201" s="56" t="s">
        <v>780</v>
      </c>
      <c r="E201" s="40" t="s">
        <v>781</v>
      </c>
      <c r="F201" s="37" t="s">
        <v>782</v>
      </c>
      <c r="G201" s="41"/>
      <c r="H201" s="40" t="s">
        <v>783</v>
      </c>
      <c r="I201" s="40"/>
      <c r="J201" s="40"/>
      <c r="K201" s="40" t="s">
        <v>134</v>
      </c>
      <c r="L201" s="42">
        <v>4</v>
      </c>
      <c r="M201" s="40" t="s">
        <v>638</v>
      </c>
      <c r="O201" s="40"/>
      <c r="P201" s="40"/>
      <c r="Q201" s="91" t="s">
        <v>161</v>
      </c>
      <c r="R201" s="91"/>
      <c r="S201" s="247" t="s">
        <v>784</v>
      </c>
      <c r="T201" s="223" t="s">
        <v>123</v>
      </c>
      <c r="U201" s="223" t="s">
        <v>97</v>
      </c>
      <c r="V201" s="248" t="s">
        <v>98</v>
      </c>
      <c r="W201" s="248"/>
      <c r="X201" s="249"/>
    </row>
    <row r="202" spans="1:24" ht="15" customHeight="1" x14ac:dyDescent="0.35">
      <c r="A202" s="31" t="s">
        <v>87</v>
      </c>
      <c r="B202" s="62" t="s">
        <v>130</v>
      </c>
      <c r="C202" s="40" t="s">
        <v>55</v>
      </c>
      <c r="D202" s="56" t="s">
        <v>785</v>
      </c>
      <c r="E202" s="40" t="s">
        <v>786</v>
      </c>
      <c r="F202" s="37" t="s">
        <v>787</v>
      </c>
      <c r="G202" s="41"/>
      <c r="H202" s="40" t="s">
        <v>788</v>
      </c>
      <c r="I202" s="40"/>
      <c r="J202" s="40"/>
      <c r="K202" s="40" t="s">
        <v>254</v>
      </c>
      <c r="L202" s="42">
        <v>4</v>
      </c>
      <c r="M202" s="40" t="s">
        <v>477</v>
      </c>
      <c r="O202" s="40" t="s">
        <v>88</v>
      </c>
      <c r="P202" s="40" t="s">
        <v>477</v>
      </c>
      <c r="Q202" s="91" t="s">
        <v>161</v>
      </c>
      <c r="R202" s="91"/>
      <c r="S202" s="247" t="s">
        <v>789</v>
      </c>
      <c r="T202" s="223" t="s">
        <v>123</v>
      </c>
      <c r="U202" s="223" t="s">
        <v>97</v>
      </c>
      <c r="V202" s="248" t="s">
        <v>98</v>
      </c>
      <c r="W202" s="248"/>
      <c r="X202" s="249"/>
    </row>
    <row r="203" spans="1:24" ht="15" customHeight="1" x14ac:dyDescent="0.35">
      <c r="A203" s="31" t="s">
        <v>87</v>
      </c>
      <c r="B203" s="62" t="s">
        <v>130</v>
      </c>
      <c r="C203" s="40" t="s">
        <v>55</v>
      </c>
      <c r="D203" s="56" t="s">
        <v>790</v>
      </c>
      <c r="E203" s="40" t="s">
        <v>791</v>
      </c>
      <c r="F203" s="37" t="s">
        <v>792</v>
      </c>
      <c r="G203" s="41"/>
      <c r="H203" s="40" t="s">
        <v>793</v>
      </c>
      <c r="I203" s="40"/>
      <c r="J203" s="40"/>
      <c r="K203" s="40" t="s">
        <v>254</v>
      </c>
      <c r="L203" s="42">
        <v>4</v>
      </c>
      <c r="M203" s="40" t="s">
        <v>477</v>
      </c>
      <c r="O203" s="40" t="s">
        <v>88</v>
      </c>
      <c r="P203" s="40" t="s">
        <v>477</v>
      </c>
      <c r="Q203" s="91" t="s">
        <v>161</v>
      </c>
      <c r="R203" s="91"/>
      <c r="S203" s="247" t="s">
        <v>789</v>
      </c>
      <c r="T203" s="223" t="s">
        <v>123</v>
      </c>
      <c r="U203" s="223" t="s">
        <v>97</v>
      </c>
      <c r="V203" s="248" t="s">
        <v>98</v>
      </c>
      <c r="W203" s="248"/>
      <c r="X203" s="249"/>
    </row>
    <row r="204" spans="1:24" ht="15" customHeight="1" x14ac:dyDescent="0.35">
      <c r="A204" s="31" t="s">
        <v>87</v>
      </c>
      <c r="B204" s="62" t="s">
        <v>130</v>
      </c>
      <c r="C204" s="40" t="s">
        <v>55</v>
      </c>
      <c r="D204" s="56" t="s">
        <v>794</v>
      </c>
      <c r="E204" s="40" t="s">
        <v>795</v>
      </c>
      <c r="F204" s="37" t="s">
        <v>796</v>
      </c>
      <c r="G204" s="41"/>
      <c r="H204" s="40" t="s">
        <v>797</v>
      </c>
      <c r="I204" s="40"/>
      <c r="J204" s="40"/>
      <c r="K204" s="40" t="s">
        <v>254</v>
      </c>
      <c r="L204" s="42">
        <v>4</v>
      </c>
      <c r="M204" s="40" t="s">
        <v>477</v>
      </c>
      <c r="O204" s="40" t="s">
        <v>88</v>
      </c>
      <c r="P204" s="40" t="s">
        <v>477</v>
      </c>
      <c r="Q204" s="91" t="s">
        <v>161</v>
      </c>
      <c r="R204" s="91"/>
      <c r="S204" s="247" t="s">
        <v>789</v>
      </c>
      <c r="T204" s="223" t="s">
        <v>123</v>
      </c>
      <c r="U204" s="223" t="s">
        <v>97</v>
      </c>
      <c r="V204" s="248" t="s">
        <v>98</v>
      </c>
      <c r="W204" s="248"/>
      <c r="X204" s="249"/>
    </row>
    <row r="205" spans="1:24" ht="15" customHeight="1" x14ac:dyDescent="0.35">
      <c r="A205" s="31" t="s">
        <v>87</v>
      </c>
      <c r="B205" s="62" t="s">
        <v>130</v>
      </c>
      <c r="C205" s="40" t="s">
        <v>55</v>
      </c>
      <c r="D205" s="56" t="s">
        <v>798</v>
      </c>
      <c r="E205" s="40" t="s">
        <v>799</v>
      </c>
      <c r="F205" s="37" t="s">
        <v>800</v>
      </c>
      <c r="G205" s="41"/>
      <c r="H205" s="40" t="s">
        <v>801</v>
      </c>
      <c r="I205" s="40"/>
      <c r="J205" s="40"/>
      <c r="K205" s="40" t="s">
        <v>254</v>
      </c>
      <c r="L205" s="42">
        <v>4</v>
      </c>
      <c r="M205" s="40" t="s">
        <v>477</v>
      </c>
      <c r="O205" s="40" t="s">
        <v>88</v>
      </c>
      <c r="P205" s="40" t="s">
        <v>477</v>
      </c>
      <c r="Q205" s="91" t="s">
        <v>161</v>
      </c>
      <c r="R205" s="91"/>
      <c r="S205" s="247" t="s">
        <v>789</v>
      </c>
      <c r="T205" s="223" t="s">
        <v>123</v>
      </c>
      <c r="U205" s="223" t="s">
        <v>97</v>
      </c>
      <c r="V205" s="248" t="s">
        <v>98</v>
      </c>
      <c r="W205" s="248"/>
      <c r="X205" s="249"/>
    </row>
    <row r="206" spans="1:24" ht="15" customHeight="1" x14ac:dyDescent="0.35">
      <c r="A206" s="31" t="s">
        <v>87</v>
      </c>
      <c r="B206" s="62" t="s">
        <v>130</v>
      </c>
      <c r="C206" s="40" t="s">
        <v>55</v>
      </c>
      <c r="D206" s="56" t="s">
        <v>802</v>
      </c>
      <c r="E206" s="40" t="s">
        <v>803</v>
      </c>
      <c r="F206" s="37" t="s">
        <v>804</v>
      </c>
      <c r="G206" s="41"/>
      <c r="H206" s="40" t="s">
        <v>805</v>
      </c>
      <c r="I206" s="40"/>
      <c r="J206" s="40"/>
      <c r="K206" s="40" t="s">
        <v>254</v>
      </c>
      <c r="L206" s="42">
        <v>4</v>
      </c>
      <c r="M206" s="40" t="s">
        <v>477</v>
      </c>
      <c r="O206" s="40" t="s">
        <v>88</v>
      </c>
      <c r="P206" s="40" t="s">
        <v>477</v>
      </c>
      <c r="Q206" s="91" t="s">
        <v>161</v>
      </c>
      <c r="R206" s="91"/>
      <c r="S206" s="247" t="s">
        <v>789</v>
      </c>
      <c r="T206" s="223" t="s">
        <v>123</v>
      </c>
      <c r="U206" s="223" t="s">
        <v>97</v>
      </c>
      <c r="V206" s="248" t="s">
        <v>98</v>
      </c>
      <c r="W206" s="248"/>
      <c r="X206" s="249"/>
    </row>
    <row r="207" spans="1:24" ht="15" customHeight="1" x14ac:dyDescent="0.35">
      <c r="A207" s="31" t="s">
        <v>87</v>
      </c>
      <c r="B207" s="62" t="s">
        <v>130</v>
      </c>
      <c r="C207" s="40" t="s">
        <v>55</v>
      </c>
      <c r="D207" s="56" t="s">
        <v>806</v>
      </c>
      <c r="E207" s="40" t="s">
        <v>807</v>
      </c>
      <c r="F207" s="37" t="s">
        <v>808</v>
      </c>
      <c r="G207" s="41"/>
      <c r="H207" s="36" t="s">
        <v>809</v>
      </c>
      <c r="I207" s="40"/>
      <c r="J207" s="40"/>
      <c r="K207" s="40" t="s">
        <v>151</v>
      </c>
      <c r="L207" s="42">
        <v>10</v>
      </c>
      <c r="M207" s="40" t="s">
        <v>152</v>
      </c>
      <c r="O207" s="40"/>
      <c r="P207" s="40"/>
      <c r="Q207" s="91" t="s">
        <v>79</v>
      </c>
      <c r="R207" s="91"/>
      <c r="S207" s="247" t="s">
        <v>784</v>
      </c>
      <c r="T207" s="223" t="s">
        <v>123</v>
      </c>
      <c r="U207" s="223" t="s">
        <v>97</v>
      </c>
      <c r="V207" s="248" t="s">
        <v>98</v>
      </c>
      <c r="W207" s="248"/>
      <c r="X207" s="249"/>
    </row>
    <row r="208" spans="1:24" ht="15" customHeight="1" x14ac:dyDescent="0.35">
      <c r="A208" s="31" t="s">
        <v>87</v>
      </c>
      <c r="B208" s="62" t="s">
        <v>130</v>
      </c>
      <c r="C208" s="40" t="s">
        <v>55</v>
      </c>
      <c r="D208" s="56" t="s">
        <v>810</v>
      </c>
      <c r="E208" s="40" t="s">
        <v>811</v>
      </c>
      <c r="F208" s="37" t="s">
        <v>812</v>
      </c>
      <c r="G208" s="41"/>
      <c r="H208" s="40" t="s">
        <v>813</v>
      </c>
      <c r="I208" s="40"/>
      <c r="J208" s="40"/>
      <c r="K208" s="40" t="s">
        <v>121</v>
      </c>
      <c r="L208" s="42">
        <v>2</v>
      </c>
      <c r="M208" s="40" t="s">
        <v>228</v>
      </c>
      <c r="O208" s="40" t="s">
        <v>89</v>
      </c>
      <c r="P208" s="40" t="s">
        <v>228</v>
      </c>
      <c r="Q208" s="91" t="s">
        <v>161</v>
      </c>
      <c r="R208" s="91"/>
      <c r="S208" s="247" t="s">
        <v>789</v>
      </c>
      <c r="T208" s="223" t="s">
        <v>123</v>
      </c>
      <c r="U208" s="223" t="s">
        <v>97</v>
      </c>
      <c r="V208" s="248" t="s">
        <v>98</v>
      </c>
      <c r="W208" s="248"/>
      <c r="X208" s="249"/>
    </row>
    <row r="209" spans="1:24" ht="15" customHeight="1" x14ac:dyDescent="0.35">
      <c r="A209" s="31" t="s">
        <v>87</v>
      </c>
      <c r="B209" s="62" t="s">
        <v>130</v>
      </c>
      <c r="C209" s="40" t="s">
        <v>55</v>
      </c>
      <c r="D209" s="56" t="s">
        <v>814</v>
      </c>
      <c r="E209" s="40" t="s">
        <v>815</v>
      </c>
      <c r="F209" s="37" t="s">
        <v>816</v>
      </c>
      <c r="G209" s="41"/>
      <c r="H209" s="40" t="s">
        <v>817</v>
      </c>
      <c r="I209" s="40"/>
      <c r="J209" s="40"/>
      <c r="K209" s="40" t="s">
        <v>93</v>
      </c>
      <c r="L209" s="42">
        <v>2</v>
      </c>
      <c r="M209" s="40" t="s">
        <v>115</v>
      </c>
      <c r="N209" s="43" t="s">
        <v>815</v>
      </c>
      <c r="O209" s="40"/>
      <c r="P209" s="40"/>
      <c r="Q209" s="91" t="s">
        <v>79</v>
      </c>
      <c r="R209" s="91"/>
      <c r="S209" s="247" t="s">
        <v>818</v>
      </c>
      <c r="T209" s="223" t="s">
        <v>97</v>
      </c>
      <c r="U209" s="223" t="s">
        <v>97</v>
      </c>
      <c r="V209" s="248" t="s">
        <v>98</v>
      </c>
      <c r="W209" s="248"/>
      <c r="X209" s="249"/>
    </row>
    <row r="210" spans="1:24" ht="15" customHeight="1" x14ac:dyDescent="0.35">
      <c r="A210" s="39" t="s">
        <v>87</v>
      </c>
      <c r="B210" s="62" t="s">
        <v>130</v>
      </c>
      <c r="C210" s="40" t="s">
        <v>55</v>
      </c>
      <c r="D210" s="56" t="s">
        <v>819</v>
      </c>
      <c r="E210" s="40" t="s">
        <v>820</v>
      </c>
      <c r="F210" s="37" t="s">
        <v>821</v>
      </c>
      <c r="G210" s="41"/>
      <c r="H210" s="40" t="s">
        <v>822</v>
      </c>
      <c r="I210" s="40"/>
      <c r="J210" s="40"/>
      <c r="K210" s="40" t="s">
        <v>93</v>
      </c>
      <c r="L210" s="42">
        <v>2</v>
      </c>
      <c r="M210" s="40" t="s">
        <v>115</v>
      </c>
      <c r="N210" s="51" t="s">
        <v>823</v>
      </c>
      <c r="O210" s="40"/>
      <c r="P210" s="40"/>
      <c r="Q210" s="91" t="s">
        <v>161</v>
      </c>
      <c r="R210" s="91"/>
      <c r="S210" s="247" t="s">
        <v>178</v>
      </c>
      <c r="T210" s="223" t="s">
        <v>97</v>
      </c>
      <c r="U210" s="223" t="s">
        <v>97</v>
      </c>
      <c r="V210" s="248" t="s">
        <v>98</v>
      </c>
      <c r="W210" s="248"/>
      <c r="X210" s="249"/>
    </row>
    <row r="211" spans="1:24" ht="15" customHeight="1" x14ac:dyDescent="0.35">
      <c r="A211" s="31" t="s">
        <v>87</v>
      </c>
      <c r="B211" s="62" t="s">
        <v>130</v>
      </c>
      <c r="C211" s="40" t="s">
        <v>55</v>
      </c>
      <c r="D211" s="56" t="s">
        <v>824</v>
      </c>
      <c r="E211" s="40" t="s">
        <v>825</v>
      </c>
      <c r="F211" s="37" t="s">
        <v>826</v>
      </c>
      <c r="G211" s="41"/>
      <c r="H211" s="40" t="s">
        <v>827</v>
      </c>
      <c r="I211" s="40"/>
      <c r="J211" s="40"/>
      <c r="K211" s="40" t="s">
        <v>254</v>
      </c>
      <c r="L211" s="42">
        <v>6</v>
      </c>
      <c r="M211" s="40" t="s">
        <v>103</v>
      </c>
      <c r="O211" s="40" t="s">
        <v>89</v>
      </c>
      <c r="P211" s="40" t="s">
        <v>103</v>
      </c>
      <c r="Q211" s="91" t="s">
        <v>161</v>
      </c>
      <c r="R211" s="91"/>
      <c r="S211" s="247" t="s">
        <v>178</v>
      </c>
      <c r="T211" s="223" t="s">
        <v>97</v>
      </c>
      <c r="U211" s="223" t="s">
        <v>97</v>
      </c>
      <c r="V211" s="248" t="s">
        <v>98</v>
      </c>
      <c r="W211" s="248"/>
      <c r="X211" s="249"/>
    </row>
    <row r="212" spans="1:24" ht="15" customHeight="1" x14ac:dyDescent="0.35">
      <c r="A212" s="31" t="s">
        <v>87</v>
      </c>
      <c r="B212" s="62" t="s">
        <v>130</v>
      </c>
      <c r="C212" s="40" t="s">
        <v>55</v>
      </c>
      <c r="D212" s="56" t="s">
        <v>828</v>
      </c>
      <c r="E212" s="40" t="s">
        <v>829</v>
      </c>
      <c r="F212" s="37" t="s">
        <v>830</v>
      </c>
      <c r="G212" s="41"/>
      <c r="H212" s="40" t="s">
        <v>831</v>
      </c>
      <c r="I212" s="40"/>
      <c r="J212" s="40"/>
      <c r="K212" s="40" t="s">
        <v>254</v>
      </c>
      <c r="L212" s="42">
        <v>3</v>
      </c>
      <c r="M212" s="40" t="s">
        <v>513</v>
      </c>
      <c r="O212" s="40" t="s">
        <v>89</v>
      </c>
      <c r="P212" s="40" t="s">
        <v>832</v>
      </c>
      <c r="Q212" s="91" t="s">
        <v>161</v>
      </c>
      <c r="R212" s="91"/>
      <c r="S212" s="247" t="s">
        <v>178</v>
      </c>
      <c r="T212" s="223" t="s">
        <v>97</v>
      </c>
      <c r="U212" s="223" t="s">
        <v>97</v>
      </c>
      <c r="V212" s="248" t="s">
        <v>98</v>
      </c>
      <c r="W212" s="248"/>
      <c r="X212" s="249"/>
    </row>
    <row r="213" spans="1:24" ht="15" customHeight="1" x14ac:dyDescent="0.35">
      <c r="A213" s="31" t="s">
        <v>87</v>
      </c>
      <c r="B213" s="62" t="s">
        <v>130</v>
      </c>
      <c r="C213" s="40" t="s">
        <v>55</v>
      </c>
      <c r="D213" s="56" t="s">
        <v>833</v>
      </c>
      <c r="E213" s="40" t="s">
        <v>834</v>
      </c>
      <c r="F213" s="37" t="s">
        <v>835</v>
      </c>
      <c r="G213" s="41"/>
      <c r="H213" s="40" t="s">
        <v>836</v>
      </c>
      <c r="I213" s="40"/>
      <c r="J213" s="40"/>
      <c r="K213" s="40" t="s">
        <v>254</v>
      </c>
      <c r="L213" s="42">
        <v>4</v>
      </c>
      <c r="M213" s="40" t="s">
        <v>94</v>
      </c>
      <c r="O213" s="40" t="s">
        <v>89</v>
      </c>
      <c r="P213" s="40" t="s">
        <v>837</v>
      </c>
      <c r="Q213" s="91" t="s">
        <v>161</v>
      </c>
      <c r="R213" s="91"/>
      <c r="S213" s="247" t="s">
        <v>178</v>
      </c>
      <c r="T213" s="223" t="s">
        <v>97</v>
      </c>
      <c r="U213" s="223" t="s">
        <v>97</v>
      </c>
      <c r="V213" s="248" t="s">
        <v>98</v>
      </c>
      <c r="W213" s="248"/>
      <c r="X213" s="249"/>
    </row>
    <row r="214" spans="1:24" ht="15" customHeight="1" x14ac:dyDescent="0.35">
      <c r="A214" s="31" t="s">
        <v>87</v>
      </c>
      <c r="B214" s="62" t="s">
        <v>130</v>
      </c>
      <c r="C214" s="40" t="s">
        <v>55</v>
      </c>
      <c r="D214" s="56" t="s">
        <v>838</v>
      </c>
      <c r="E214" s="40" t="s">
        <v>839</v>
      </c>
      <c r="F214" s="37" t="s">
        <v>840</v>
      </c>
      <c r="G214" s="41"/>
      <c r="H214" s="40" t="s">
        <v>841</v>
      </c>
      <c r="I214" s="40"/>
      <c r="J214" s="40"/>
      <c r="K214" s="40" t="s">
        <v>254</v>
      </c>
      <c r="L214" s="42">
        <v>4</v>
      </c>
      <c r="M214" s="40" t="s">
        <v>255</v>
      </c>
      <c r="O214" s="40" t="s">
        <v>88</v>
      </c>
      <c r="P214" s="63" t="s">
        <v>842</v>
      </c>
      <c r="Q214" s="91" t="s">
        <v>161</v>
      </c>
      <c r="R214" s="91"/>
      <c r="S214" s="247" t="s">
        <v>178</v>
      </c>
      <c r="T214" s="223" t="s">
        <v>97</v>
      </c>
      <c r="U214" s="223" t="s">
        <v>97</v>
      </c>
      <c r="V214" s="248" t="s">
        <v>98</v>
      </c>
      <c r="W214" s="248"/>
      <c r="X214" s="249" t="s">
        <v>843</v>
      </c>
    </row>
    <row r="215" spans="1:24" ht="15" customHeight="1" x14ac:dyDescent="0.35">
      <c r="A215" s="31" t="s">
        <v>87</v>
      </c>
      <c r="B215" s="62" t="s">
        <v>130</v>
      </c>
      <c r="C215" s="31" t="s">
        <v>55</v>
      </c>
      <c r="D215" s="56" t="s">
        <v>844</v>
      </c>
      <c r="E215" s="31" t="s">
        <v>845</v>
      </c>
      <c r="F215" s="34" t="s">
        <v>846</v>
      </c>
      <c r="G215" s="61"/>
      <c r="H215" s="31" t="s">
        <v>847</v>
      </c>
      <c r="I215" s="31"/>
      <c r="J215" s="31"/>
      <c r="K215" s="31" t="s">
        <v>93</v>
      </c>
      <c r="L215" s="35">
        <v>2</v>
      </c>
      <c r="M215" s="31" t="s">
        <v>115</v>
      </c>
      <c r="N215" s="43" t="s">
        <v>848</v>
      </c>
      <c r="O215" s="31"/>
      <c r="P215" s="31"/>
      <c r="Q215" s="90" t="s">
        <v>161</v>
      </c>
      <c r="R215" s="90"/>
      <c r="S215" s="247" t="s">
        <v>178</v>
      </c>
      <c r="T215" s="223" t="s">
        <v>97</v>
      </c>
      <c r="U215" s="223" t="s">
        <v>97</v>
      </c>
      <c r="V215" s="248" t="s">
        <v>98</v>
      </c>
      <c r="W215" s="248"/>
      <c r="X215" s="249"/>
    </row>
    <row r="216" spans="1:24" ht="15" customHeight="1" x14ac:dyDescent="0.35">
      <c r="A216" s="31" t="s">
        <v>87</v>
      </c>
      <c r="B216" s="62" t="s">
        <v>130</v>
      </c>
      <c r="C216" s="31" t="s">
        <v>55</v>
      </c>
      <c r="D216" s="56" t="s">
        <v>849</v>
      </c>
      <c r="E216" s="31" t="s">
        <v>850</v>
      </c>
      <c r="F216" s="34" t="s">
        <v>851</v>
      </c>
      <c r="G216" s="61"/>
      <c r="H216" s="31" t="s">
        <v>852</v>
      </c>
      <c r="I216" s="31"/>
      <c r="J216" s="31"/>
      <c r="K216" s="48" t="s">
        <v>461</v>
      </c>
      <c r="L216" s="35">
        <v>5</v>
      </c>
      <c r="M216" s="40">
        <v>999.9</v>
      </c>
      <c r="O216" s="31" t="s">
        <v>88</v>
      </c>
      <c r="P216" s="64" t="s">
        <v>853</v>
      </c>
      <c r="Q216" s="90" t="s">
        <v>161</v>
      </c>
      <c r="R216" s="90"/>
      <c r="S216" s="247" t="s">
        <v>178</v>
      </c>
      <c r="T216" s="223" t="s">
        <v>97</v>
      </c>
      <c r="U216" s="223" t="s">
        <v>97</v>
      </c>
      <c r="V216" s="248" t="s">
        <v>98</v>
      </c>
      <c r="W216" s="248"/>
      <c r="X216" s="249"/>
    </row>
    <row r="217" spans="1:24" ht="15" customHeight="1" x14ac:dyDescent="0.35">
      <c r="A217" s="31" t="s">
        <v>87</v>
      </c>
      <c r="B217" s="62" t="s">
        <v>130</v>
      </c>
      <c r="C217" s="31" t="s">
        <v>55</v>
      </c>
      <c r="D217" s="56" t="s">
        <v>854</v>
      </c>
      <c r="E217" s="31" t="s">
        <v>855</v>
      </c>
      <c r="F217" s="34" t="s">
        <v>856</v>
      </c>
      <c r="G217" s="61"/>
      <c r="H217" s="31" t="s">
        <v>857</v>
      </c>
      <c r="I217" s="31"/>
      <c r="J217" s="31"/>
      <c r="K217" s="31" t="s">
        <v>93</v>
      </c>
      <c r="L217" s="35">
        <v>2</v>
      </c>
      <c r="M217" s="31" t="s">
        <v>115</v>
      </c>
      <c r="N217" s="43" t="s">
        <v>848</v>
      </c>
      <c r="O217" s="31"/>
      <c r="P217" s="31"/>
      <c r="Q217" s="90" t="s">
        <v>161</v>
      </c>
      <c r="R217" s="90"/>
      <c r="S217" s="247" t="s">
        <v>178</v>
      </c>
      <c r="T217" s="223" t="s">
        <v>97</v>
      </c>
      <c r="U217" s="223" t="s">
        <v>97</v>
      </c>
      <c r="V217" s="248" t="s">
        <v>98</v>
      </c>
      <c r="W217" s="248"/>
      <c r="X217" s="249"/>
    </row>
    <row r="218" spans="1:24" ht="15" customHeight="1" x14ac:dyDescent="0.35">
      <c r="A218" s="31" t="s">
        <v>87</v>
      </c>
      <c r="B218" s="62" t="s">
        <v>130</v>
      </c>
      <c r="C218" s="31" t="s">
        <v>55</v>
      </c>
      <c r="D218" s="56" t="s">
        <v>858</v>
      </c>
      <c r="E218" s="31" t="s">
        <v>859</v>
      </c>
      <c r="F218" s="34" t="s">
        <v>860</v>
      </c>
      <c r="G218" s="61"/>
      <c r="H218" s="31" t="s">
        <v>861</v>
      </c>
      <c r="I218" s="31"/>
      <c r="J218" s="31"/>
      <c r="K218" s="48" t="s">
        <v>461</v>
      </c>
      <c r="L218" s="35">
        <v>5</v>
      </c>
      <c r="M218" s="40">
        <v>999.9</v>
      </c>
      <c r="O218" s="31" t="s">
        <v>88</v>
      </c>
      <c r="P218" s="64" t="s">
        <v>853</v>
      </c>
      <c r="Q218" s="90" t="s">
        <v>161</v>
      </c>
      <c r="R218" s="90"/>
      <c r="S218" s="247" t="s">
        <v>178</v>
      </c>
      <c r="T218" s="223" t="s">
        <v>97</v>
      </c>
      <c r="U218" s="223" t="s">
        <v>97</v>
      </c>
      <c r="V218" s="248" t="s">
        <v>98</v>
      </c>
      <c r="W218" s="248"/>
      <c r="X218" s="249"/>
    </row>
    <row r="219" spans="1:24" ht="15" customHeight="1" x14ac:dyDescent="0.35">
      <c r="A219" s="31" t="s">
        <v>87</v>
      </c>
      <c r="B219" s="62" t="s">
        <v>130</v>
      </c>
      <c r="C219" s="31" t="s">
        <v>55</v>
      </c>
      <c r="D219" s="56" t="s">
        <v>862</v>
      </c>
      <c r="E219" s="31" t="s">
        <v>863</v>
      </c>
      <c r="F219" s="34" t="s">
        <v>864</v>
      </c>
      <c r="G219" s="61"/>
      <c r="H219" s="31" t="s">
        <v>865</v>
      </c>
      <c r="I219" s="31"/>
      <c r="J219" s="31"/>
      <c r="K219" s="31" t="s">
        <v>93</v>
      </c>
      <c r="L219" s="35">
        <v>2</v>
      </c>
      <c r="M219" s="31" t="s">
        <v>115</v>
      </c>
      <c r="N219" s="43" t="s">
        <v>848</v>
      </c>
      <c r="O219" s="31"/>
      <c r="P219" s="31"/>
      <c r="Q219" s="90" t="s">
        <v>161</v>
      </c>
      <c r="R219" s="90"/>
      <c r="S219" s="247" t="s">
        <v>178</v>
      </c>
      <c r="T219" s="223" t="s">
        <v>97</v>
      </c>
      <c r="U219" s="223" t="s">
        <v>97</v>
      </c>
      <c r="V219" s="248" t="s">
        <v>98</v>
      </c>
      <c r="W219" s="248"/>
      <c r="X219" s="249"/>
    </row>
    <row r="220" spans="1:24" ht="15" customHeight="1" x14ac:dyDescent="0.35">
      <c r="A220" s="31" t="s">
        <v>87</v>
      </c>
      <c r="B220" s="62" t="s">
        <v>130</v>
      </c>
      <c r="C220" s="31" t="s">
        <v>55</v>
      </c>
      <c r="D220" s="56" t="s">
        <v>866</v>
      </c>
      <c r="E220" s="31" t="s">
        <v>867</v>
      </c>
      <c r="F220" s="34" t="s">
        <v>868</v>
      </c>
      <c r="G220" s="61"/>
      <c r="H220" s="31" t="s">
        <v>869</v>
      </c>
      <c r="I220" s="31"/>
      <c r="J220" s="31"/>
      <c r="K220" s="48" t="s">
        <v>461</v>
      </c>
      <c r="L220" s="35">
        <v>5</v>
      </c>
      <c r="M220" s="48">
        <v>999.9</v>
      </c>
      <c r="O220" s="31" t="s">
        <v>88</v>
      </c>
      <c r="P220" s="64" t="s">
        <v>853</v>
      </c>
      <c r="Q220" s="90" t="s">
        <v>161</v>
      </c>
      <c r="R220" s="90"/>
      <c r="S220" s="247" t="s">
        <v>178</v>
      </c>
      <c r="T220" s="223" t="s">
        <v>97</v>
      </c>
      <c r="U220" s="223" t="s">
        <v>97</v>
      </c>
      <c r="V220" s="248" t="s">
        <v>98</v>
      </c>
      <c r="W220" s="248"/>
      <c r="X220" s="249"/>
    </row>
    <row r="221" spans="1:24" ht="15" customHeight="1" x14ac:dyDescent="0.35">
      <c r="A221" s="31" t="s">
        <v>87</v>
      </c>
      <c r="B221" s="62" t="s">
        <v>130</v>
      </c>
      <c r="C221" s="31" t="s">
        <v>55</v>
      </c>
      <c r="D221" s="56" t="s">
        <v>870</v>
      </c>
      <c r="E221" s="31" t="s">
        <v>871</v>
      </c>
      <c r="F221" s="34" t="s">
        <v>872</v>
      </c>
      <c r="G221" s="61"/>
      <c r="H221" s="31" t="s">
        <v>873</v>
      </c>
      <c r="I221" s="31"/>
      <c r="J221" s="31"/>
      <c r="K221" s="31" t="s">
        <v>93</v>
      </c>
      <c r="L221" s="35">
        <v>2</v>
      </c>
      <c r="M221" s="31" t="s">
        <v>115</v>
      </c>
      <c r="N221" s="43" t="s">
        <v>848</v>
      </c>
      <c r="O221" s="31"/>
      <c r="P221" s="31"/>
      <c r="Q221" s="90" t="s">
        <v>161</v>
      </c>
      <c r="R221" s="90"/>
      <c r="S221" s="247" t="s">
        <v>178</v>
      </c>
      <c r="T221" s="223" t="s">
        <v>97</v>
      </c>
      <c r="U221" s="223" t="s">
        <v>97</v>
      </c>
      <c r="V221" s="248" t="s">
        <v>98</v>
      </c>
      <c r="W221" s="248"/>
      <c r="X221" s="249"/>
    </row>
    <row r="222" spans="1:24" ht="15" customHeight="1" x14ac:dyDescent="0.35">
      <c r="A222" s="31" t="s">
        <v>87</v>
      </c>
      <c r="B222" s="62" t="s">
        <v>130</v>
      </c>
      <c r="C222" s="31" t="s">
        <v>55</v>
      </c>
      <c r="D222" s="56" t="s">
        <v>874</v>
      </c>
      <c r="E222" s="31" t="s">
        <v>875</v>
      </c>
      <c r="F222" s="34" t="s">
        <v>876</v>
      </c>
      <c r="G222" s="61"/>
      <c r="H222" s="31" t="s">
        <v>877</v>
      </c>
      <c r="I222" s="31"/>
      <c r="J222" s="31"/>
      <c r="K222" s="48" t="s">
        <v>461</v>
      </c>
      <c r="L222" s="35">
        <v>5</v>
      </c>
      <c r="M222" s="40">
        <v>999.9</v>
      </c>
      <c r="O222" s="31" t="s">
        <v>88</v>
      </c>
      <c r="P222" s="64" t="s">
        <v>853</v>
      </c>
      <c r="Q222" s="90" t="s">
        <v>161</v>
      </c>
      <c r="R222" s="90"/>
      <c r="S222" s="247" t="s">
        <v>178</v>
      </c>
      <c r="T222" s="223" t="s">
        <v>97</v>
      </c>
      <c r="U222" s="223" t="s">
        <v>97</v>
      </c>
      <c r="V222" s="248" t="s">
        <v>98</v>
      </c>
      <c r="W222" s="248"/>
      <c r="X222" s="249"/>
    </row>
    <row r="223" spans="1:24" ht="15" customHeight="1" x14ac:dyDescent="0.35">
      <c r="A223" s="39" t="s">
        <v>87</v>
      </c>
      <c r="B223" s="62" t="s">
        <v>130</v>
      </c>
      <c r="C223" s="40" t="s">
        <v>55</v>
      </c>
      <c r="D223" s="56" t="s">
        <v>878</v>
      </c>
      <c r="E223" s="40" t="s">
        <v>879</v>
      </c>
      <c r="F223" s="37" t="s">
        <v>880</v>
      </c>
      <c r="G223" s="41"/>
      <c r="H223" s="40" t="s">
        <v>881</v>
      </c>
      <c r="I223" s="40"/>
      <c r="J223" s="40"/>
      <c r="K223" s="40" t="s">
        <v>93</v>
      </c>
      <c r="L223" s="42">
        <v>2</v>
      </c>
      <c r="M223" s="40" t="s">
        <v>115</v>
      </c>
      <c r="N223" s="51" t="s">
        <v>823</v>
      </c>
      <c r="O223" s="40"/>
      <c r="P223" s="40"/>
      <c r="Q223" s="91" t="s">
        <v>190</v>
      </c>
      <c r="R223" s="91"/>
      <c r="S223" s="247" t="s">
        <v>178</v>
      </c>
      <c r="T223" s="223" t="s">
        <v>97</v>
      </c>
      <c r="U223" s="223" t="s">
        <v>97</v>
      </c>
      <c r="V223" s="248" t="s">
        <v>98</v>
      </c>
      <c r="W223" s="248"/>
      <c r="X223" s="249"/>
    </row>
    <row r="224" spans="1:24" ht="15" customHeight="1" x14ac:dyDescent="0.35">
      <c r="A224" s="31" t="s">
        <v>87</v>
      </c>
      <c r="B224" s="62" t="s">
        <v>130</v>
      </c>
      <c r="C224" s="48" t="s">
        <v>55</v>
      </c>
      <c r="D224" s="56" t="s">
        <v>882</v>
      </c>
      <c r="E224" s="48" t="s">
        <v>883</v>
      </c>
      <c r="F224" s="34" t="s">
        <v>884</v>
      </c>
      <c r="G224" s="49"/>
      <c r="H224" s="48" t="s">
        <v>885</v>
      </c>
      <c r="I224" s="48"/>
      <c r="J224" s="48"/>
      <c r="K224" s="48" t="s">
        <v>254</v>
      </c>
      <c r="L224" s="50">
        <v>6</v>
      </c>
      <c r="M224" s="48" t="s">
        <v>103</v>
      </c>
      <c r="O224" s="40" t="s">
        <v>89</v>
      </c>
      <c r="P224" s="48" t="s">
        <v>103</v>
      </c>
      <c r="Q224" s="91" t="s">
        <v>161</v>
      </c>
      <c r="R224" s="91"/>
      <c r="S224" s="247" t="s">
        <v>178</v>
      </c>
      <c r="T224" s="223" t="s">
        <v>97</v>
      </c>
      <c r="U224" s="223" t="s">
        <v>97</v>
      </c>
      <c r="V224" s="248" t="s">
        <v>98</v>
      </c>
      <c r="W224" s="248"/>
      <c r="X224" s="249"/>
    </row>
    <row r="225" spans="1:24" ht="15" customHeight="1" x14ac:dyDescent="0.35">
      <c r="A225" s="31" t="s">
        <v>87</v>
      </c>
      <c r="B225" s="62" t="s">
        <v>130</v>
      </c>
      <c r="C225" s="40" t="s">
        <v>55</v>
      </c>
      <c r="D225" s="56" t="s">
        <v>886</v>
      </c>
      <c r="E225" s="40" t="s">
        <v>887</v>
      </c>
      <c r="F225" s="37" t="s">
        <v>888</v>
      </c>
      <c r="G225" s="41"/>
      <c r="H225" s="40" t="s">
        <v>889</v>
      </c>
      <c r="I225" s="40"/>
      <c r="J225" s="40"/>
      <c r="K225" s="40" t="s">
        <v>254</v>
      </c>
      <c r="L225" s="42">
        <v>3</v>
      </c>
      <c r="M225" s="40" t="s">
        <v>513</v>
      </c>
      <c r="O225" s="40" t="s">
        <v>89</v>
      </c>
      <c r="P225" s="40" t="s">
        <v>832</v>
      </c>
      <c r="Q225" s="91" t="s">
        <v>161</v>
      </c>
      <c r="R225" s="91"/>
      <c r="S225" s="247" t="s">
        <v>178</v>
      </c>
      <c r="T225" s="223" t="s">
        <v>97</v>
      </c>
      <c r="U225" s="223" t="s">
        <v>97</v>
      </c>
      <c r="V225" s="248" t="s">
        <v>98</v>
      </c>
      <c r="W225" s="248"/>
      <c r="X225" s="249"/>
    </row>
    <row r="226" spans="1:24" ht="15" customHeight="1" x14ac:dyDescent="0.35">
      <c r="A226" s="31" t="s">
        <v>87</v>
      </c>
      <c r="B226" s="62" t="s">
        <v>130</v>
      </c>
      <c r="C226" s="40" t="s">
        <v>55</v>
      </c>
      <c r="D226" s="56" t="s">
        <v>890</v>
      </c>
      <c r="E226" s="40" t="s">
        <v>891</v>
      </c>
      <c r="F226" s="37" t="s">
        <v>892</v>
      </c>
      <c r="G226" s="41"/>
      <c r="H226" s="40" t="s">
        <v>893</v>
      </c>
      <c r="I226" s="40"/>
      <c r="J226" s="40"/>
      <c r="K226" s="40" t="s">
        <v>254</v>
      </c>
      <c r="L226" s="42">
        <v>4</v>
      </c>
      <c r="M226" s="40" t="s">
        <v>94</v>
      </c>
      <c r="O226" s="40" t="s">
        <v>89</v>
      </c>
      <c r="P226" s="40" t="s">
        <v>94</v>
      </c>
      <c r="Q226" s="91" t="s">
        <v>161</v>
      </c>
      <c r="R226" s="91"/>
      <c r="S226" s="247" t="s">
        <v>178</v>
      </c>
      <c r="T226" s="223" t="s">
        <v>97</v>
      </c>
      <c r="U226" s="223" t="s">
        <v>97</v>
      </c>
      <c r="V226" s="248" t="s">
        <v>98</v>
      </c>
      <c r="W226" s="248"/>
      <c r="X226" s="249"/>
    </row>
    <row r="227" spans="1:24" ht="15" customHeight="1" x14ac:dyDescent="0.35">
      <c r="A227" s="31" t="s">
        <v>87</v>
      </c>
      <c r="B227" s="62" t="s">
        <v>130</v>
      </c>
      <c r="C227" s="40" t="s">
        <v>55</v>
      </c>
      <c r="D227" s="56" t="s">
        <v>894</v>
      </c>
      <c r="E227" s="40" t="s">
        <v>895</v>
      </c>
      <c r="F227" s="37" t="s">
        <v>896</v>
      </c>
      <c r="G227" s="41"/>
      <c r="H227" s="40" t="s">
        <v>897</v>
      </c>
      <c r="I227" s="40"/>
      <c r="J227" s="40"/>
      <c r="K227" s="40" t="s">
        <v>254</v>
      </c>
      <c r="L227" s="42">
        <v>4</v>
      </c>
      <c r="M227" s="40" t="s">
        <v>255</v>
      </c>
      <c r="O227" s="40" t="s">
        <v>88</v>
      </c>
      <c r="P227" s="63" t="s">
        <v>842</v>
      </c>
      <c r="Q227" s="91" t="s">
        <v>161</v>
      </c>
      <c r="R227" s="91"/>
      <c r="S227" s="247" t="s">
        <v>178</v>
      </c>
      <c r="T227" s="223" t="s">
        <v>97</v>
      </c>
      <c r="U227" s="223" t="s">
        <v>97</v>
      </c>
      <c r="V227" s="248" t="s">
        <v>98</v>
      </c>
      <c r="W227" s="248"/>
      <c r="X227" s="249"/>
    </row>
    <row r="228" spans="1:24" ht="15" customHeight="1" x14ac:dyDescent="0.35">
      <c r="A228" s="31" t="s">
        <v>87</v>
      </c>
      <c r="B228" s="62" t="s">
        <v>130</v>
      </c>
      <c r="C228" s="31" t="s">
        <v>55</v>
      </c>
      <c r="D228" s="56" t="s">
        <v>898</v>
      </c>
      <c r="E228" s="31" t="s">
        <v>899</v>
      </c>
      <c r="F228" s="34" t="s">
        <v>900</v>
      </c>
      <c r="G228" s="61"/>
      <c r="H228" s="31" t="s">
        <v>847</v>
      </c>
      <c r="I228" s="31"/>
      <c r="J228" s="31"/>
      <c r="K228" s="31" t="s">
        <v>93</v>
      </c>
      <c r="L228" s="35">
        <v>2</v>
      </c>
      <c r="M228" s="31" t="s">
        <v>115</v>
      </c>
      <c r="N228" s="43" t="s">
        <v>848</v>
      </c>
      <c r="O228" s="31"/>
      <c r="P228" s="31"/>
      <c r="Q228" s="90" t="s">
        <v>161</v>
      </c>
      <c r="R228" s="90"/>
      <c r="S228" s="247" t="s">
        <v>178</v>
      </c>
      <c r="T228" s="223" t="s">
        <v>97</v>
      </c>
      <c r="U228" s="223" t="s">
        <v>97</v>
      </c>
      <c r="V228" s="248" t="s">
        <v>98</v>
      </c>
      <c r="W228" s="248"/>
      <c r="X228" s="249"/>
    </row>
    <row r="229" spans="1:24" ht="15" customHeight="1" x14ac:dyDescent="0.35">
      <c r="A229" s="31" t="s">
        <v>87</v>
      </c>
      <c r="B229" s="62" t="s">
        <v>130</v>
      </c>
      <c r="C229" s="31" t="s">
        <v>55</v>
      </c>
      <c r="D229" s="56" t="s">
        <v>901</v>
      </c>
      <c r="E229" s="31" t="s">
        <v>902</v>
      </c>
      <c r="F229" s="34" t="s">
        <v>903</v>
      </c>
      <c r="G229" s="61"/>
      <c r="H229" s="31" t="s">
        <v>852</v>
      </c>
      <c r="I229" s="31"/>
      <c r="J229" s="31"/>
      <c r="K229" s="48" t="s">
        <v>461</v>
      </c>
      <c r="L229" s="35">
        <v>5</v>
      </c>
      <c r="M229" s="31">
        <v>999.9</v>
      </c>
      <c r="O229" s="31" t="s">
        <v>88</v>
      </c>
      <c r="P229" s="64" t="s">
        <v>853</v>
      </c>
      <c r="Q229" s="90" t="s">
        <v>161</v>
      </c>
      <c r="R229" s="90"/>
      <c r="S229" s="247" t="s">
        <v>178</v>
      </c>
      <c r="T229" s="223" t="s">
        <v>97</v>
      </c>
      <c r="U229" s="223" t="s">
        <v>97</v>
      </c>
      <c r="V229" s="248" t="s">
        <v>98</v>
      </c>
      <c r="W229" s="248"/>
      <c r="X229" s="249"/>
    </row>
    <row r="230" spans="1:24" ht="15" customHeight="1" x14ac:dyDescent="0.35">
      <c r="A230" s="31" t="s">
        <v>87</v>
      </c>
      <c r="B230" s="62" t="s">
        <v>130</v>
      </c>
      <c r="C230" s="31" t="s">
        <v>55</v>
      </c>
      <c r="D230" s="56" t="s">
        <v>904</v>
      </c>
      <c r="E230" s="31" t="s">
        <v>905</v>
      </c>
      <c r="F230" s="34" t="s">
        <v>906</v>
      </c>
      <c r="G230" s="61"/>
      <c r="H230" s="31" t="s">
        <v>857</v>
      </c>
      <c r="I230" s="31"/>
      <c r="J230" s="31"/>
      <c r="K230" s="31" t="s">
        <v>93</v>
      </c>
      <c r="L230" s="35"/>
      <c r="M230" s="31" t="s">
        <v>115</v>
      </c>
      <c r="N230" s="43" t="s">
        <v>848</v>
      </c>
      <c r="O230" s="31"/>
      <c r="P230" s="31"/>
      <c r="Q230" s="90" t="s">
        <v>161</v>
      </c>
      <c r="R230" s="90"/>
      <c r="S230" s="247" t="s">
        <v>178</v>
      </c>
      <c r="T230" s="223" t="s">
        <v>97</v>
      </c>
      <c r="U230" s="223" t="s">
        <v>97</v>
      </c>
      <c r="V230" s="248" t="s">
        <v>98</v>
      </c>
      <c r="W230" s="248"/>
      <c r="X230" s="249"/>
    </row>
    <row r="231" spans="1:24" ht="15" customHeight="1" x14ac:dyDescent="0.35">
      <c r="A231" s="31" t="s">
        <v>87</v>
      </c>
      <c r="B231" s="62" t="s">
        <v>130</v>
      </c>
      <c r="C231" s="31" t="s">
        <v>55</v>
      </c>
      <c r="D231" s="56" t="s">
        <v>907</v>
      </c>
      <c r="E231" s="31" t="s">
        <v>908</v>
      </c>
      <c r="F231" s="34" t="s">
        <v>909</v>
      </c>
      <c r="G231" s="61"/>
      <c r="H231" s="31" t="s">
        <v>861</v>
      </c>
      <c r="I231" s="31"/>
      <c r="J231" s="31"/>
      <c r="K231" s="48" t="s">
        <v>461</v>
      </c>
      <c r="L231" s="35">
        <v>5</v>
      </c>
      <c r="M231" s="31">
        <v>999.9</v>
      </c>
      <c r="O231" s="31" t="s">
        <v>88</v>
      </c>
      <c r="P231" s="64" t="s">
        <v>853</v>
      </c>
      <c r="Q231" s="90" t="s">
        <v>161</v>
      </c>
      <c r="R231" s="90"/>
      <c r="S231" s="247" t="s">
        <v>178</v>
      </c>
      <c r="T231" s="223" t="s">
        <v>97</v>
      </c>
      <c r="U231" s="223" t="s">
        <v>97</v>
      </c>
      <c r="V231" s="248" t="s">
        <v>98</v>
      </c>
      <c r="W231" s="248"/>
      <c r="X231" s="249"/>
    </row>
    <row r="232" spans="1:24" ht="15" customHeight="1" x14ac:dyDescent="0.35">
      <c r="A232" s="31" t="s">
        <v>87</v>
      </c>
      <c r="B232" s="62" t="s">
        <v>130</v>
      </c>
      <c r="C232" s="31" t="s">
        <v>55</v>
      </c>
      <c r="D232" s="56" t="s">
        <v>910</v>
      </c>
      <c r="E232" s="31" t="s">
        <v>911</v>
      </c>
      <c r="F232" s="34" t="s">
        <v>912</v>
      </c>
      <c r="G232" s="61"/>
      <c r="H232" s="31" t="s">
        <v>865</v>
      </c>
      <c r="I232" s="31"/>
      <c r="J232" s="31"/>
      <c r="K232" s="31" t="s">
        <v>93</v>
      </c>
      <c r="L232" s="35">
        <v>2</v>
      </c>
      <c r="M232" s="31" t="s">
        <v>115</v>
      </c>
      <c r="N232" s="43" t="s">
        <v>848</v>
      </c>
      <c r="O232" s="31"/>
      <c r="P232" s="31"/>
      <c r="Q232" s="90" t="s">
        <v>161</v>
      </c>
      <c r="R232" s="90"/>
      <c r="S232" s="247" t="s">
        <v>178</v>
      </c>
      <c r="T232" s="223" t="s">
        <v>97</v>
      </c>
      <c r="U232" s="223" t="s">
        <v>97</v>
      </c>
      <c r="V232" s="248" t="s">
        <v>98</v>
      </c>
      <c r="W232" s="248"/>
      <c r="X232" s="249"/>
    </row>
    <row r="233" spans="1:24" ht="15" customHeight="1" x14ac:dyDescent="0.35">
      <c r="A233" s="31" t="s">
        <v>87</v>
      </c>
      <c r="B233" s="62" t="s">
        <v>130</v>
      </c>
      <c r="C233" s="31" t="s">
        <v>55</v>
      </c>
      <c r="D233" s="56" t="s">
        <v>913</v>
      </c>
      <c r="E233" s="31" t="s">
        <v>914</v>
      </c>
      <c r="F233" s="34" t="s">
        <v>915</v>
      </c>
      <c r="G233" s="61"/>
      <c r="H233" s="31" t="s">
        <v>869</v>
      </c>
      <c r="I233" s="31"/>
      <c r="J233" s="31"/>
      <c r="K233" s="48" t="s">
        <v>461</v>
      </c>
      <c r="L233" s="35">
        <v>5</v>
      </c>
      <c r="M233" s="31">
        <v>999.9</v>
      </c>
      <c r="O233" s="31" t="s">
        <v>88</v>
      </c>
      <c r="P233" s="64" t="s">
        <v>853</v>
      </c>
      <c r="Q233" s="90" t="s">
        <v>161</v>
      </c>
      <c r="R233" s="90"/>
      <c r="S233" s="247" t="s">
        <v>178</v>
      </c>
      <c r="T233" s="223" t="s">
        <v>97</v>
      </c>
      <c r="U233" s="223" t="s">
        <v>97</v>
      </c>
      <c r="V233" s="248" t="s">
        <v>98</v>
      </c>
      <c r="W233" s="248"/>
      <c r="X233" s="249"/>
    </row>
    <row r="234" spans="1:24" ht="15" customHeight="1" x14ac:dyDescent="0.35">
      <c r="A234" s="31" t="s">
        <v>87</v>
      </c>
      <c r="B234" s="62" t="s">
        <v>130</v>
      </c>
      <c r="C234" s="31" t="s">
        <v>55</v>
      </c>
      <c r="D234" s="56" t="s">
        <v>916</v>
      </c>
      <c r="E234" s="31" t="s">
        <v>917</v>
      </c>
      <c r="F234" s="34" t="s">
        <v>918</v>
      </c>
      <c r="G234" s="61"/>
      <c r="H234" s="31" t="s">
        <v>873</v>
      </c>
      <c r="I234" s="31"/>
      <c r="J234" s="31"/>
      <c r="K234" s="31" t="s">
        <v>93</v>
      </c>
      <c r="L234" s="35">
        <v>2</v>
      </c>
      <c r="M234" s="31" t="s">
        <v>115</v>
      </c>
      <c r="N234" s="43" t="s">
        <v>848</v>
      </c>
      <c r="O234" s="31"/>
      <c r="P234" s="31"/>
      <c r="Q234" s="90" t="s">
        <v>161</v>
      </c>
      <c r="R234" s="90"/>
      <c r="S234" s="247" t="s">
        <v>178</v>
      </c>
      <c r="T234" s="223" t="s">
        <v>97</v>
      </c>
      <c r="U234" s="223" t="s">
        <v>97</v>
      </c>
      <c r="V234" s="248" t="s">
        <v>98</v>
      </c>
      <c r="W234" s="248"/>
      <c r="X234" s="249"/>
    </row>
    <row r="235" spans="1:24" ht="15" customHeight="1" x14ac:dyDescent="0.35">
      <c r="A235" s="31" t="s">
        <v>87</v>
      </c>
      <c r="B235" s="62" t="s">
        <v>130</v>
      </c>
      <c r="C235" s="31" t="s">
        <v>55</v>
      </c>
      <c r="D235" s="56" t="s">
        <v>919</v>
      </c>
      <c r="E235" s="31" t="s">
        <v>920</v>
      </c>
      <c r="F235" s="34" t="s">
        <v>921</v>
      </c>
      <c r="G235" s="61"/>
      <c r="H235" s="31" t="s">
        <v>877</v>
      </c>
      <c r="I235" s="31"/>
      <c r="J235" s="31"/>
      <c r="K235" s="48" t="s">
        <v>461</v>
      </c>
      <c r="L235" s="35">
        <v>5</v>
      </c>
      <c r="M235" s="31">
        <v>999.9</v>
      </c>
      <c r="O235" s="31" t="s">
        <v>88</v>
      </c>
      <c r="P235" s="64" t="s">
        <v>853</v>
      </c>
      <c r="Q235" s="90" t="s">
        <v>161</v>
      </c>
      <c r="R235" s="90"/>
      <c r="S235" s="247" t="s">
        <v>178</v>
      </c>
      <c r="T235" s="223" t="s">
        <v>97</v>
      </c>
      <c r="U235" s="223" t="s">
        <v>97</v>
      </c>
      <c r="V235" s="248" t="s">
        <v>98</v>
      </c>
      <c r="W235" s="248"/>
      <c r="X235" s="249"/>
    </row>
    <row r="236" spans="1:24" ht="15" customHeight="1" x14ac:dyDescent="0.35">
      <c r="A236" s="39" t="s">
        <v>87</v>
      </c>
      <c r="B236" s="62" t="s">
        <v>130</v>
      </c>
      <c r="C236" s="40" t="s">
        <v>55</v>
      </c>
      <c r="D236" s="56" t="s">
        <v>922</v>
      </c>
      <c r="E236" s="40" t="s">
        <v>923</v>
      </c>
      <c r="F236" s="37" t="s">
        <v>924</v>
      </c>
      <c r="G236" s="41"/>
      <c r="H236" s="40" t="s">
        <v>925</v>
      </c>
      <c r="I236" s="40"/>
      <c r="J236" s="40"/>
      <c r="K236" s="40" t="s">
        <v>93</v>
      </c>
      <c r="L236" s="42">
        <v>2</v>
      </c>
      <c r="M236" s="40" t="s">
        <v>115</v>
      </c>
      <c r="N236" s="51" t="s">
        <v>823</v>
      </c>
      <c r="O236" s="40"/>
      <c r="P236" s="40"/>
      <c r="Q236" s="91" t="s">
        <v>190</v>
      </c>
      <c r="R236" s="91"/>
      <c r="S236" s="247" t="s">
        <v>178</v>
      </c>
      <c r="T236" s="223" t="s">
        <v>97</v>
      </c>
      <c r="U236" s="223" t="s">
        <v>97</v>
      </c>
      <c r="V236" s="248" t="s">
        <v>98</v>
      </c>
      <c r="W236" s="248"/>
      <c r="X236" s="249"/>
    </row>
    <row r="237" spans="1:24" ht="15" customHeight="1" x14ac:dyDescent="0.35">
      <c r="A237" s="31" t="s">
        <v>87</v>
      </c>
      <c r="B237" s="62" t="s">
        <v>130</v>
      </c>
      <c r="C237" s="40" t="s">
        <v>55</v>
      </c>
      <c r="D237" s="56" t="s">
        <v>926</v>
      </c>
      <c r="E237" s="40" t="s">
        <v>927</v>
      </c>
      <c r="F237" s="37" t="s">
        <v>928</v>
      </c>
      <c r="G237" s="41"/>
      <c r="H237" s="40" t="s">
        <v>929</v>
      </c>
      <c r="I237" s="40"/>
      <c r="J237" s="40"/>
      <c r="K237" s="40" t="s">
        <v>254</v>
      </c>
      <c r="L237" s="42">
        <v>6</v>
      </c>
      <c r="M237" s="40" t="s">
        <v>103</v>
      </c>
      <c r="O237" s="40" t="s">
        <v>89</v>
      </c>
      <c r="P237" s="40" t="s">
        <v>103</v>
      </c>
      <c r="Q237" s="91" t="s">
        <v>161</v>
      </c>
      <c r="R237" s="91"/>
      <c r="S237" s="247" t="s">
        <v>178</v>
      </c>
      <c r="T237" s="223" t="s">
        <v>97</v>
      </c>
      <c r="U237" s="223" t="s">
        <v>97</v>
      </c>
      <c r="V237" s="248" t="s">
        <v>98</v>
      </c>
      <c r="W237" s="248"/>
      <c r="X237" s="249"/>
    </row>
    <row r="238" spans="1:24" ht="15" customHeight="1" x14ac:dyDescent="0.35">
      <c r="A238" s="31" t="s">
        <v>87</v>
      </c>
      <c r="B238" s="62" t="s">
        <v>130</v>
      </c>
      <c r="C238" s="40" t="s">
        <v>55</v>
      </c>
      <c r="D238" s="56" t="s">
        <v>930</v>
      </c>
      <c r="E238" s="40" t="s">
        <v>931</v>
      </c>
      <c r="F238" s="37" t="s">
        <v>932</v>
      </c>
      <c r="G238" s="41"/>
      <c r="H238" s="40" t="s">
        <v>933</v>
      </c>
      <c r="I238" s="40"/>
      <c r="J238" s="40"/>
      <c r="K238" s="40" t="s">
        <v>254</v>
      </c>
      <c r="L238" s="42">
        <v>3</v>
      </c>
      <c r="M238" s="40" t="s">
        <v>513</v>
      </c>
      <c r="O238" s="40" t="s">
        <v>89</v>
      </c>
      <c r="P238" s="40" t="s">
        <v>832</v>
      </c>
      <c r="Q238" s="91" t="s">
        <v>161</v>
      </c>
      <c r="R238" s="91"/>
      <c r="S238" s="247" t="s">
        <v>178</v>
      </c>
      <c r="T238" s="223" t="s">
        <v>97</v>
      </c>
      <c r="U238" s="223" t="s">
        <v>97</v>
      </c>
      <c r="V238" s="248" t="s">
        <v>98</v>
      </c>
      <c r="W238" s="248"/>
      <c r="X238" s="249"/>
    </row>
    <row r="239" spans="1:24" ht="15" customHeight="1" x14ac:dyDescent="0.35">
      <c r="A239" s="31" t="s">
        <v>87</v>
      </c>
      <c r="B239" s="62" t="s">
        <v>130</v>
      </c>
      <c r="C239" s="40" t="s">
        <v>55</v>
      </c>
      <c r="D239" s="56" t="s">
        <v>934</v>
      </c>
      <c r="E239" s="40" t="s">
        <v>935</v>
      </c>
      <c r="F239" s="37" t="s">
        <v>936</v>
      </c>
      <c r="G239" s="41"/>
      <c r="H239" s="40" t="s">
        <v>937</v>
      </c>
      <c r="I239" s="40"/>
      <c r="J239" s="40"/>
      <c r="K239" s="40" t="s">
        <v>254</v>
      </c>
      <c r="L239" s="42">
        <v>4</v>
      </c>
      <c r="M239" s="40" t="s">
        <v>94</v>
      </c>
      <c r="O239" s="40" t="s">
        <v>89</v>
      </c>
      <c r="P239" s="40" t="s">
        <v>94</v>
      </c>
      <c r="Q239" s="91" t="s">
        <v>161</v>
      </c>
      <c r="R239" s="91"/>
      <c r="S239" s="247" t="s">
        <v>178</v>
      </c>
      <c r="T239" s="223" t="s">
        <v>97</v>
      </c>
      <c r="U239" s="223" t="s">
        <v>97</v>
      </c>
      <c r="V239" s="248" t="s">
        <v>98</v>
      </c>
      <c r="W239" s="248"/>
      <c r="X239" s="249"/>
    </row>
    <row r="240" spans="1:24" ht="15" customHeight="1" x14ac:dyDescent="0.35">
      <c r="A240" s="31" t="s">
        <v>87</v>
      </c>
      <c r="B240" s="62" t="s">
        <v>130</v>
      </c>
      <c r="C240" s="40" t="s">
        <v>55</v>
      </c>
      <c r="D240" s="56" t="s">
        <v>228</v>
      </c>
      <c r="E240" s="40" t="s">
        <v>938</v>
      </c>
      <c r="F240" s="37" t="s">
        <v>939</v>
      </c>
      <c r="G240" s="41"/>
      <c r="H240" s="40" t="s">
        <v>940</v>
      </c>
      <c r="I240" s="40"/>
      <c r="J240" s="40"/>
      <c r="K240" s="40" t="s">
        <v>254</v>
      </c>
      <c r="L240" s="42">
        <v>4</v>
      </c>
      <c r="M240" s="40" t="s">
        <v>255</v>
      </c>
      <c r="O240" s="40" t="s">
        <v>88</v>
      </c>
      <c r="P240" s="63" t="s">
        <v>842</v>
      </c>
      <c r="Q240" s="91" t="s">
        <v>161</v>
      </c>
      <c r="R240" s="91"/>
      <c r="S240" s="247" t="s">
        <v>178</v>
      </c>
      <c r="T240" s="223" t="s">
        <v>97</v>
      </c>
      <c r="U240" s="223" t="s">
        <v>97</v>
      </c>
      <c r="V240" s="248" t="s">
        <v>98</v>
      </c>
      <c r="W240" s="248"/>
      <c r="X240" s="249"/>
    </row>
    <row r="241" spans="1:24" ht="15" customHeight="1" x14ac:dyDescent="0.35">
      <c r="A241" s="31" t="s">
        <v>87</v>
      </c>
      <c r="B241" s="62" t="s">
        <v>130</v>
      </c>
      <c r="C241" s="31" t="s">
        <v>55</v>
      </c>
      <c r="D241" s="56" t="s">
        <v>941</v>
      </c>
      <c r="E241" s="31" t="s">
        <v>942</v>
      </c>
      <c r="F241" s="34" t="s">
        <v>943</v>
      </c>
      <c r="G241" s="61"/>
      <c r="H241" s="31" t="s">
        <v>847</v>
      </c>
      <c r="I241" s="31"/>
      <c r="J241" s="31"/>
      <c r="K241" s="31" t="s">
        <v>93</v>
      </c>
      <c r="L241" s="35">
        <v>2</v>
      </c>
      <c r="M241" s="31" t="s">
        <v>115</v>
      </c>
      <c r="N241" s="43" t="s">
        <v>848</v>
      </c>
      <c r="O241" s="31"/>
      <c r="P241" s="31"/>
      <c r="Q241" s="90" t="s">
        <v>161</v>
      </c>
      <c r="R241" s="90"/>
      <c r="S241" s="247" t="s">
        <v>178</v>
      </c>
      <c r="T241" s="223" t="s">
        <v>97</v>
      </c>
      <c r="U241" s="223" t="s">
        <v>97</v>
      </c>
      <c r="V241" s="248" t="s">
        <v>98</v>
      </c>
      <c r="W241" s="248"/>
      <c r="X241" s="249"/>
    </row>
    <row r="242" spans="1:24" ht="15" customHeight="1" x14ac:dyDescent="0.35">
      <c r="A242" s="31" t="s">
        <v>87</v>
      </c>
      <c r="B242" s="62" t="s">
        <v>130</v>
      </c>
      <c r="C242" s="31" t="s">
        <v>55</v>
      </c>
      <c r="D242" s="56" t="s">
        <v>944</v>
      </c>
      <c r="E242" s="31" t="s">
        <v>945</v>
      </c>
      <c r="F242" s="34" t="s">
        <v>946</v>
      </c>
      <c r="G242" s="61"/>
      <c r="H242" s="31" t="s">
        <v>852</v>
      </c>
      <c r="I242" s="31"/>
      <c r="J242" s="31"/>
      <c r="K242" s="48" t="s">
        <v>461</v>
      </c>
      <c r="L242" s="35">
        <v>5</v>
      </c>
      <c r="M242" s="40">
        <v>999.9</v>
      </c>
      <c r="O242" s="31" t="s">
        <v>88</v>
      </c>
      <c r="P242" s="64" t="s">
        <v>853</v>
      </c>
      <c r="Q242" s="90" t="s">
        <v>161</v>
      </c>
      <c r="R242" s="90"/>
      <c r="S242" s="247" t="s">
        <v>178</v>
      </c>
      <c r="T242" s="223" t="s">
        <v>97</v>
      </c>
      <c r="U242" s="223" t="s">
        <v>97</v>
      </c>
      <c r="V242" s="248" t="s">
        <v>98</v>
      </c>
      <c r="W242" s="248"/>
      <c r="X242" s="249"/>
    </row>
    <row r="243" spans="1:24" ht="15" customHeight="1" x14ac:dyDescent="0.35">
      <c r="A243" s="31" t="s">
        <v>87</v>
      </c>
      <c r="B243" s="62" t="s">
        <v>130</v>
      </c>
      <c r="C243" s="31" t="s">
        <v>55</v>
      </c>
      <c r="D243" s="56" t="s">
        <v>947</v>
      </c>
      <c r="E243" s="31" t="s">
        <v>948</v>
      </c>
      <c r="F243" s="34" t="s">
        <v>949</v>
      </c>
      <c r="G243" s="61"/>
      <c r="H243" s="31" t="s">
        <v>857</v>
      </c>
      <c r="I243" s="31"/>
      <c r="J243" s="31"/>
      <c r="K243" s="31" t="s">
        <v>93</v>
      </c>
      <c r="L243" s="35">
        <v>2</v>
      </c>
      <c r="M243" s="31" t="s">
        <v>115</v>
      </c>
      <c r="N243" s="43" t="s">
        <v>848</v>
      </c>
      <c r="O243" s="31"/>
      <c r="P243" s="31"/>
      <c r="Q243" s="90" t="s">
        <v>161</v>
      </c>
      <c r="R243" s="90"/>
      <c r="S243" s="247" t="s">
        <v>178</v>
      </c>
      <c r="T243" s="223" t="s">
        <v>97</v>
      </c>
      <c r="U243" s="223" t="s">
        <v>97</v>
      </c>
      <c r="V243" s="248" t="s">
        <v>98</v>
      </c>
      <c r="W243" s="248"/>
      <c r="X243" s="249"/>
    </row>
    <row r="244" spans="1:24" ht="15" customHeight="1" x14ac:dyDescent="0.35">
      <c r="A244" s="31" t="s">
        <v>87</v>
      </c>
      <c r="B244" s="62" t="s">
        <v>130</v>
      </c>
      <c r="C244" s="31" t="s">
        <v>55</v>
      </c>
      <c r="D244" s="56" t="s">
        <v>950</v>
      </c>
      <c r="E244" s="31" t="s">
        <v>951</v>
      </c>
      <c r="F244" s="34" t="s">
        <v>952</v>
      </c>
      <c r="G244" s="61"/>
      <c r="H244" s="31" t="s">
        <v>861</v>
      </c>
      <c r="I244" s="31"/>
      <c r="J244" s="31"/>
      <c r="K244" s="48" t="s">
        <v>461</v>
      </c>
      <c r="L244" s="35">
        <v>5</v>
      </c>
      <c r="M244" s="40">
        <v>999.9</v>
      </c>
      <c r="O244" s="31" t="s">
        <v>88</v>
      </c>
      <c r="P244" s="64" t="s">
        <v>853</v>
      </c>
      <c r="Q244" s="90" t="s">
        <v>161</v>
      </c>
      <c r="R244" s="90"/>
      <c r="S244" s="247" t="s">
        <v>178</v>
      </c>
      <c r="T244" s="223" t="s">
        <v>97</v>
      </c>
      <c r="U244" s="223" t="s">
        <v>97</v>
      </c>
      <c r="V244" s="248" t="s">
        <v>98</v>
      </c>
      <c r="W244" s="248"/>
      <c r="X244" s="249"/>
    </row>
    <row r="245" spans="1:24" ht="15" customHeight="1" x14ac:dyDescent="0.35">
      <c r="A245" s="31" t="s">
        <v>87</v>
      </c>
      <c r="B245" s="62" t="s">
        <v>130</v>
      </c>
      <c r="C245" s="31" t="s">
        <v>55</v>
      </c>
      <c r="D245" s="56" t="s">
        <v>953</v>
      </c>
      <c r="E245" s="31" t="s">
        <v>954</v>
      </c>
      <c r="F245" s="34" t="s">
        <v>955</v>
      </c>
      <c r="G245" s="61"/>
      <c r="H245" s="31" t="s">
        <v>865</v>
      </c>
      <c r="I245" s="31"/>
      <c r="J245" s="31"/>
      <c r="K245" s="31" t="s">
        <v>93</v>
      </c>
      <c r="L245" s="35">
        <v>2</v>
      </c>
      <c r="M245" s="31" t="s">
        <v>115</v>
      </c>
      <c r="N245" s="43" t="s">
        <v>848</v>
      </c>
      <c r="O245" s="31"/>
      <c r="P245" s="31"/>
      <c r="Q245" s="90" t="s">
        <v>161</v>
      </c>
      <c r="R245" s="90"/>
      <c r="S245" s="247" t="s">
        <v>178</v>
      </c>
      <c r="T245" s="223" t="s">
        <v>97</v>
      </c>
      <c r="U245" s="223" t="s">
        <v>97</v>
      </c>
      <c r="V245" s="248" t="s">
        <v>98</v>
      </c>
      <c r="W245" s="248"/>
      <c r="X245" s="249"/>
    </row>
    <row r="246" spans="1:24" ht="15" customHeight="1" x14ac:dyDescent="0.35">
      <c r="A246" s="31" t="s">
        <v>87</v>
      </c>
      <c r="B246" s="62" t="s">
        <v>130</v>
      </c>
      <c r="C246" s="31" t="s">
        <v>55</v>
      </c>
      <c r="D246" s="56" t="s">
        <v>956</v>
      </c>
      <c r="E246" s="31" t="s">
        <v>957</v>
      </c>
      <c r="F246" s="34" t="s">
        <v>958</v>
      </c>
      <c r="G246" s="61"/>
      <c r="H246" s="31" t="s">
        <v>869</v>
      </c>
      <c r="I246" s="31"/>
      <c r="J246" s="31"/>
      <c r="K246" s="48" t="s">
        <v>461</v>
      </c>
      <c r="L246" s="35">
        <v>5</v>
      </c>
      <c r="M246" s="40">
        <v>999.9</v>
      </c>
      <c r="O246" s="31" t="s">
        <v>88</v>
      </c>
      <c r="P246" s="64" t="s">
        <v>853</v>
      </c>
      <c r="Q246" s="90" t="s">
        <v>161</v>
      </c>
      <c r="R246" s="90"/>
      <c r="S246" s="247" t="s">
        <v>178</v>
      </c>
      <c r="T246" s="223" t="s">
        <v>97</v>
      </c>
      <c r="U246" s="223" t="s">
        <v>97</v>
      </c>
      <c r="V246" s="248" t="s">
        <v>98</v>
      </c>
      <c r="W246" s="248"/>
      <c r="X246" s="249"/>
    </row>
    <row r="247" spans="1:24" ht="15" customHeight="1" x14ac:dyDescent="0.35">
      <c r="A247" s="31" t="s">
        <v>87</v>
      </c>
      <c r="B247" s="62" t="s">
        <v>130</v>
      </c>
      <c r="C247" s="31" t="s">
        <v>55</v>
      </c>
      <c r="D247" s="56" t="s">
        <v>959</v>
      </c>
      <c r="E247" s="31" t="s">
        <v>960</v>
      </c>
      <c r="F247" s="34" t="s">
        <v>961</v>
      </c>
      <c r="G247" s="61"/>
      <c r="H247" s="31" t="s">
        <v>873</v>
      </c>
      <c r="I247" s="31"/>
      <c r="J247" s="31"/>
      <c r="K247" s="31" t="s">
        <v>93</v>
      </c>
      <c r="L247" s="35">
        <v>2</v>
      </c>
      <c r="M247" s="31" t="s">
        <v>115</v>
      </c>
      <c r="N247" s="43" t="s">
        <v>848</v>
      </c>
      <c r="O247" s="31"/>
      <c r="P247" s="31"/>
      <c r="Q247" s="90" t="s">
        <v>161</v>
      </c>
      <c r="R247" s="90"/>
      <c r="S247" s="247" t="s">
        <v>178</v>
      </c>
      <c r="T247" s="223" t="s">
        <v>97</v>
      </c>
      <c r="U247" s="223" t="s">
        <v>97</v>
      </c>
      <c r="V247" s="248" t="s">
        <v>98</v>
      </c>
      <c r="W247" s="248"/>
      <c r="X247" s="249"/>
    </row>
    <row r="248" spans="1:24" ht="15" customHeight="1" x14ac:dyDescent="0.35">
      <c r="A248" s="31" t="s">
        <v>87</v>
      </c>
      <c r="B248" s="62" t="s">
        <v>130</v>
      </c>
      <c r="C248" s="31" t="s">
        <v>55</v>
      </c>
      <c r="D248" s="56" t="s">
        <v>962</v>
      </c>
      <c r="E248" s="31" t="s">
        <v>963</v>
      </c>
      <c r="F248" s="34" t="s">
        <v>964</v>
      </c>
      <c r="G248" s="61"/>
      <c r="H248" s="31" t="s">
        <v>877</v>
      </c>
      <c r="I248" s="31"/>
      <c r="J248" s="31"/>
      <c r="K248" s="48" t="s">
        <v>461</v>
      </c>
      <c r="L248" s="35">
        <v>5</v>
      </c>
      <c r="M248" s="48">
        <v>999.9</v>
      </c>
      <c r="O248" s="31" t="s">
        <v>88</v>
      </c>
      <c r="P248" s="64" t="s">
        <v>853</v>
      </c>
      <c r="Q248" s="90" t="s">
        <v>161</v>
      </c>
      <c r="R248" s="90"/>
      <c r="S248" s="247" t="s">
        <v>178</v>
      </c>
      <c r="T248" s="223" t="s">
        <v>97</v>
      </c>
      <c r="U248" s="223" t="s">
        <v>97</v>
      </c>
      <c r="V248" s="248" t="s">
        <v>98</v>
      </c>
      <c r="W248" s="248"/>
      <c r="X248" s="249"/>
    </row>
    <row r="249" spans="1:24" ht="15" customHeight="1" x14ac:dyDescent="0.35">
      <c r="A249" s="31" t="s">
        <v>87</v>
      </c>
      <c r="B249" s="62" t="s">
        <v>130</v>
      </c>
      <c r="C249" s="36" t="s">
        <v>55</v>
      </c>
      <c r="D249" s="56" t="s">
        <v>965</v>
      </c>
      <c r="E249" s="36" t="s">
        <v>966</v>
      </c>
      <c r="F249" s="37" t="s">
        <v>967</v>
      </c>
      <c r="G249" s="44"/>
      <c r="H249" s="36" t="s">
        <v>968</v>
      </c>
      <c r="I249" s="36"/>
      <c r="J249" s="36"/>
      <c r="K249" s="36" t="s">
        <v>93</v>
      </c>
      <c r="L249" s="38">
        <v>2</v>
      </c>
      <c r="M249" s="36" t="s">
        <v>115</v>
      </c>
      <c r="N249" s="43" t="s">
        <v>969</v>
      </c>
      <c r="O249" s="40"/>
      <c r="P249" s="40"/>
      <c r="Q249" s="90" t="s">
        <v>190</v>
      </c>
      <c r="R249" s="90"/>
      <c r="S249" s="247" t="s">
        <v>178</v>
      </c>
      <c r="T249" s="223" t="s">
        <v>97</v>
      </c>
      <c r="U249" s="223" t="s">
        <v>97</v>
      </c>
      <c r="V249" s="248" t="s">
        <v>98</v>
      </c>
      <c r="W249" s="248"/>
      <c r="X249" s="249"/>
    </row>
    <row r="250" spans="1:24" ht="15" customHeight="1" x14ac:dyDescent="0.35">
      <c r="A250" s="31" t="s">
        <v>87</v>
      </c>
      <c r="B250" s="62" t="s">
        <v>130</v>
      </c>
      <c r="C250" s="40" t="s">
        <v>55</v>
      </c>
      <c r="D250" s="56" t="s">
        <v>970</v>
      </c>
      <c r="E250" s="40" t="s">
        <v>971</v>
      </c>
      <c r="F250" s="37" t="s">
        <v>972</v>
      </c>
      <c r="G250" s="41"/>
      <c r="H250" s="40" t="s">
        <v>973</v>
      </c>
      <c r="I250" s="40"/>
      <c r="J250" s="40"/>
      <c r="K250" s="40" t="s">
        <v>254</v>
      </c>
      <c r="L250" s="42">
        <v>6</v>
      </c>
      <c r="M250" s="40" t="s">
        <v>103</v>
      </c>
      <c r="O250" s="40" t="s">
        <v>88</v>
      </c>
      <c r="P250" s="40" t="s">
        <v>103</v>
      </c>
      <c r="Q250" s="91" t="s">
        <v>161</v>
      </c>
      <c r="R250" s="91"/>
      <c r="S250" s="247" t="s">
        <v>178</v>
      </c>
      <c r="T250" s="223" t="s">
        <v>97</v>
      </c>
      <c r="U250" s="223" t="s">
        <v>97</v>
      </c>
      <c r="V250" s="248" t="s">
        <v>98</v>
      </c>
      <c r="W250" s="248"/>
      <c r="X250" s="249"/>
    </row>
    <row r="251" spans="1:24" ht="15" customHeight="1" x14ac:dyDescent="0.35">
      <c r="A251" s="31" t="s">
        <v>87</v>
      </c>
      <c r="B251" s="62" t="s">
        <v>130</v>
      </c>
      <c r="C251" s="36" t="s">
        <v>55</v>
      </c>
      <c r="D251" s="56" t="s">
        <v>974</v>
      </c>
      <c r="E251" s="36" t="s">
        <v>975</v>
      </c>
      <c r="F251" s="37" t="s">
        <v>976</v>
      </c>
      <c r="G251" s="44"/>
      <c r="H251" s="36" t="s">
        <v>968</v>
      </c>
      <c r="I251" s="36"/>
      <c r="J251" s="36"/>
      <c r="K251" s="36" t="s">
        <v>93</v>
      </c>
      <c r="L251" s="38">
        <v>2</v>
      </c>
      <c r="M251" s="36" t="s">
        <v>115</v>
      </c>
      <c r="N251" s="43" t="s">
        <v>969</v>
      </c>
      <c r="O251" s="40"/>
      <c r="P251" s="40"/>
      <c r="Q251" s="90" t="s">
        <v>190</v>
      </c>
      <c r="R251" s="90"/>
      <c r="S251" s="247" t="s">
        <v>178</v>
      </c>
      <c r="T251" s="223" t="s">
        <v>97</v>
      </c>
      <c r="U251" s="223" t="s">
        <v>97</v>
      </c>
      <c r="V251" s="248" t="s">
        <v>98</v>
      </c>
      <c r="W251" s="248"/>
      <c r="X251" s="249"/>
    </row>
    <row r="252" spans="1:24" ht="15" customHeight="1" x14ac:dyDescent="0.35">
      <c r="A252" s="31" t="s">
        <v>87</v>
      </c>
      <c r="B252" s="62" t="s">
        <v>130</v>
      </c>
      <c r="C252" s="40" t="s">
        <v>55</v>
      </c>
      <c r="D252" s="56" t="s">
        <v>977</v>
      </c>
      <c r="E252" s="40" t="s">
        <v>978</v>
      </c>
      <c r="F252" s="37" t="s">
        <v>979</v>
      </c>
      <c r="G252" s="41"/>
      <c r="H252" s="40" t="s">
        <v>973</v>
      </c>
      <c r="I252" s="40"/>
      <c r="J252" s="40"/>
      <c r="K252" s="40" t="s">
        <v>254</v>
      </c>
      <c r="L252" s="42">
        <v>6</v>
      </c>
      <c r="M252" s="40" t="s">
        <v>103</v>
      </c>
      <c r="O252" s="40" t="s">
        <v>88</v>
      </c>
      <c r="P252" s="40" t="s">
        <v>103</v>
      </c>
      <c r="Q252" s="91" t="s">
        <v>161</v>
      </c>
      <c r="R252" s="91"/>
      <c r="S252" s="247" t="s">
        <v>178</v>
      </c>
      <c r="T252" s="223" t="s">
        <v>97</v>
      </c>
      <c r="U252" s="223" t="s">
        <v>97</v>
      </c>
      <c r="V252" s="248" t="s">
        <v>98</v>
      </c>
      <c r="W252" s="248"/>
      <c r="X252" s="249"/>
    </row>
    <row r="253" spans="1:24" ht="15" customHeight="1" x14ac:dyDescent="0.35">
      <c r="A253" s="31" t="s">
        <v>87</v>
      </c>
      <c r="B253" s="62" t="s">
        <v>130</v>
      </c>
      <c r="C253" s="36" t="s">
        <v>55</v>
      </c>
      <c r="D253" s="56" t="s">
        <v>980</v>
      </c>
      <c r="E253" s="36" t="s">
        <v>981</v>
      </c>
      <c r="F253" s="37" t="s">
        <v>982</v>
      </c>
      <c r="G253" s="44"/>
      <c r="H253" s="36" t="s">
        <v>968</v>
      </c>
      <c r="I253" s="36"/>
      <c r="J253" s="36"/>
      <c r="K253" s="36" t="s">
        <v>93</v>
      </c>
      <c r="L253" s="38">
        <v>2</v>
      </c>
      <c r="M253" s="36" t="s">
        <v>115</v>
      </c>
      <c r="N253" s="43" t="s">
        <v>969</v>
      </c>
      <c r="O253" s="40"/>
      <c r="P253" s="40"/>
      <c r="Q253" s="90" t="s">
        <v>190</v>
      </c>
      <c r="R253" s="90"/>
      <c r="S253" s="247" t="s">
        <v>178</v>
      </c>
      <c r="T253" s="223" t="s">
        <v>97</v>
      </c>
      <c r="U253" s="223" t="s">
        <v>97</v>
      </c>
      <c r="V253" s="248" t="s">
        <v>98</v>
      </c>
      <c r="W253" s="248"/>
      <c r="X253" s="249"/>
    </row>
    <row r="254" spans="1:24" ht="15" customHeight="1" x14ac:dyDescent="0.35">
      <c r="A254" s="31" t="s">
        <v>87</v>
      </c>
      <c r="B254" s="62" t="s">
        <v>130</v>
      </c>
      <c r="C254" s="40" t="s">
        <v>55</v>
      </c>
      <c r="D254" s="56" t="s">
        <v>983</v>
      </c>
      <c r="E254" s="40" t="s">
        <v>984</v>
      </c>
      <c r="F254" s="37" t="s">
        <v>985</v>
      </c>
      <c r="G254" s="41"/>
      <c r="H254" s="40" t="s">
        <v>973</v>
      </c>
      <c r="I254" s="40"/>
      <c r="J254" s="40"/>
      <c r="K254" s="40" t="s">
        <v>254</v>
      </c>
      <c r="L254" s="42">
        <v>6</v>
      </c>
      <c r="M254" s="40" t="s">
        <v>103</v>
      </c>
      <c r="O254" s="40" t="s">
        <v>88</v>
      </c>
      <c r="P254" s="40" t="s">
        <v>103</v>
      </c>
      <c r="Q254" s="91" t="s">
        <v>161</v>
      </c>
      <c r="R254" s="91"/>
      <c r="S254" s="247" t="s">
        <v>178</v>
      </c>
      <c r="T254" s="223" t="s">
        <v>97</v>
      </c>
      <c r="U254" s="223" t="s">
        <v>97</v>
      </c>
      <c r="V254" s="248" t="s">
        <v>98</v>
      </c>
      <c r="W254" s="248"/>
      <c r="X254" s="249"/>
    </row>
    <row r="255" spans="1:24" ht="15" customHeight="1" x14ac:dyDescent="0.35">
      <c r="A255" s="31" t="s">
        <v>87</v>
      </c>
      <c r="B255" s="62" t="s">
        <v>130</v>
      </c>
      <c r="C255" s="36" t="s">
        <v>55</v>
      </c>
      <c r="D255" s="56" t="s">
        <v>986</v>
      </c>
      <c r="E255" s="36" t="s">
        <v>987</v>
      </c>
      <c r="F255" s="37" t="s">
        <v>988</v>
      </c>
      <c r="G255" s="44"/>
      <c r="H255" s="36" t="s">
        <v>968</v>
      </c>
      <c r="I255" s="36"/>
      <c r="J255" s="36"/>
      <c r="K255" s="36" t="s">
        <v>93</v>
      </c>
      <c r="L255" s="38">
        <v>2</v>
      </c>
      <c r="M255" s="36" t="s">
        <v>115</v>
      </c>
      <c r="N255" s="43" t="s">
        <v>969</v>
      </c>
      <c r="O255" s="40"/>
      <c r="P255" s="40"/>
      <c r="Q255" s="90" t="s">
        <v>190</v>
      </c>
      <c r="R255" s="90"/>
      <c r="S255" s="247" t="s">
        <v>178</v>
      </c>
      <c r="T255" s="223" t="s">
        <v>97</v>
      </c>
      <c r="U255" s="223" t="s">
        <v>97</v>
      </c>
      <c r="V255" s="248" t="s">
        <v>98</v>
      </c>
      <c r="W255" s="248"/>
      <c r="X255" s="249"/>
    </row>
    <row r="256" spans="1:24" ht="15" customHeight="1" x14ac:dyDescent="0.35">
      <c r="A256" s="31" t="s">
        <v>87</v>
      </c>
      <c r="B256" s="62" t="s">
        <v>130</v>
      </c>
      <c r="C256" s="40" t="s">
        <v>55</v>
      </c>
      <c r="D256" s="56" t="s">
        <v>989</v>
      </c>
      <c r="E256" s="40" t="s">
        <v>990</v>
      </c>
      <c r="F256" s="37" t="s">
        <v>991</v>
      </c>
      <c r="G256" s="41"/>
      <c r="H256" s="40" t="s">
        <v>973</v>
      </c>
      <c r="I256" s="40"/>
      <c r="J256" s="40"/>
      <c r="K256" s="40" t="s">
        <v>254</v>
      </c>
      <c r="L256" s="42">
        <v>6</v>
      </c>
      <c r="M256" s="40" t="s">
        <v>103</v>
      </c>
      <c r="O256" s="40" t="s">
        <v>88</v>
      </c>
      <c r="P256" s="40" t="s">
        <v>103</v>
      </c>
      <c r="Q256" s="91" t="s">
        <v>161</v>
      </c>
      <c r="R256" s="91"/>
      <c r="S256" s="247" t="s">
        <v>178</v>
      </c>
      <c r="T256" s="223" t="s">
        <v>97</v>
      </c>
      <c r="U256" s="223" t="s">
        <v>97</v>
      </c>
      <c r="V256" s="248" t="s">
        <v>98</v>
      </c>
      <c r="W256" s="248"/>
      <c r="X256" s="249"/>
    </row>
    <row r="257" spans="1:24" ht="15" customHeight="1" x14ac:dyDescent="0.35">
      <c r="A257" s="31" t="s">
        <v>87</v>
      </c>
      <c r="B257" s="62" t="s">
        <v>130</v>
      </c>
      <c r="C257" s="40" t="s">
        <v>55</v>
      </c>
      <c r="D257" s="56" t="s">
        <v>992</v>
      </c>
      <c r="E257" s="40" t="s">
        <v>993</v>
      </c>
      <c r="F257" s="37" t="s">
        <v>994</v>
      </c>
      <c r="G257" s="41"/>
      <c r="H257" s="40" t="s">
        <v>995</v>
      </c>
      <c r="I257" s="40"/>
      <c r="J257" s="40"/>
      <c r="K257" s="40" t="s">
        <v>93</v>
      </c>
      <c r="L257" s="42">
        <v>2</v>
      </c>
      <c r="M257" s="40" t="s">
        <v>115</v>
      </c>
      <c r="N257" s="43" t="s">
        <v>848</v>
      </c>
      <c r="O257" s="40"/>
      <c r="P257" s="40"/>
      <c r="Q257" s="91" t="s">
        <v>161</v>
      </c>
      <c r="R257" s="91"/>
      <c r="S257" s="247" t="s">
        <v>996</v>
      </c>
      <c r="T257" s="223" t="s">
        <v>97</v>
      </c>
      <c r="U257" s="223" t="s">
        <v>97</v>
      </c>
      <c r="V257" s="248" t="s">
        <v>98</v>
      </c>
      <c r="W257" s="248"/>
      <c r="X257" s="249"/>
    </row>
    <row r="258" spans="1:24" ht="15" customHeight="1" x14ac:dyDescent="0.35">
      <c r="A258" s="31" t="s">
        <v>87</v>
      </c>
      <c r="B258" s="62" t="s">
        <v>130</v>
      </c>
      <c r="C258" s="40" t="s">
        <v>55</v>
      </c>
      <c r="D258" s="56" t="s">
        <v>997</v>
      </c>
      <c r="E258" s="40" t="s">
        <v>998</v>
      </c>
      <c r="F258" s="37" t="s">
        <v>999</v>
      </c>
      <c r="G258" s="41"/>
      <c r="H258" s="40" t="s">
        <v>852</v>
      </c>
      <c r="I258" s="40"/>
      <c r="J258" s="40"/>
      <c r="K258" s="48" t="s">
        <v>461</v>
      </c>
      <c r="L258" s="35">
        <v>5</v>
      </c>
      <c r="M258" s="40">
        <v>999.9</v>
      </c>
      <c r="O258" s="40" t="s">
        <v>88</v>
      </c>
      <c r="P258" s="40" t="s">
        <v>853</v>
      </c>
      <c r="Q258" s="91" t="s">
        <v>161</v>
      </c>
      <c r="R258" s="91"/>
      <c r="S258" s="247" t="s">
        <v>996</v>
      </c>
      <c r="T258" s="223" t="s">
        <v>97</v>
      </c>
      <c r="U258" s="223" t="s">
        <v>97</v>
      </c>
      <c r="V258" s="248" t="s">
        <v>98</v>
      </c>
      <c r="W258" s="248"/>
      <c r="X258" s="249"/>
    </row>
    <row r="259" spans="1:24" ht="15" customHeight="1" x14ac:dyDescent="0.35">
      <c r="A259" s="31" t="s">
        <v>87</v>
      </c>
      <c r="B259" s="62" t="s">
        <v>130</v>
      </c>
      <c r="C259" s="40" t="s">
        <v>55</v>
      </c>
      <c r="D259" s="56" t="s">
        <v>1000</v>
      </c>
      <c r="E259" s="40" t="s">
        <v>1001</v>
      </c>
      <c r="F259" s="37" t="s">
        <v>1002</v>
      </c>
      <c r="G259" s="41"/>
      <c r="H259" s="40" t="s">
        <v>1003</v>
      </c>
      <c r="I259" s="40"/>
      <c r="J259" s="40"/>
      <c r="K259" s="40" t="s">
        <v>93</v>
      </c>
      <c r="L259" s="42">
        <v>2</v>
      </c>
      <c r="M259" s="40" t="s">
        <v>115</v>
      </c>
      <c r="N259" s="43" t="s">
        <v>848</v>
      </c>
      <c r="O259" s="40"/>
      <c r="P259" s="40"/>
      <c r="Q259" s="91" t="s">
        <v>161</v>
      </c>
      <c r="R259" s="91"/>
      <c r="S259" s="247" t="s">
        <v>996</v>
      </c>
      <c r="T259" s="223" t="s">
        <v>97</v>
      </c>
      <c r="U259" s="223" t="s">
        <v>97</v>
      </c>
      <c r="V259" s="248" t="s">
        <v>98</v>
      </c>
      <c r="W259" s="248"/>
      <c r="X259" s="249"/>
    </row>
    <row r="260" spans="1:24" ht="15" customHeight="1" x14ac:dyDescent="0.35">
      <c r="A260" s="31" t="s">
        <v>87</v>
      </c>
      <c r="B260" s="62" t="s">
        <v>130</v>
      </c>
      <c r="C260" s="40" t="s">
        <v>55</v>
      </c>
      <c r="D260" s="56" t="s">
        <v>1004</v>
      </c>
      <c r="E260" s="40" t="s">
        <v>1005</v>
      </c>
      <c r="F260" s="37" t="s">
        <v>1006</v>
      </c>
      <c r="G260" s="41"/>
      <c r="H260" s="40" t="s">
        <v>861</v>
      </c>
      <c r="I260" s="40"/>
      <c r="J260" s="40"/>
      <c r="K260" s="48" t="s">
        <v>461</v>
      </c>
      <c r="L260" s="35">
        <v>5</v>
      </c>
      <c r="M260" s="40">
        <v>999.9</v>
      </c>
      <c r="O260" s="40" t="s">
        <v>88</v>
      </c>
      <c r="P260" s="40" t="s">
        <v>853</v>
      </c>
      <c r="Q260" s="91" t="s">
        <v>161</v>
      </c>
      <c r="R260" s="91"/>
      <c r="S260" s="247" t="s">
        <v>996</v>
      </c>
      <c r="T260" s="223" t="s">
        <v>97</v>
      </c>
      <c r="U260" s="223" t="s">
        <v>97</v>
      </c>
      <c r="V260" s="248" t="s">
        <v>98</v>
      </c>
      <c r="W260" s="248"/>
      <c r="X260" s="249"/>
    </row>
    <row r="261" spans="1:24" ht="15" customHeight="1" x14ac:dyDescent="0.35">
      <c r="A261" s="31" t="s">
        <v>87</v>
      </c>
      <c r="B261" s="62" t="s">
        <v>130</v>
      </c>
      <c r="C261" s="40" t="s">
        <v>55</v>
      </c>
      <c r="D261" s="56" t="s">
        <v>1007</v>
      </c>
      <c r="E261" s="40" t="s">
        <v>1008</v>
      </c>
      <c r="F261" s="37" t="s">
        <v>1009</v>
      </c>
      <c r="G261" s="41"/>
      <c r="H261" s="40" t="s">
        <v>1010</v>
      </c>
      <c r="I261" s="40"/>
      <c r="J261" s="40"/>
      <c r="K261" s="40" t="s">
        <v>93</v>
      </c>
      <c r="L261" s="42">
        <v>2</v>
      </c>
      <c r="M261" s="40" t="s">
        <v>115</v>
      </c>
      <c r="N261" s="43" t="s">
        <v>848</v>
      </c>
      <c r="O261" s="40"/>
      <c r="P261" s="40"/>
      <c r="Q261" s="91" t="s">
        <v>161</v>
      </c>
      <c r="R261" s="91"/>
      <c r="S261" s="247" t="s">
        <v>996</v>
      </c>
      <c r="T261" s="223" t="s">
        <v>97</v>
      </c>
      <c r="U261" s="223" t="s">
        <v>97</v>
      </c>
      <c r="V261" s="248" t="s">
        <v>98</v>
      </c>
      <c r="W261" s="248"/>
      <c r="X261" s="249"/>
    </row>
    <row r="262" spans="1:24" ht="15" customHeight="1" x14ac:dyDescent="0.35">
      <c r="A262" s="31" t="s">
        <v>87</v>
      </c>
      <c r="B262" s="62" t="s">
        <v>130</v>
      </c>
      <c r="C262" s="40" t="s">
        <v>55</v>
      </c>
      <c r="D262" s="56" t="s">
        <v>1011</v>
      </c>
      <c r="E262" s="40" t="s">
        <v>1012</v>
      </c>
      <c r="F262" s="37" t="s">
        <v>1013</v>
      </c>
      <c r="G262" s="41"/>
      <c r="H262" s="40" t="s">
        <v>869</v>
      </c>
      <c r="I262" s="40"/>
      <c r="J262" s="40"/>
      <c r="K262" s="48" t="s">
        <v>461</v>
      </c>
      <c r="L262" s="35">
        <v>5</v>
      </c>
      <c r="M262" s="40">
        <v>999.9</v>
      </c>
      <c r="O262" s="40" t="s">
        <v>88</v>
      </c>
      <c r="P262" s="40" t="s">
        <v>853</v>
      </c>
      <c r="Q262" s="91" t="s">
        <v>161</v>
      </c>
      <c r="R262" s="91"/>
      <c r="S262" s="247" t="s">
        <v>996</v>
      </c>
      <c r="T262" s="223" t="s">
        <v>97</v>
      </c>
      <c r="U262" s="223" t="s">
        <v>97</v>
      </c>
      <c r="V262" s="248" t="s">
        <v>98</v>
      </c>
      <c r="W262" s="248"/>
      <c r="X262" s="249"/>
    </row>
    <row r="263" spans="1:24" ht="15" customHeight="1" x14ac:dyDescent="0.35">
      <c r="A263" s="31" t="s">
        <v>87</v>
      </c>
      <c r="B263" s="62" t="s">
        <v>130</v>
      </c>
      <c r="C263" s="40" t="s">
        <v>55</v>
      </c>
      <c r="D263" s="56" t="s">
        <v>1014</v>
      </c>
      <c r="E263" s="40" t="s">
        <v>1015</v>
      </c>
      <c r="F263" s="37" t="s">
        <v>1016</v>
      </c>
      <c r="G263" s="41"/>
      <c r="H263" s="40" t="s">
        <v>1017</v>
      </c>
      <c r="I263" s="40"/>
      <c r="J263" s="40"/>
      <c r="K263" s="40" t="s">
        <v>93</v>
      </c>
      <c r="L263" s="42">
        <v>2</v>
      </c>
      <c r="M263" s="40" t="s">
        <v>115</v>
      </c>
      <c r="N263" s="43" t="s">
        <v>848</v>
      </c>
      <c r="O263" s="40"/>
      <c r="P263" s="40"/>
      <c r="Q263" s="91" t="s">
        <v>161</v>
      </c>
      <c r="R263" s="91"/>
      <c r="S263" s="247" t="s">
        <v>996</v>
      </c>
      <c r="T263" s="223" t="s">
        <v>97</v>
      </c>
      <c r="U263" s="223" t="s">
        <v>97</v>
      </c>
      <c r="V263" s="248" t="s">
        <v>98</v>
      </c>
      <c r="W263" s="248"/>
      <c r="X263" s="249"/>
    </row>
    <row r="264" spans="1:24" ht="15" customHeight="1" x14ac:dyDescent="0.35">
      <c r="A264" s="31" t="s">
        <v>87</v>
      </c>
      <c r="B264" s="62" t="s">
        <v>130</v>
      </c>
      <c r="C264" s="48" t="s">
        <v>55</v>
      </c>
      <c r="D264" s="56" t="s">
        <v>1018</v>
      </c>
      <c r="E264" s="48" t="s">
        <v>1019</v>
      </c>
      <c r="F264" s="34" t="s">
        <v>1020</v>
      </c>
      <c r="G264" s="49"/>
      <c r="H264" s="48" t="s">
        <v>877</v>
      </c>
      <c r="I264" s="48"/>
      <c r="J264" s="48"/>
      <c r="K264" s="48" t="s">
        <v>461</v>
      </c>
      <c r="L264" s="35">
        <v>5</v>
      </c>
      <c r="M264" s="48">
        <v>999.9</v>
      </c>
      <c r="O264" s="48" t="s">
        <v>88</v>
      </c>
      <c r="P264" s="48" t="s">
        <v>853</v>
      </c>
      <c r="Q264" s="91" t="s">
        <v>161</v>
      </c>
      <c r="R264" s="91"/>
      <c r="S264" s="247" t="s">
        <v>996</v>
      </c>
      <c r="T264" s="223" t="s">
        <v>97</v>
      </c>
      <c r="U264" s="223" t="s">
        <v>97</v>
      </c>
      <c r="V264" s="248" t="s">
        <v>98</v>
      </c>
      <c r="W264" s="248"/>
      <c r="X264" s="249"/>
    </row>
    <row r="265" spans="1:24" ht="15" customHeight="1" x14ac:dyDescent="0.35">
      <c r="A265" s="31" t="s">
        <v>87</v>
      </c>
      <c r="B265" s="62" t="s">
        <v>130</v>
      </c>
      <c r="C265" s="40" t="s">
        <v>55</v>
      </c>
      <c r="D265" s="56" t="s">
        <v>1021</v>
      </c>
      <c r="E265" s="40" t="s">
        <v>1022</v>
      </c>
      <c r="F265" s="37" t="s">
        <v>1023</v>
      </c>
      <c r="G265" s="41"/>
      <c r="H265" s="40" t="s">
        <v>1024</v>
      </c>
      <c r="I265" s="40"/>
      <c r="J265" s="40"/>
      <c r="K265" s="40" t="s">
        <v>151</v>
      </c>
      <c r="L265" s="42"/>
      <c r="M265" s="40" t="s">
        <v>152</v>
      </c>
      <c r="O265" s="40"/>
      <c r="P265" s="40"/>
      <c r="Q265" s="91" t="s">
        <v>190</v>
      </c>
      <c r="R265" s="91"/>
      <c r="S265" s="247" t="s">
        <v>463</v>
      </c>
      <c r="T265" s="223" t="s">
        <v>97</v>
      </c>
      <c r="U265" s="223" t="s">
        <v>97</v>
      </c>
      <c r="V265" s="248" t="s">
        <v>98</v>
      </c>
      <c r="W265" s="248"/>
      <c r="X265" s="249"/>
    </row>
    <row r="266" spans="1:24" ht="15" customHeight="1" x14ac:dyDescent="0.35">
      <c r="A266" s="31" t="s">
        <v>87</v>
      </c>
      <c r="B266" s="62" t="s">
        <v>130</v>
      </c>
      <c r="C266" s="40" t="s">
        <v>55</v>
      </c>
      <c r="D266" s="56" t="s">
        <v>1025</v>
      </c>
      <c r="E266" s="40" t="s">
        <v>1026</v>
      </c>
      <c r="F266" s="37" t="s">
        <v>1027</v>
      </c>
      <c r="G266" s="41"/>
      <c r="H266" s="40" t="s">
        <v>1028</v>
      </c>
      <c r="I266" s="40"/>
      <c r="J266" s="40"/>
      <c r="K266" s="40" t="s">
        <v>93</v>
      </c>
      <c r="L266" s="42">
        <v>2</v>
      </c>
      <c r="M266" s="40" t="s">
        <v>115</v>
      </c>
      <c r="N266" s="43" t="s">
        <v>1029</v>
      </c>
      <c r="O266" s="40"/>
      <c r="P266" s="40"/>
      <c r="Q266" s="91" t="s">
        <v>161</v>
      </c>
      <c r="R266" s="91"/>
      <c r="S266" s="247" t="s">
        <v>136</v>
      </c>
      <c r="T266" s="223" t="s">
        <v>97</v>
      </c>
      <c r="U266" s="223" t="s">
        <v>97</v>
      </c>
      <c r="V266" s="248" t="s">
        <v>98</v>
      </c>
      <c r="W266" s="248"/>
      <c r="X266" s="249"/>
    </row>
    <row r="267" spans="1:24" ht="15" customHeight="1" thickBot="1" x14ac:dyDescent="0.4">
      <c r="A267" s="31" t="s">
        <v>87</v>
      </c>
      <c r="B267" s="62" t="s">
        <v>130</v>
      </c>
      <c r="C267" s="48" t="s">
        <v>55</v>
      </c>
      <c r="D267" s="56" t="s">
        <v>1030</v>
      </c>
      <c r="E267" s="48" t="s">
        <v>572</v>
      </c>
      <c r="F267" s="34" t="s">
        <v>573</v>
      </c>
      <c r="G267" s="49"/>
      <c r="H267" s="48" t="s">
        <v>574</v>
      </c>
      <c r="I267" s="48"/>
      <c r="J267" s="48"/>
      <c r="K267" s="48" t="s">
        <v>134</v>
      </c>
      <c r="L267" s="50">
        <v>250</v>
      </c>
      <c r="M267" s="48"/>
      <c r="O267" s="48"/>
      <c r="P267" s="48"/>
      <c r="Q267" s="91" t="s">
        <v>190</v>
      </c>
      <c r="R267" s="91"/>
      <c r="S267" s="247"/>
      <c r="T267" s="223" t="s">
        <v>123</v>
      </c>
      <c r="U267" s="223" t="s">
        <v>97</v>
      </c>
      <c r="V267" s="248"/>
      <c r="W267" s="248"/>
      <c r="X267" s="249"/>
    </row>
    <row r="268" spans="1:24" s="6" customFormat="1" ht="15" customHeight="1" thickBot="1" x14ac:dyDescent="0.4">
      <c r="A268" s="28" t="s">
        <v>87</v>
      </c>
      <c r="B268" s="29">
        <v>8</v>
      </c>
      <c r="C268" s="28" t="s">
        <v>56</v>
      </c>
      <c r="D268" s="28" t="s">
        <v>88</v>
      </c>
      <c r="E268" s="28" t="s">
        <v>56</v>
      </c>
      <c r="F268" s="30" t="s">
        <v>56</v>
      </c>
      <c r="G268" s="28"/>
      <c r="H268" s="28"/>
      <c r="I268" s="28"/>
      <c r="J268" s="28"/>
      <c r="K268" s="28"/>
      <c r="L268" s="28"/>
      <c r="M268" s="28"/>
      <c r="N268" s="28"/>
      <c r="O268" s="28"/>
      <c r="P268" s="28"/>
      <c r="Q268" s="89"/>
      <c r="R268" s="91"/>
      <c r="S268" s="5"/>
      <c r="T268" s="11"/>
      <c r="U268" s="11"/>
      <c r="V268" s="11"/>
      <c r="W268" s="5"/>
      <c r="X268" s="5"/>
    </row>
    <row r="269" spans="1:24" ht="15" customHeight="1" x14ac:dyDescent="0.35">
      <c r="A269" s="31" t="s">
        <v>87</v>
      </c>
      <c r="B269" s="42" t="s">
        <v>137</v>
      </c>
      <c r="C269" s="40" t="s">
        <v>56</v>
      </c>
      <c r="D269" s="56" t="s">
        <v>89</v>
      </c>
      <c r="E269" s="40" t="s">
        <v>612</v>
      </c>
      <c r="F269" s="37" t="s">
        <v>613</v>
      </c>
      <c r="G269" s="41"/>
      <c r="H269" s="40" t="s">
        <v>614</v>
      </c>
      <c r="I269" s="40"/>
      <c r="J269" s="40"/>
      <c r="K269" s="40" t="s">
        <v>134</v>
      </c>
      <c r="L269" s="42">
        <v>9</v>
      </c>
      <c r="M269" s="40" t="s">
        <v>571</v>
      </c>
      <c r="O269" s="40"/>
      <c r="P269" s="40"/>
      <c r="Q269" s="91" t="s">
        <v>79</v>
      </c>
      <c r="R269" s="91"/>
    </row>
    <row r="270" spans="1:24" ht="15" customHeight="1" x14ac:dyDescent="0.35">
      <c r="A270" s="39" t="s">
        <v>87</v>
      </c>
      <c r="B270" s="42" t="s">
        <v>137</v>
      </c>
      <c r="C270" s="40" t="s">
        <v>56</v>
      </c>
      <c r="D270" s="56" t="s">
        <v>99</v>
      </c>
      <c r="E270" s="40" t="s">
        <v>90</v>
      </c>
      <c r="F270" s="37" t="s">
        <v>91</v>
      </c>
      <c r="G270" s="41"/>
      <c r="H270" s="40" t="s">
        <v>1031</v>
      </c>
      <c r="I270" s="40"/>
      <c r="J270" s="40"/>
      <c r="K270" s="40" t="s">
        <v>93</v>
      </c>
      <c r="L270" s="42">
        <v>4</v>
      </c>
      <c r="M270" s="40" t="s">
        <v>94</v>
      </c>
      <c r="N270" s="51" t="s">
        <v>95</v>
      </c>
      <c r="O270" s="40"/>
      <c r="P270" s="40"/>
      <c r="Q270" s="91" t="s">
        <v>79</v>
      </c>
      <c r="R270" s="91"/>
    </row>
    <row r="271" spans="1:24" ht="15" customHeight="1" x14ac:dyDescent="0.35">
      <c r="A271" s="31" t="s">
        <v>87</v>
      </c>
      <c r="B271" s="42" t="s">
        <v>137</v>
      </c>
      <c r="C271" s="40" t="s">
        <v>56</v>
      </c>
      <c r="D271" s="56" t="s">
        <v>105</v>
      </c>
      <c r="E271" s="40" t="s">
        <v>1032</v>
      </c>
      <c r="F271" s="37" t="s">
        <v>1033</v>
      </c>
      <c r="G271" s="41"/>
      <c r="H271" s="40" t="s">
        <v>1034</v>
      </c>
      <c r="I271" s="40"/>
      <c r="J271" s="40"/>
      <c r="K271" s="40" t="s">
        <v>254</v>
      </c>
      <c r="L271" s="42">
        <v>1</v>
      </c>
      <c r="M271" s="40" t="s">
        <v>143</v>
      </c>
      <c r="O271" s="40" t="s">
        <v>89</v>
      </c>
      <c r="P271" s="40" t="s">
        <v>105</v>
      </c>
      <c r="Q271" s="91" t="s">
        <v>161</v>
      </c>
      <c r="R271" s="91"/>
    </row>
    <row r="272" spans="1:24" ht="15" customHeight="1" x14ac:dyDescent="0.35">
      <c r="A272" s="31" t="s">
        <v>87</v>
      </c>
      <c r="B272" s="42" t="s">
        <v>137</v>
      </c>
      <c r="C272" s="40" t="s">
        <v>56</v>
      </c>
      <c r="D272" s="56" t="s">
        <v>111</v>
      </c>
      <c r="E272" s="40" t="s">
        <v>131</v>
      </c>
      <c r="F272" s="37" t="s">
        <v>132</v>
      </c>
      <c r="G272" s="41"/>
      <c r="H272" s="40" t="s">
        <v>133</v>
      </c>
      <c r="I272" s="40"/>
      <c r="J272" s="40"/>
      <c r="K272" s="40" t="s">
        <v>134</v>
      </c>
      <c r="L272" s="42">
        <v>15</v>
      </c>
      <c r="M272" s="40" t="s">
        <v>135</v>
      </c>
      <c r="O272" s="40"/>
      <c r="P272" s="40"/>
      <c r="Q272" s="91" t="s">
        <v>161</v>
      </c>
      <c r="R272" s="91"/>
    </row>
    <row r="273" spans="1:24" ht="15" customHeight="1" x14ac:dyDescent="0.35">
      <c r="A273" s="31" t="s">
        <v>87</v>
      </c>
      <c r="B273" s="42" t="s">
        <v>137</v>
      </c>
      <c r="C273" s="40" t="s">
        <v>56</v>
      </c>
      <c r="D273" s="56" t="s">
        <v>117</v>
      </c>
      <c r="E273" s="40" t="s">
        <v>138</v>
      </c>
      <c r="F273" s="37" t="s">
        <v>139</v>
      </c>
      <c r="G273" s="41"/>
      <c r="H273" s="40" t="s">
        <v>408</v>
      </c>
      <c r="I273" s="40"/>
      <c r="J273" s="40"/>
      <c r="K273" s="40" t="s">
        <v>134</v>
      </c>
      <c r="L273" s="42">
        <v>25</v>
      </c>
      <c r="M273" s="40" t="s">
        <v>141</v>
      </c>
      <c r="O273" s="40"/>
      <c r="P273" s="40"/>
      <c r="Q273" s="91" t="s">
        <v>161</v>
      </c>
      <c r="R273" s="91"/>
    </row>
    <row r="274" spans="1:24" ht="15" customHeight="1" x14ac:dyDescent="0.35">
      <c r="A274" s="31" t="s">
        <v>87</v>
      </c>
      <c r="B274" s="42" t="s">
        <v>137</v>
      </c>
      <c r="C274" s="40" t="s">
        <v>56</v>
      </c>
      <c r="D274" s="56" t="s">
        <v>125</v>
      </c>
      <c r="E274" s="40" t="s">
        <v>144</v>
      </c>
      <c r="F274" s="37" t="s">
        <v>145</v>
      </c>
      <c r="G274" s="41"/>
      <c r="H274" s="40" t="s">
        <v>409</v>
      </c>
      <c r="I274" s="40"/>
      <c r="J274" s="40"/>
      <c r="K274" s="40" t="s">
        <v>134</v>
      </c>
      <c r="L274" s="42">
        <v>50</v>
      </c>
      <c r="M274" s="40"/>
      <c r="O274" s="40"/>
      <c r="P274" s="40"/>
      <c r="Q274" s="91" t="s">
        <v>161</v>
      </c>
      <c r="R274" s="91"/>
    </row>
    <row r="275" spans="1:24" ht="15" customHeight="1" x14ac:dyDescent="0.35">
      <c r="A275" s="39" t="s">
        <v>87</v>
      </c>
      <c r="B275" s="42" t="s">
        <v>137</v>
      </c>
      <c r="C275" s="40" t="s">
        <v>56</v>
      </c>
      <c r="D275" s="56" t="s">
        <v>130</v>
      </c>
      <c r="E275" s="40" t="s">
        <v>1035</v>
      </c>
      <c r="F275" s="37" t="s">
        <v>1036</v>
      </c>
      <c r="G275" s="41"/>
      <c r="H275" s="40" t="s">
        <v>1037</v>
      </c>
      <c r="I275" s="40"/>
      <c r="J275" s="40"/>
      <c r="K275" s="40" t="s">
        <v>93</v>
      </c>
      <c r="L275" s="42">
        <v>6</v>
      </c>
      <c r="M275" s="40" t="s">
        <v>103</v>
      </c>
      <c r="N275" s="51" t="s">
        <v>1038</v>
      </c>
      <c r="O275" s="40"/>
      <c r="P275" s="40"/>
      <c r="Q275" s="91" t="s">
        <v>79</v>
      </c>
      <c r="R275" s="91"/>
    </row>
    <row r="276" spans="1:24" ht="15" customHeight="1" x14ac:dyDescent="0.35">
      <c r="A276" s="31" t="s">
        <v>87</v>
      </c>
      <c r="B276" s="42" t="s">
        <v>137</v>
      </c>
      <c r="C276" s="40" t="s">
        <v>56</v>
      </c>
      <c r="D276" s="56" t="s">
        <v>137</v>
      </c>
      <c r="E276" s="40" t="s">
        <v>1039</v>
      </c>
      <c r="F276" s="37" t="s">
        <v>1040</v>
      </c>
      <c r="G276" s="41"/>
      <c r="H276" s="40" t="s">
        <v>1041</v>
      </c>
      <c r="I276" s="40"/>
      <c r="J276" s="40"/>
      <c r="K276" s="40" t="s">
        <v>93</v>
      </c>
      <c r="L276" s="42">
        <v>1</v>
      </c>
      <c r="M276" s="40" t="s">
        <v>109</v>
      </c>
      <c r="N276" s="43" t="s">
        <v>1039</v>
      </c>
      <c r="O276" s="40"/>
      <c r="P276" s="40"/>
      <c r="Q276" s="91" t="s">
        <v>161</v>
      </c>
      <c r="R276" s="91"/>
    </row>
    <row r="277" spans="1:24" ht="15" customHeight="1" x14ac:dyDescent="0.35">
      <c r="A277" s="31" t="s">
        <v>87</v>
      </c>
      <c r="B277" s="42" t="s">
        <v>137</v>
      </c>
      <c r="C277" s="40" t="s">
        <v>56</v>
      </c>
      <c r="D277" s="56" t="s">
        <v>143</v>
      </c>
      <c r="E277" s="40" t="s">
        <v>1042</v>
      </c>
      <c r="F277" s="37" t="s">
        <v>1042</v>
      </c>
      <c r="G277" s="41"/>
      <c r="H277" s="40" t="s">
        <v>1043</v>
      </c>
      <c r="I277" s="40"/>
      <c r="J277" s="40"/>
      <c r="K277" s="40" t="s">
        <v>254</v>
      </c>
      <c r="L277" s="42">
        <v>5</v>
      </c>
      <c r="M277" s="40" t="s">
        <v>1044</v>
      </c>
      <c r="O277" s="40" t="s">
        <v>88</v>
      </c>
      <c r="P277" s="40" t="s">
        <v>1045</v>
      </c>
      <c r="Q277" s="91" t="s">
        <v>79</v>
      </c>
      <c r="R277" s="91"/>
    </row>
    <row r="278" spans="1:24" ht="15" customHeight="1" x14ac:dyDescent="0.35">
      <c r="A278" s="31" t="s">
        <v>87</v>
      </c>
      <c r="B278" s="42" t="s">
        <v>137</v>
      </c>
      <c r="C278" s="40" t="s">
        <v>56</v>
      </c>
      <c r="D278" s="56" t="s">
        <v>147</v>
      </c>
      <c r="E278" s="40" t="s">
        <v>1046</v>
      </c>
      <c r="F278" s="37" t="s">
        <v>1047</v>
      </c>
      <c r="G278" s="41"/>
      <c r="H278" s="40" t="s">
        <v>1048</v>
      </c>
      <c r="I278" s="40"/>
      <c r="J278" s="40"/>
      <c r="K278" s="40" t="s">
        <v>254</v>
      </c>
      <c r="L278" s="42">
        <v>6</v>
      </c>
      <c r="M278" s="40" t="s">
        <v>669</v>
      </c>
      <c r="O278" s="40" t="s">
        <v>88</v>
      </c>
      <c r="P278" s="40" t="s">
        <v>669</v>
      </c>
      <c r="Q278" s="91" t="s">
        <v>161</v>
      </c>
      <c r="R278" s="91"/>
    </row>
    <row r="279" spans="1:24" ht="15" customHeight="1" x14ac:dyDescent="0.35">
      <c r="A279" s="31" t="s">
        <v>87</v>
      </c>
      <c r="B279" s="42" t="s">
        <v>137</v>
      </c>
      <c r="C279" s="40" t="s">
        <v>56</v>
      </c>
      <c r="D279" s="56" t="s">
        <v>153</v>
      </c>
      <c r="E279" s="40" t="s">
        <v>1049</v>
      </c>
      <c r="F279" s="37" t="s">
        <v>1050</v>
      </c>
      <c r="G279" s="41"/>
      <c r="H279" s="40" t="s">
        <v>1051</v>
      </c>
      <c r="I279" s="40"/>
      <c r="J279" s="40"/>
      <c r="K279" s="40" t="s">
        <v>461</v>
      </c>
      <c r="L279" s="42">
        <v>4</v>
      </c>
      <c r="M279" s="63" t="s">
        <v>1052</v>
      </c>
      <c r="O279" s="40" t="s">
        <v>88</v>
      </c>
      <c r="P279" s="41">
        <v>80</v>
      </c>
      <c r="Q279" s="91" t="s">
        <v>161</v>
      </c>
      <c r="R279" s="91"/>
      <c r="W279" s="97"/>
      <c r="X279" s="97"/>
    </row>
    <row r="280" spans="1:24" ht="15" customHeight="1" x14ac:dyDescent="0.35">
      <c r="A280" s="31" t="s">
        <v>87</v>
      </c>
      <c r="B280" s="42" t="s">
        <v>137</v>
      </c>
      <c r="C280" s="48" t="s">
        <v>56</v>
      </c>
      <c r="D280" s="56" t="s">
        <v>157</v>
      </c>
      <c r="E280" s="48" t="s">
        <v>1053</v>
      </c>
      <c r="F280" s="34" t="s">
        <v>1054</v>
      </c>
      <c r="G280" s="49"/>
      <c r="H280" s="48" t="s">
        <v>1055</v>
      </c>
      <c r="I280" s="48"/>
      <c r="J280" s="48"/>
      <c r="K280" s="48" t="s">
        <v>254</v>
      </c>
      <c r="L280" s="50">
        <v>2</v>
      </c>
      <c r="M280" s="48" t="s">
        <v>228</v>
      </c>
      <c r="O280" s="48" t="s">
        <v>88</v>
      </c>
      <c r="P280" s="48" t="s">
        <v>748</v>
      </c>
      <c r="Q280" s="91" t="s">
        <v>161</v>
      </c>
      <c r="R280" s="91"/>
      <c r="S280" s="6"/>
      <c r="T280" s="121"/>
      <c r="U280" s="121"/>
      <c r="V280" s="121"/>
    </row>
    <row r="281" spans="1:24" ht="15" customHeight="1" x14ac:dyDescent="0.35">
      <c r="A281" s="31" t="s">
        <v>87</v>
      </c>
      <c r="B281" s="42" t="s">
        <v>137</v>
      </c>
      <c r="C281" s="40" t="s">
        <v>56</v>
      </c>
      <c r="D281" s="56" t="s">
        <v>163</v>
      </c>
      <c r="E281" s="40" t="s">
        <v>1056</v>
      </c>
      <c r="F281" s="37" t="s">
        <v>1057</v>
      </c>
      <c r="G281" s="41"/>
      <c r="H281" s="40" t="s">
        <v>1058</v>
      </c>
      <c r="I281" s="40"/>
      <c r="J281" s="40"/>
      <c r="K281" s="40" t="s">
        <v>151</v>
      </c>
      <c r="L281" s="42">
        <v>10</v>
      </c>
      <c r="M281" s="40" t="s">
        <v>152</v>
      </c>
      <c r="O281" s="40"/>
      <c r="P281" s="40"/>
      <c r="Q281" s="91" t="s">
        <v>79</v>
      </c>
      <c r="R281" s="91"/>
      <c r="W281" s="70"/>
      <c r="X281" s="70"/>
    </row>
    <row r="282" spans="1:24" ht="15" customHeight="1" x14ac:dyDescent="0.35">
      <c r="A282" s="31" t="s">
        <v>87</v>
      </c>
      <c r="B282" s="42" t="s">
        <v>137</v>
      </c>
      <c r="C282" s="40" t="s">
        <v>56</v>
      </c>
      <c r="D282" s="56" t="s">
        <v>167</v>
      </c>
      <c r="E282" s="40" t="s">
        <v>1059</v>
      </c>
      <c r="F282" s="37" t="s">
        <v>1060</v>
      </c>
      <c r="G282" s="41"/>
      <c r="H282" s="40" t="s">
        <v>1061</v>
      </c>
      <c r="I282" s="40"/>
      <c r="J282" s="40"/>
      <c r="K282" s="40" t="s">
        <v>151</v>
      </c>
      <c r="L282" s="42">
        <v>10</v>
      </c>
      <c r="M282" s="40" t="s">
        <v>152</v>
      </c>
      <c r="O282" s="40"/>
      <c r="P282" s="40"/>
      <c r="Q282" s="91" t="s">
        <v>161</v>
      </c>
      <c r="R282" s="91"/>
      <c r="S282" s="97"/>
      <c r="T282" s="122"/>
      <c r="U282" s="122"/>
      <c r="V282" s="122"/>
      <c r="W282" s="70"/>
      <c r="X282" s="70"/>
    </row>
    <row r="283" spans="1:24" ht="15" customHeight="1" thickBot="1" x14ac:dyDescent="0.4">
      <c r="A283" s="31" t="s">
        <v>87</v>
      </c>
      <c r="B283" s="42" t="s">
        <v>137</v>
      </c>
      <c r="C283" s="48" t="s">
        <v>56</v>
      </c>
      <c r="D283" s="56" t="s">
        <v>171</v>
      </c>
      <c r="E283" s="48" t="s">
        <v>572</v>
      </c>
      <c r="F283" s="34" t="s">
        <v>573</v>
      </c>
      <c r="G283" s="49"/>
      <c r="H283" s="48" t="s">
        <v>574</v>
      </c>
      <c r="I283" s="48"/>
      <c r="J283" s="48"/>
      <c r="K283" s="48" t="s">
        <v>134</v>
      </c>
      <c r="L283" s="50">
        <v>250</v>
      </c>
      <c r="M283" s="48"/>
      <c r="O283" s="48"/>
      <c r="P283" s="48"/>
      <c r="Q283" s="91" t="s">
        <v>190</v>
      </c>
      <c r="R283" s="91"/>
      <c r="S283" s="70"/>
      <c r="T283" s="123"/>
      <c r="U283" s="123"/>
      <c r="V283" s="123"/>
      <c r="W283" s="70"/>
      <c r="X283" s="70"/>
    </row>
    <row r="284" spans="1:24" s="6" customFormat="1" ht="15" customHeight="1" thickBot="1" x14ac:dyDescent="0.4">
      <c r="A284" s="28" t="s">
        <v>87</v>
      </c>
      <c r="B284" s="53" t="s">
        <v>143</v>
      </c>
      <c r="C284" s="28" t="s">
        <v>57</v>
      </c>
      <c r="D284" s="28" t="s">
        <v>88</v>
      </c>
      <c r="E284" s="28" t="s">
        <v>57</v>
      </c>
      <c r="F284" s="30" t="s">
        <v>57</v>
      </c>
      <c r="G284" s="28" t="b">
        <v>0</v>
      </c>
      <c r="H284" s="28" t="s">
        <v>1062</v>
      </c>
      <c r="I284" s="28"/>
      <c r="J284" s="28"/>
      <c r="K284" s="28"/>
      <c r="L284" s="28"/>
      <c r="M284" s="28"/>
      <c r="N284" s="28"/>
      <c r="O284" s="28"/>
      <c r="P284" s="28"/>
      <c r="Q284" s="89"/>
      <c r="R284" s="91"/>
      <c r="S284" s="5"/>
      <c r="T284" s="11"/>
      <c r="U284" s="11"/>
      <c r="V284" s="11"/>
      <c r="W284" s="5"/>
      <c r="X284" s="5"/>
    </row>
    <row r="285" spans="1:24" ht="15" customHeight="1" x14ac:dyDescent="0.35">
      <c r="A285" s="31" t="s">
        <v>87</v>
      </c>
      <c r="B285" s="62" t="s">
        <v>143</v>
      </c>
      <c r="C285" s="40" t="s">
        <v>57</v>
      </c>
      <c r="D285" s="56" t="s">
        <v>89</v>
      </c>
      <c r="E285" s="40" t="s">
        <v>175</v>
      </c>
      <c r="F285" s="37" t="s">
        <v>176</v>
      </c>
      <c r="G285" s="41"/>
      <c r="H285" s="40" t="s">
        <v>177</v>
      </c>
      <c r="I285" s="40"/>
      <c r="J285" s="40"/>
      <c r="K285" s="40" t="s">
        <v>134</v>
      </c>
      <c r="L285" s="42">
        <v>9</v>
      </c>
      <c r="M285" s="36" t="s">
        <v>449</v>
      </c>
      <c r="O285" s="40"/>
      <c r="P285" s="40"/>
      <c r="Q285" s="91" t="s">
        <v>79</v>
      </c>
      <c r="R285" s="91"/>
    </row>
    <row r="286" spans="1:24" ht="15" customHeight="1" x14ac:dyDescent="0.35">
      <c r="A286" s="31" t="s">
        <v>87</v>
      </c>
      <c r="B286" s="62" t="s">
        <v>143</v>
      </c>
      <c r="C286" s="40" t="s">
        <v>57</v>
      </c>
      <c r="D286" s="56" t="s">
        <v>99</v>
      </c>
      <c r="E286" s="40" t="s">
        <v>1063</v>
      </c>
      <c r="F286" s="37" t="s">
        <v>1064</v>
      </c>
      <c r="G286" s="41"/>
      <c r="H286" s="40" t="s">
        <v>1065</v>
      </c>
      <c r="I286" s="40"/>
      <c r="J286" s="40"/>
      <c r="K286" s="40" t="s">
        <v>134</v>
      </c>
      <c r="L286" s="42">
        <v>9</v>
      </c>
      <c r="M286" s="36" t="s">
        <v>449</v>
      </c>
      <c r="O286" s="40"/>
      <c r="P286" s="40"/>
      <c r="Q286" s="91" t="s">
        <v>79</v>
      </c>
      <c r="R286" s="91"/>
    </row>
    <row r="287" spans="1:24" ht="15" customHeight="1" x14ac:dyDescent="0.35">
      <c r="A287" s="31" t="s">
        <v>87</v>
      </c>
      <c r="B287" s="62" t="s">
        <v>143</v>
      </c>
      <c r="C287" s="40" t="s">
        <v>57</v>
      </c>
      <c r="D287" s="56" t="s">
        <v>105</v>
      </c>
      <c r="E287" s="40" t="s">
        <v>1066</v>
      </c>
      <c r="F287" s="37" t="s">
        <v>1067</v>
      </c>
      <c r="G287" s="41"/>
      <c r="H287" s="40" t="s">
        <v>1068</v>
      </c>
      <c r="I287" s="40"/>
      <c r="J287" s="40"/>
      <c r="K287" s="40" t="s">
        <v>151</v>
      </c>
      <c r="L287" s="42">
        <v>10</v>
      </c>
      <c r="M287" s="36" t="s">
        <v>152</v>
      </c>
      <c r="O287" s="40"/>
      <c r="P287" s="40"/>
      <c r="Q287" s="91" t="s">
        <v>79</v>
      </c>
      <c r="R287" s="91"/>
    </row>
    <row r="288" spans="1:24" ht="15" customHeight="1" x14ac:dyDescent="0.35">
      <c r="A288" s="31" t="s">
        <v>87</v>
      </c>
      <c r="B288" s="62" t="s">
        <v>143</v>
      </c>
      <c r="C288" s="40" t="s">
        <v>57</v>
      </c>
      <c r="D288" s="56" t="s">
        <v>111</v>
      </c>
      <c r="E288" s="40" t="s">
        <v>1069</v>
      </c>
      <c r="F288" s="37" t="s">
        <v>1070</v>
      </c>
      <c r="G288" s="41"/>
      <c r="H288" s="40" t="s">
        <v>1071</v>
      </c>
      <c r="I288" s="40"/>
      <c r="J288" s="40"/>
      <c r="K288" s="40" t="s">
        <v>134</v>
      </c>
      <c r="L288" s="42">
        <v>9</v>
      </c>
      <c r="M288" s="36" t="s">
        <v>449</v>
      </c>
      <c r="O288" s="40"/>
      <c r="P288" s="40"/>
      <c r="Q288" s="91" t="s">
        <v>79</v>
      </c>
      <c r="R288" s="91"/>
    </row>
    <row r="289" spans="1:24" ht="15" customHeight="1" x14ac:dyDescent="0.35">
      <c r="A289" s="31" t="s">
        <v>87</v>
      </c>
      <c r="B289" s="62" t="s">
        <v>143</v>
      </c>
      <c r="C289" s="40" t="s">
        <v>57</v>
      </c>
      <c r="D289" s="56" t="s">
        <v>117</v>
      </c>
      <c r="E289" s="40" t="s">
        <v>1072</v>
      </c>
      <c r="F289" s="37" t="s">
        <v>1073</v>
      </c>
      <c r="G289" s="41"/>
      <c r="H289" s="40" t="s">
        <v>1074</v>
      </c>
      <c r="I289" s="40"/>
      <c r="J289" s="40"/>
      <c r="K289" s="40" t="s">
        <v>93</v>
      </c>
      <c r="L289" s="42">
        <v>3</v>
      </c>
      <c r="M289" s="36" t="s">
        <v>626</v>
      </c>
      <c r="N289" s="43" t="s">
        <v>1075</v>
      </c>
      <c r="O289" s="40"/>
      <c r="P289" s="40"/>
      <c r="Q289" s="91" t="s">
        <v>79</v>
      </c>
      <c r="R289" s="91"/>
    </row>
    <row r="290" spans="1:24" ht="15" customHeight="1" x14ac:dyDescent="0.35">
      <c r="A290" s="31" t="s">
        <v>87</v>
      </c>
      <c r="B290" s="62" t="s">
        <v>143</v>
      </c>
      <c r="C290" s="40" t="s">
        <v>57</v>
      </c>
      <c r="D290" s="56" t="s">
        <v>125</v>
      </c>
      <c r="E290" s="40" t="s">
        <v>1076</v>
      </c>
      <c r="F290" s="37" t="s">
        <v>1077</v>
      </c>
      <c r="G290" s="41"/>
      <c r="H290" s="40" t="s">
        <v>1078</v>
      </c>
      <c r="I290" s="40"/>
      <c r="J290" s="40"/>
      <c r="K290" s="40" t="s">
        <v>254</v>
      </c>
      <c r="L290" s="42">
        <v>5</v>
      </c>
      <c r="M290" s="44">
        <v>999.9</v>
      </c>
      <c r="O290" s="40"/>
      <c r="P290" s="40"/>
      <c r="Q290" s="91" t="s">
        <v>79</v>
      </c>
      <c r="R290" s="91"/>
    </row>
    <row r="291" spans="1:24" ht="15" customHeight="1" x14ac:dyDescent="0.35">
      <c r="A291" s="31" t="s">
        <v>87</v>
      </c>
      <c r="B291" s="62" t="s">
        <v>143</v>
      </c>
      <c r="C291" s="40" t="s">
        <v>57</v>
      </c>
      <c r="D291" s="56" t="s">
        <v>130</v>
      </c>
      <c r="E291" s="40" t="s">
        <v>1079</v>
      </c>
      <c r="F291" s="37" t="s">
        <v>1080</v>
      </c>
      <c r="G291" s="41"/>
      <c r="H291" s="40" t="s">
        <v>1081</v>
      </c>
      <c r="I291" s="40"/>
      <c r="J291" s="40"/>
      <c r="K291" s="40" t="s">
        <v>93</v>
      </c>
      <c r="L291" s="42">
        <v>3</v>
      </c>
      <c r="M291" s="36" t="s">
        <v>626</v>
      </c>
      <c r="N291" s="43" t="s">
        <v>1082</v>
      </c>
      <c r="O291" s="40"/>
      <c r="P291" s="40"/>
      <c r="Q291" s="91" t="s">
        <v>79</v>
      </c>
      <c r="R291" s="91"/>
      <c r="W291" s="70"/>
      <c r="X291" s="70"/>
    </row>
    <row r="292" spans="1:24" ht="15" customHeight="1" x14ac:dyDescent="0.35">
      <c r="A292" s="31" t="s">
        <v>87</v>
      </c>
      <c r="B292" s="62" t="s">
        <v>143</v>
      </c>
      <c r="C292" s="40" t="s">
        <v>57</v>
      </c>
      <c r="D292" s="56" t="s">
        <v>137</v>
      </c>
      <c r="E292" s="40" t="s">
        <v>1083</v>
      </c>
      <c r="F292" s="37" t="s">
        <v>1084</v>
      </c>
      <c r="G292" s="41"/>
      <c r="H292" s="40" t="s">
        <v>1085</v>
      </c>
      <c r="I292" s="40"/>
      <c r="J292" s="40"/>
      <c r="K292" s="40" t="s">
        <v>93</v>
      </c>
      <c r="L292" s="42">
        <v>3</v>
      </c>
      <c r="M292" s="40" t="s">
        <v>626</v>
      </c>
      <c r="N292" s="43" t="s">
        <v>1082</v>
      </c>
      <c r="O292" s="40"/>
      <c r="P292" s="40"/>
      <c r="Q292" s="91" t="s">
        <v>161</v>
      </c>
      <c r="R292" s="91"/>
      <c r="W292" s="70"/>
      <c r="X292" s="70"/>
    </row>
    <row r="293" spans="1:24" ht="15" customHeight="1" x14ac:dyDescent="0.35">
      <c r="A293" s="39" t="s">
        <v>87</v>
      </c>
      <c r="B293" s="62" t="s">
        <v>143</v>
      </c>
      <c r="C293" s="40" t="s">
        <v>57</v>
      </c>
      <c r="D293" s="56" t="s">
        <v>143</v>
      </c>
      <c r="E293" s="40" t="s">
        <v>1086</v>
      </c>
      <c r="F293" s="37" t="s">
        <v>91</v>
      </c>
      <c r="G293" s="41"/>
      <c r="H293" s="40" t="s">
        <v>1087</v>
      </c>
      <c r="I293" s="40"/>
      <c r="J293" s="40"/>
      <c r="K293" s="40" t="s">
        <v>93</v>
      </c>
      <c r="L293" s="42">
        <v>4</v>
      </c>
      <c r="M293" s="40" t="s">
        <v>434</v>
      </c>
      <c r="N293" s="51" t="s">
        <v>95</v>
      </c>
      <c r="O293" s="40"/>
      <c r="P293" s="40"/>
      <c r="Q293" s="91" t="s">
        <v>79</v>
      </c>
      <c r="R293" s="91"/>
    </row>
    <row r="294" spans="1:24" ht="15" customHeight="1" x14ac:dyDescent="0.35">
      <c r="A294" s="31" t="s">
        <v>87</v>
      </c>
      <c r="B294" s="62" t="s">
        <v>143</v>
      </c>
      <c r="C294" s="40" t="s">
        <v>57</v>
      </c>
      <c r="D294" s="56" t="s">
        <v>147</v>
      </c>
      <c r="E294" s="40" t="s">
        <v>1088</v>
      </c>
      <c r="F294" s="37" t="s">
        <v>1089</v>
      </c>
      <c r="G294" s="41"/>
      <c r="H294" s="40" t="s">
        <v>1090</v>
      </c>
      <c r="I294" s="40"/>
      <c r="J294" s="40"/>
      <c r="K294" s="40" t="s">
        <v>93</v>
      </c>
      <c r="L294" s="42">
        <v>1</v>
      </c>
      <c r="M294" s="36" t="s">
        <v>109</v>
      </c>
      <c r="N294" s="43" t="s">
        <v>205</v>
      </c>
      <c r="O294" s="40"/>
      <c r="P294" s="40"/>
      <c r="Q294" s="91" t="s">
        <v>79</v>
      </c>
      <c r="R294" s="91"/>
      <c r="S294" s="70"/>
      <c r="T294" s="123"/>
      <c r="U294" s="123"/>
      <c r="V294" s="123"/>
    </row>
    <row r="295" spans="1:24" ht="15" customHeight="1" x14ac:dyDescent="0.35">
      <c r="A295" s="31" t="s">
        <v>87</v>
      </c>
      <c r="B295" s="62" t="s">
        <v>143</v>
      </c>
      <c r="C295" s="40" t="s">
        <v>57</v>
      </c>
      <c r="D295" s="56" t="s">
        <v>153</v>
      </c>
      <c r="E295" s="40" t="s">
        <v>1091</v>
      </c>
      <c r="F295" s="37" t="s">
        <v>1092</v>
      </c>
      <c r="G295" s="41"/>
      <c r="H295" s="40" t="s">
        <v>1093</v>
      </c>
      <c r="I295" s="40"/>
      <c r="J295" s="40"/>
      <c r="K295" s="40" t="s">
        <v>93</v>
      </c>
      <c r="L295" s="42">
        <v>3</v>
      </c>
      <c r="M295" s="40" t="s">
        <v>626</v>
      </c>
      <c r="N295" s="43" t="s">
        <v>1094</v>
      </c>
      <c r="O295" s="40"/>
      <c r="P295" s="40"/>
      <c r="Q295" s="91" t="s">
        <v>161</v>
      </c>
      <c r="R295" s="91"/>
      <c r="S295" s="70"/>
      <c r="T295" s="123"/>
      <c r="U295" s="123"/>
      <c r="V295" s="123"/>
      <c r="W295" s="70"/>
      <c r="X295" s="70"/>
    </row>
    <row r="296" spans="1:24" ht="15" customHeight="1" x14ac:dyDescent="0.35">
      <c r="A296" s="31" t="s">
        <v>87</v>
      </c>
      <c r="B296" s="62" t="s">
        <v>143</v>
      </c>
      <c r="C296" s="40" t="s">
        <v>57</v>
      </c>
      <c r="D296" s="56" t="s">
        <v>157</v>
      </c>
      <c r="E296" s="40" t="s">
        <v>1095</v>
      </c>
      <c r="F296" s="37" t="s">
        <v>1096</v>
      </c>
      <c r="G296" s="41"/>
      <c r="H296" s="40" t="s">
        <v>1097</v>
      </c>
      <c r="I296" s="40"/>
      <c r="J296" s="40"/>
      <c r="K296" s="40" t="s">
        <v>93</v>
      </c>
      <c r="L296" s="42">
        <v>1</v>
      </c>
      <c r="M296" s="36" t="s">
        <v>109</v>
      </c>
      <c r="N296" s="43" t="s">
        <v>205</v>
      </c>
      <c r="O296" s="40"/>
      <c r="P296" s="40"/>
      <c r="Q296" s="91" t="s">
        <v>79</v>
      </c>
      <c r="R296" s="91"/>
      <c r="S296" s="70"/>
      <c r="T296" s="123"/>
      <c r="U296" s="123"/>
      <c r="V296" s="123"/>
    </row>
    <row r="297" spans="1:24" ht="15" customHeight="1" x14ac:dyDescent="0.35">
      <c r="A297" s="31" t="s">
        <v>87</v>
      </c>
      <c r="B297" s="62" t="s">
        <v>143</v>
      </c>
      <c r="C297" s="40" t="s">
        <v>57</v>
      </c>
      <c r="D297" s="56" t="s">
        <v>163</v>
      </c>
      <c r="E297" s="40" t="s">
        <v>1098</v>
      </c>
      <c r="F297" s="37" t="s">
        <v>1099</v>
      </c>
      <c r="G297" s="41"/>
      <c r="H297" s="40" t="s">
        <v>1100</v>
      </c>
      <c r="I297" s="40"/>
      <c r="J297" s="40"/>
      <c r="K297" s="40" t="s">
        <v>93</v>
      </c>
      <c r="L297" s="42">
        <v>2</v>
      </c>
      <c r="M297" s="40" t="s">
        <v>115</v>
      </c>
      <c r="N297" s="43" t="s">
        <v>1098</v>
      </c>
      <c r="O297" s="40"/>
      <c r="P297" s="40"/>
      <c r="Q297" s="91" t="s">
        <v>161</v>
      </c>
      <c r="R297" s="91"/>
      <c r="S297" s="70"/>
      <c r="T297" s="123"/>
      <c r="U297" s="123"/>
      <c r="V297" s="123"/>
    </row>
    <row r="298" spans="1:24" ht="15" customHeight="1" x14ac:dyDescent="0.35">
      <c r="A298" s="31" t="s">
        <v>87</v>
      </c>
      <c r="B298" s="62" t="s">
        <v>143</v>
      </c>
      <c r="C298" s="40" t="s">
        <v>57</v>
      </c>
      <c r="D298" s="56" t="s">
        <v>167</v>
      </c>
      <c r="E298" s="40" t="s">
        <v>1101</v>
      </c>
      <c r="F298" s="37" t="s">
        <v>1102</v>
      </c>
      <c r="G298" s="41"/>
      <c r="H298" s="40" t="s">
        <v>1103</v>
      </c>
      <c r="I298" s="40"/>
      <c r="J298" s="40"/>
      <c r="K298" s="40" t="s">
        <v>93</v>
      </c>
      <c r="L298" s="42">
        <v>1</v>
      </c>
      <c r="M298" s="36" t="s">
        <v>109</v>
      </c>
      <c r="N298" s="43" t="s">
        <v>205</v>
      </c>
      <c r="O298" s="40"/>
      <c r="P298" s="40"/>
      <c r="Q298" s="91" t="s">
        <v>79</v>
      </c>
      <c r="R298" s="91"/>
    </row>
    <row r="299" spans="1:24" ht="15" customHeight="1" x14ac:dyDescent="0.35">
      <c r="A299" s="31" t="s">
        <v>87</v>
      </c>
      <c r="B299" s="62" t="s">
        <v>143</v>
      </c>
      <c r="C299" s="40" t="s">
        <v>57</v>
      </c>
      <c r="D299" s="56" t="s">
        <v>171</v>
      </c>
      <c r="E299" s="40" t="s">
        <v>1104</v>
      </c>
      <c r="F299" s="37" t="s">
        <v>1105</v>
      </c>
      <c r="G299" s="41"/>
      <c r="H299" s="40" t="s">
        <v>1106</v>
      </c>
      <c r="I299" s="40"/>
      <c r="J299" s="40"/>
      <c r="K299" s="40" t="s">
        <v>254</v>
      </c>
      <c r="L299" s="42">
        <v>5</v>
      </c>
      <c r="M299" s="44">
        <v>999.9</v>
      </c>
      <c r="O299" s="40"/>
      <c r="P299" s="40"/>
      <c r="Q299" s="91" t="s">
        <v>190</v>
      </c>
      <c r="R299" s="91"/>
      <c r="W299" s="6"/>
      <c r="X299" s="6"/>
    </row>
    <row r="300" spans="1:24" ht="15" customHeight="1" x14ac:dyDescent="0.35">
      <c r="A300" s="31" t="s">
        <v>87</v>
      </c>
      <c r="B300" s="62" t="s">
        <v>143</v>
      </c>
      <c r="C300" s="48" t="s">
        <v>57</v>
      </c>
      <c r="D300" s="56" t="s">
        <v>231</v>
      </c>
      <c r="E300" s="48" t="s">
        <v>1107</v>
      </c>
      <c r="F300" s="34" t="s">
        <v>1108</v>
      </c>
      <c r="G300" s="49"/>
      <c r="H300" s="48" t="s">
        <v>1109</v>
      </c>
      <c r="I300" s="48"/>
      <c r="J300" s="48"/>
      <c r="K300" s="48" t="s">
        <v>93</v>
      </c>
      <c r="L300" s="50">
        <v>2</v>
      </c>
      <c r="M300" s="48" t="s">
        <v>115</v>
      </c>
      <c r="N300" s="43" t="s">
        <v>1107</v>
      </c>
      <c r="O300" s="48"/>
      <c r="P300" s="48"/>
      <c r="Q300" s="91" t="s">
        <v>161</v>
      </c>
      <c r="R300" s="91"/>
      <c r="S300" s="6"/>
      <c r="T300" s="121"/>
      <c r="U300" s="121"/>
      <c r="V300" s="121"/>
    </row>
    <row r="301" spans="1:24" ht="15" customHeight="1" x14ac:dyDescent="0.35">
      <c r="A301" s="31" t="s">
        <v>87</v>
      </c>
      <c r="B301" s="62" t="s">
        <v>143</v>
      </c>
      <c r="C301" s="40" t="s">
        <v>57</v>
      </c>
      <c r="D301" s="56" t="s">
        <v>238</v>
      </c>
      <c r="E301" s="40" t="s">
        <v>1110</v>
      </c>
      <c r="F301" s="37" t="s">
        <v>1111</v>
      </c>
      <c r="G301" s="41"/>
      <c r="H301" s="40" t="s">
        <v>1112</v>
      </c>
      <c r="I301" s="40"/>
      <c r="J301" s="40"/>
      <c r="K301" s="40" t="s">
        <v>93</v>
      </c>
      <c r="L301" s="42">
        <v>1</v>
      </c>
      <c r="M301" s="36" t="s">
        <v>109</v>
      </c>
      <c r="N301" s="43" t="s">
        <v>205</v>
      </c>
      <c r="O301" s="40"/>
      <c r="P301" s="40"/>
      <c r="Q301" s="91" t="s">
        <v>79</v>
      </c>
      <c r="R301" s="91"/>
    </row>
    <row r="302" spans="1:24" ht="15" customHeight="1" x14ac:dyDescent="0.35">
      <c r="A302" s="31" t="s">
        <v>87</v>
      </c>
      <c r="B302" s="62" t="s">
        <v>143</v>
      </c>
      <c r="C302" s="48" t="s">
        <v>57</v>
      </c>
      <c r="D302" s="56" t="s">
        <v>244</v>
      </c>
      <c r="E302" s="48" t="s">
        <v>1113</v>
      </c>
      <c r="F302" s="34" t="s">
        <v>1114</v>
      </c>
      <c r="G302" s="49"/>
      <c r="H302" s="48" t="s">
        <v>1115</v>
      </c>
      <c r="I302" s="48"/>
      <c r="J302" s="48"/>
      <c r="K302" s="48" t="s">
        <v>93</v>
      </c>
      <c r="L302" s="50">
        <v>1</v>
      </c>
      <c r="M302" s="31" t="s">
        <v>109</v>
      </c>
      <c r="N302" s="43" t="s">
        <v>205</v>
      </c>
      <c r="O302" s="48"/>
      <c r="P302" s="48"/>
      <c r="Q302" s="91" t="s">
        <v>79</v>
      </c>
      <c r="R302" s="91"/>
      <c r="S302" s="6"/>
      <c r="T302" s="121"/>
      <c r="U302" s="121"/>
      <c r="V302" s="121"/>
    </row>
    <row r="303" spans="1:24" ht="15" customHeight="1" thickBot="1" x14ac:dyDescent="0.4">
      <c r="A303" s="31" t="s">
        <v>87</v>
      </c>
      <c r="B303" s="62" t="s">
        <v>143</v>
      </c>
      <c r="C303" s="48" t="s">
        <v>57</v>
      </c>
      <c r="D303" s="56" t="s">
        <v>248</v>
      </c>
      <c r="E303" s="48" t="s">
        <v>572</v>
      </c>
      <c r="F303" s="34" t="s">
        <v>573</v>
      </c>
      <c r="G303" s="49"/>
      <c r="H303" s="48" t="s">
        <v>574</v>
      </c>
      <c r="I303" s="48"/>
      <c r="J303" s="48"/>
      <c r="K303" s="48" t="s">
        <v>134</v>
      </c>
      <c r="L303" s="50">
        <v>250</v>
      </c>
      <c r="M303" s="31"/>
      <c r="O303" s="48"/>
      <c r="P303" s="48"/>
      <c r="Q303" s="91" t="s">
        <v>190</v>
      </c>
      <c r="R303" s="91"/>
    </row>
    <row r="304" spans="1:24" s="6" customFormat="1" ht="15" customHeight="1" thickBot="1" x14ac:dyDescent="0.4">
      <c r="A304" s="28" t="s">
        <v>87</v>
      </c>
      <c r="B304" s="53" t="s">
        <v>147</v>
      </c>
      <c r="C304" s="28" t="s">
        <v>58</v>
      </c>
      <c r="D304" s="28" t="s">
        <v>88</v>
      </c>
      <c r="E304" s="28" t="s">
        <v>58</v>
      </c>
      <c r="F304" s="30" t="s">
        <v>1116</v>
      </c>
      <c r="G304" s="28" t="b">
        <v>0</v>
      </c>
      <c r="H304" s="28" t="s">
        <v>58</v>
      </c>
      <c r="I304" s="28"/>
      <c r="J304" s="28"/>
      <c r="K304" s="28"/>
      <c r="L304" s="28"/>
      <c r="M304" s="28"/>
      <c r="N304" s="28"/>
      <c r="O304" s="28"/>
      <c r="P304" s="28"/>
      <c r="Q304" s="89"/>
      <c r="R304" s="91"/>
      <c r="S304" s="5"/>
      <c r="T304" s="11"/>
      <c r="U304" s="11"/>
      <c r="V304" s="11"/>
      <c r="W304" s="5"/>
      <c r="X304" s="5"/>
    </row>
    <row r="305" spans="1:18" ht="15" customHeight="1" x14ac:dyDescent="0.35">
      <c r="A305" s="31" t="s">
        <v>87</v>
      </c>
      <c r="B305" s="62" t="s">
        <v>147</v>
      </c>
      <c r="C305" s="40" t="s">
        <v>58</v>
      </c>
      <c r="D305" s="56" t="s">
        <v>89</v>
      </c>
      <c r="E305" s="40" t="s">
        <v>1117</v>
      </c>
      <c r="F305" s="37" t="s">
        <v>1118</v>
      </c>
      <c r="G305" s="41"/>
      <c r="H305" s="40" t="s">
        <v>1119</v>
      </c>
      <c r="I305" s="40"/>
      <c r="J305" s="40"/>
      <c r="K305" s="40" t="s">
        <v>93</v>
      </c>
      <c r="L305" s="42">
        <v>3</v>
      </c>
      <c r="M305" s="41" t="s">
        <v>1120</v>
      </c>
      <c r="N305" s="43" t="s">
        <v>1082</v>
      </c>
      <c r="O305" s="40"/>
      <c r="P305" s="40"/>
      <c r="Q305" s="91" t="s">
        <v>79</v>
      </c>
      <c r="R305" s="91"/>
    </row>
    <row r="306" spans="1:18" ht="15" customHeight="1" x14ac:dyDescent="0.35">
      <c r="A306" s="39" t="s">
        <v>87</v>
      </c>
      <c r="B306" s="62" t="s">
        <v>147</v>
      </c>
      <c r="C306" s="40" t="s">
        <v>58</v>
      </c>
      <c r="D306" s="56" t="s">
        <v>99</v>
      </c>
      <c r="E306" s="40" t="s">
        <v>450</v>
      </c>
      <c r="F306" s="37" t="s">
        <v>91</v>
      </c>
      <c r="G306" s="41"/>
      <c r="H306" s="40" t="s">
        <v>1121</v>
      </c>
      <c r="I306" s="40"/>
      <c r="J306" s="40"/>
      <c r="K306" s="40" t="s">
        <v>93</v>
      </c>
      <c r="L306" s="42">
        <v>4</v>
      </c>
      <c r="M306" s="41" t="s">
        <v>1122</v>
      </c>
      <c r="N306" s="51" t="s">
        <v>95</v>
      </c>
      <c r="O306" s="40"/>
      <c r="P306" s="40"/>
      <c r="Q306" s="91" t="s">
        <v>79</v>
      </c>
      <c r="R306" s="91"/>
    </row>
    <row r="307" spans="1:18" ht="15" customHeight="1" x14ac:dyDescent="0.35">
      <c r="A307" s="31" t="s">
        <v>87</v>
      </c>
      <c r="B307" s="62" t="s">
        <v>147</v>
      </c>
      <c r="C307" s="40" t="s">
        <v>58</v>
      </c>
      <c r="D307" s="56" t="s">
        <v>105</v>
      </c>
      <c r="E307" s="40" t="s">
        <v>1123</v>
      </c>
      <c r="F307" s="37" t="s">
        <v>1124</v>
      </c>
      <c r="G307" s="41"/>
      <c r="H307" s="40" t="s">
        <v>1125</v>
      </c>
      <c r="I307" s="40"/>
      <c r="J307" s="40"/>
      <c r="K307" s="40" t="s">
        <v>93</v>
      </c>
      <c r="L307" s="42">
        <v>4</v>
      </c>
      <c r="M307" s="36" t="s">
        <v>434</v>
      </c>
      <c r="N307" s="43" t="s">
        <v>1126</v>
      </c>
      <c r="O307" s="40"/>
      <c r="P307" s="40"/>
      <c r="Q307" s="91" t="s">
        <v>79</v>
      </c>
      <c r="R307" s="91"/>
    </row>
    <row r="308" spans="1:18" ht="15" customHeight="1" x14ac:dyDescent="0.35">
      <c r="A308" s="31" t="s">
        <v>87</v>
      </c>
      <c r="B308" s="62" t="s">
        <v>147</v>
      </c>
      <c r="C308" s="40" t="s">
        <v>58</v>
      </c>
      <c r="D308" s="56" t="s">
        <v>111</v>
      </c>
      <c r="E308" s="40" t="s">
        <v>1127</v>
      </c>
      <c r="F308" s="37" t="s">
        <v>1128</v>
      </c>
      <c r="G308" s="41"/>
      <c r="H308" s="40" t="s">
        <v>1129</v>
      </c>
      <c r="I308" s="40"/>
      <c r="J308" s="40"/>
      <c r="K308" s="40" t="s">
        <v>134</v>
      </c>
      <c r="L308" s="42">
        <v>50</v>
      </c>
      <c r="M308" s="36"/>
      <c r="O308" s="40"/>
      <c r="P308" s="40"/>
      <c r="Q308" s="91" t="s">
        <v>161</v>
      </c>
      <c r="R308" s="91"/>
    </row>
    <row r="309" spans="1:18" ht="15" customHeight="1" x14ac:dyDescent="0.35">
      <c r="A309" s="31" t="s">
        <v>87</v>
      </c>
      <c r="B309" s="62" t="s">
        <v>147</v>
      </c>
      <c r="C309" s="40" t="s">
        <v>58</v>
      </c>
      <c r="D309" s="56" t="s">
        <v>117</v>
      </c>
      <c r="E309" s="40" t="s">
        <v>1130</v>
      </c>
      <c r="F309" s="37" t="s">
        <v>1131</v>
      </c>
      <c r="G309" s="41"/>
      <c r="H309" s="40" t="s">
        <v>1132</v>
      </c>
      <c r="I309" s="40"/>
      <c r="J309" s="40"/>
      <c r="K309" s="40" t="s">
        <v>93</v>
      </c>
      <c r="L309" s="42">
        <v>1</v>
      </c>
      <c r="M309" s="36" t="s">
        <v>109</v>
      </c>
      <c r="N309" s="43" t="s">
        <v>205</v>
      </c>
      <c r="O309" s="40"/>
      <c r="P309" s="40"/>
      <c r="Q309" s="91" t="s">
        <v>79</v>
      </c>
      <c r="R309" s="91"/>
    </row>
    <row r="310" spans="1:18" ht="15" customHeight="1" x14ac:dyDescent="0.35">
      <c r="A310" s="31" t="s">
        <v>87</v>
      </c>
      <c r="B310" s="62" t="s">
        <v>147</v>
      </c>
      <c r="C310" s="40" t="s">
        <v>58</v>
      </c>
      <c r="D310" s="56" t="s">
        <v>125</v>
      </c>
      <c r="E310" s="40" t="s">
        <v>1133</v>
      </c>
      <c r="F310" s="37" t="s">
        <v>613</v>
      </c>
      <c r="G310" s="41"/>
      <c r="H310" s="40" t="s">
        <v>614</v>
      </c>
      <c r="I310" s="40"/>
      <c r="J310" s="40"/>
      <c r="K310" s="40" t="s">
        <v>134</v>
      </c>
      <c r="L310" s="42">
        <v>9</v>
      </c>
      <c r="M310" s="41" t="s">
        <v>294</v>
      </c>
      <c r="N310" s="43" t="s">
        <v>294</v>
      </c>
      <c r="O310" s="40"/>
      <c r="P310" s="40"/>
      <c r="Q310" s="91" t="s">
        <v>79</v>
      </c>
      <c r="R310" s="91"/>
    </row>
    <row r="311" spans="1:18" ht="15" customHeight="1" x14ac:dyDescent="0.35">
      <c r="A311" s="31" t="s">
        <v>87</v>
      </c>
      <c r="B311" s="62" t="s">
        <v>147</v>
      </c>
      <c r="C311" s="40" t="s">
        <v>58</v>
      </c>
      <c r="D311" s="56" t="s">
        <v>130</v>
      </c>
      <c r="E311" s="40" t="s">
        <v>180</v>
      </c>
      <c r="F311" s="37" t="s">
        <v>181</v>
      </c>
      <c r="G311" s="41"/>
      <c r="H311" s="40" t="s">
        <v>1134</v>
      </c>
      <c r="I311" s="40"/>
      <c r="J311" s="40"/>
      <c r="K311" s="40" t="s">
        <v>134</v>
      </c>
      <c r="L311" s="42">
        <v>35</v>
      </c>
      <c r="M311" s="41"/>
      <c r="O311" s="40"/>
      <c r="P311" s="40"/>
      <c r="Q311" s="91" t="s">
        <v>79</v>
      </c>
      <c r="R311" s="91"/>
    </row>
    <row r="312" spans="1:18" ht="15" customHeight="1" x14ac:dyDescent="0.35">
      <c r="A312" s="31" t="s">
        <v>87</v>
      </c>
      <c r="B312" s="62" t="s">
        <v>147</v>
      </c>
      <c r="C312" s="40" t="s">
        <v>58</v>
      </c>
      <c r="D312" s="56" t="s">
        <v>137</v>
      </c>
      <c r="E312" s="40" t="s">
        <v>184</v>
      </c>
      <c r="F312" s="37" t="s">
        <v>185</v>
      </c>
      <c r="G312" s="41"/>
      <c r="H312" s="40" t="s">
        <v>1135</v>
      </c>
      <c r="I312" s="40"/>
      <c r="J312" s="40"/>
      <c r="K312" s="40" t="s">
        <v>134</v>
      </c>
      <c r="L312" s="42">
        <v>35</v>
      </c>
      <c r="M312" s="41"/>
      <c r="O312" s="40"/>
      <c r="P312" s="40"/>
      <c r="Q312" s="91" t="s">
        <v>79</v>
      </c>
      <c r="R312" s="91"/>
    </row>
    <row r="313" spans="1:18" ht="15" customHeight="1" x14ac:dyDescent="0.35">
      <c r="A313" s="31" t="s">
        <v>87</v>
      </c>
      <c r="B313" s="62" t="s">
        <v>147</v>
      </c>
      <c r="C313" s="40" t="s">
        <v>58</v>
      </c>
      <c r="D313" s="56" t="s">
        <v>143</v>
      </c>
      <c r="E313" s="40" t="s">
        <v>1136</v>
      </c>
      <c r="F313" s="37" t="s">
        <v>1137</v>
      </c>
      <c r="G313" s="41"/>
      <c r="H313" s="40" t="s">
        <v>1138</v>
      </c>
      <c r="I313" s="40"/>
      <c r="J313" s="40"/>
      <c r="K313" s="40" t="s">
        <v>134</v>
      </c>
      <c r="L313" s="42">
        <v>50</v>
      </c>
      <c r="M313" s="41"/>
      <c r="O313" s="40"/>
      <c r="P313" s="40"/>
      <c r="Q313" s="91" t="s">
        <v>79</v>
      </c>
      <c r="R313" s="91"/>
    </row>
    <row r="314" spans="1:18" ht="15" customHeight="1" x14ac:dyDescent="0.35">
      <c r="A314" s="31" t="s">
        <v>87</v>
      </c>
      <c r="B314" s="62" t="s">
        <v>147</v>
      </c>
      <c r="C314" s="40" t="s">
        <v>58</v>
      </c>
      <c r="D314" s="56" t="s">
        <v>147</v>
      </c>
      <c r="E314" s="40" t="s">
        <v>1139</v>
      </c>
      <c r="F314" s="37" t="s">
        <v>1140</v>
      </c>
      <c r="G314" s="41"/>
      <c r="H314" s="40" t="s">
        <v>1141</v>
      </c>
      <c r="I314" s="40"/>
      <c r="J314" s="40"/>
      <c r="K314" s="40" t="s">
        <v>134</v>
      </c>
      <c r="L314" s="42">
        <v>50</v>
      </c>
      <c r="M314" s="41"/>
      <c r="N314" s="43" t="s">
        <v>294</v>
      </c>
      <c r="O314" s="40"/>
      <c r="P314" s="40"/>
      <c r="Q314" s="91" t="s">
        <v>79</v>
      </c>
      <c r="R314" s="91"/>
    </row>
    <row r="315" spans="1:18" ht="15" customHeight="1" x14ac:dyDescent="0.35">
      <c r="A315" s="39" t="s">
        <v>87</v>
      </c>
      <c r="B315" s="62" t="s">
        <v>147</v>
      </c>
      <c r="C315" s="40" t="s">
        <v>58</v>
      </c>
      <c r="D315" s="56" t="s">
        <v>153</v>
      </c>
      <c r="E315" s="40" t="s">
        <v>1142</v>
      </c>
      <c r="F315" s="37" t="s">
        <v>1143</v>
      </c>
      <c r="G315" s="41"/>
      <c r="H315" s="40" t="s">
        <v>1144</v>
      </c>
      <c r="I315" s="40"/>
      <c r="J315" s="40"/>
      <c r="K315" s="40" t="s">
        <v>93</v>
      </c>
      <c r="L315" s="42">
        <v>4</v>
      </c>
      <c r="M315" s="41" t="s">
        <v>1122</v>
      </c>
      <c r="N315" s="51" t="s">
        <v>95</v>
      </c>
      <c r="O315" s="40"/>
      <c r="P315" s="40"/>
      <c r="Q315" s="91" t="s">
        <v>190</v>
      </c>
      <c r="R315" s="91"/>
    </row>
    <row r="316" spans="1:18" ht="15" customHeight="1" x14ac:dyDescent="0.35">
      <c r="A316" s="31" t="s">
        <v>87</v>
      </c>
      <c r="B316" s="62" t="s">
        <v>147</v>
      </c>
      <c r="C316" s="40" t="s">
        <v>58</v>
      </c>
      <c r="D316" s="56" t="s">
        <v>157</v>
      </c>
      <c r="E316" s="40" t="s">
        <v>1145</v>
      </c>
      <c r="F316" s="37" t="s">
        <v>1146</v>
      </c>
      <c r="G316" s="41"/>
      <c r="H316" s="40" t="s">
        <v>1147</v>
      </c>
      <c r="I316" s="40"/>
      <c r="J316" s="40"/>
      <c r="K316" s="40" t="s">
        <v>254</v>
      </c>
      <c r="L316" s="42">
        <v>10</v>
      </c>
      <c r="M316" s="41" t="s">
        <v>1148</v>
      </c>
      <c r="O316" s="40"/>
      <c r="P316" s="40"/>
      <c r="Q316" s="91" t="s">
        <v>190</v>
      </c>
      <c r="R316" s="91"/>
    </row>
    <row r="317" spans="1:18" ht="15" customHeight="1" x14ac:dyDescent="0.35">
      <c r="A317" s="31" t="s">
        <v>87</v>
      </c>
      <c r="B317" s="62" t="s">
        <v>147</v>
      </c>
      <c r="C317" s="40" t="s">
        <v>58</v>
      </c>
      <c r="D317" s="56" t="s">
        <v>163</v>
      </c>
      <c r="E317" s="40" t="s">
        <v>1149</v>
      </c>
      <c r="F317" s="37" t="s">
        <v>1150</v>
      </c>
      <c r="G317" s="41"/>
      <c r="H317" s="40" t="s">
        <v>1151</v>
      </c>
      <c r="I317" s="40"/>
      <c r="J317" s="40"/>
      <c r="K317" s="40" t="s">
        <v>254</v>
      </c>
      <c r="L317" s="42">
        <v>5</v>
      </c>
      <c r="M317" s="41" t="s">
        <v>1152</v>
      </c>
      <c r="O317" s="40"/>
      <c r="P317" s="40"/>
      <c r="Q317" s="91" t="s">
        <v>190</v>
      </c>
      <c r="R317" s="91"/>
    </row>
    <row r="318" spans="1:18" ht="15" customHeight="1" x14ac:dyDescent="0.35">
      <c r="A318" s="31" t="s">
        <v>87</v>
      </c>
      <c r="B318" s="62" t="s">
        <v>147</v>
      </c>
      <c r="C318" s="40" t="s">
        <v>58</v>
      </c>
      <c r="D318" s="56" t="s">
        <v>167</v>
      </c>
      <c r="E318" s="40" t="s">
        <v>1153</v>
      </c>
      <c r="F318" s="37" t="s">
        <v>1154</v>
      </c>
      <c r="G318" s="41"/>
      <c r="H318" s="40" t="s">
        <v>1155</v>
      </c>
      <c r="I318" s="40"/>
      <c r="J318" s="40"/>
      <c r="K318" s="40" t="s">
        <v>93</v>
      </c>
      <c r="L318" s="42">
        <v>1</v>
      </c>
      <c r="M318" s="41" t="s">
        <v>109</v>
      </c>
      <c r="N318" s="43" t="s">
        <v>1156</v>
      </c>
      <c r="O318" s="40"/>
      <c r="P318" s="40"/>
      <c r="Q318" s="91" t="s">
        <v>161</v>
      </c>
      <c r="R318" s="91"/>
    </row>
    <row r="319" spans="1:18" ht="15" customHeight="1" x14ac:dyDescent="0.35">
      <c r="A319" s="31" t="s">
        <v>87</v>
      </c>
      <c r="B319" s="62" t="s">
        <v>147</v>
      </c>
      <c r="C319" s="40" t="s">
        <v>58</v>
      </c>
      <c r="D319" s="56" t="s">
        <v>171</v>
      </c>
      <c r="E319" s="40" t="s">
        <v>1157</v>
      </c>
      <c r="F319" s="37" t="s">
        <v>1158</v>
      </c>
      <c r="G319" s="41"/>
      <c r="H319" s="40" t="s">
        <v>1159</v>
      </c>
      <c r="I319" s="40"/>
      <c r="J319" s="40"/>
      <c r="K319" s="40" t="s">
        <v>254</v>
      </c>
      <c r="L319" s="42">
        <v>10</v>
      </c>
      <c r="M319" s="41" t="s">
        <v>1148</v>
      </c>
      <c r="O319" s="40"/>
      <c r="P319" s="40"/>
      <c r="Q319" s="91" t="s">
        <v>190</v>
      </c>
      <c r="R319" s="91"/>
    </row>
    <row r="320" spans="1:18" ht="15" customHeight="1" x14ac:dyDescent="0.35">
      <c r="A320" s="31" t="s">
        <v>87</v>
      </c>
      <c r="B320" s="62" t="s">
        <v>147</v>
      </c>
      <c r="C320" s="40" t="s">
        <v>58</v>
      </c>
      <c r="D320" s="56" t="s">
        <v>231</v>
      </c>
      <c r="E320" s="40" t="s">
        <v>1160</v>
      </c>
      <c r="F320" s="37" t="s">
        <v>1161</v>
      </c>
      <c r="G320" s="41"/>
      <c r="H320" s="40" t="s">
        <v>1162</v>
      </c>
      <c r="I320" s="40"/>
      <c r="J320" s="40"/>
      <c r="K320" s="40" t="s">
        <v>254</v>
      </c>
      <c r="L320" s="42">
        <v>5</v>
      </c>
      <c r="M320" s="41" t="s">
        <v>1152</v>
      </c>
      <c r="O320" s="40"/>
      <c r="P320" s="40"/>
      <c r="Q320" s="91" t="s">
        <v>190</v>
      </c>
      <c r="R320" s="91"/>
    </row>
    <row r="321" spans="1:24" ht="15" customHeight="1" x14ac:dyDescent="0.35">
      <c r="A321" s="31" t="s">
        <v>87</v>
      </c>
      <c r="B321" s="62" t="s">
        <v>147</v>
      </c>
      <c r="C321" s="40" t="s">
        <v>58</v>
      </c>
      <c r="D321" s="56" t="s">
        <v>238</v>
      </c>
      <c r="E321" s="40" t="s">
        <v>1163</v>
      </c>
      <c r="F321" s="37" t="s">
        <v>1164</v>
      </c>
      <c r="G321" s="41"/>
      <c r="H321" s="40" t="s">
        <v>1165</v>
      </c>
      <c r="I321" s="40"/>
      <c r="J321" s="40"/>
      <c r="K321" s="40" t="s">
        <v>93</v>
      </c>
      <c r="L321" s="42">
        <v>1</v>
      </c>
      <c r="M321" s="41" t="s">
        <v>109</v>
      </c>
      <c r="N321" s="43" t="s">
        <v>1156</v>
      </c>
      <c r="O321" s="40"/>
      <c r="P321" s="40"/>
      <c r="Q321" s="91" t="s">
        <v>161</v>
      </c>
      <c r="R321" s="91"/>
    </row>
    <row r="322" spans="1:24" ht="15" customHeight="1" x14ac:dyDescent="0.35">
      <c r="A322" s="31" t="s">
        <v>87</v>
      </c>
      <c r="B322" s="62" t="s">
        <v>147</v>
      </c>
      <c r="C322" s="40" t="s">
        <v>58</v>
      </c>
      <c r="D322" s="56" t="s">
        <v>244</v>
      </c>
      <c r="E322" s="40" t="s">
        <v>1166</v>
      </c>
      <c r="F322" s="37" t="s">
        <v>1167</v>
      </c>
      <c r="G322" s="41"/>
      <c r="H322" s="40" t="s">
        <v>1168</v>
      </c>
      <c r="I322" s="40"/>
      <c r="J322" s="40"/>
      <c r="K322" s="40" t="s">
        <v>134</v>
      </c>
      <c r="L322" s="42">
        <v>35</v>
      </c>
      <c r="M322" s="41" t="s">
        <v>294</v>
      </c>
      <c r="O322" s="40"/>
      <c r="P322" s="40"/>
      <c r="Q322" s="91" t="s">
        <v>190</v>
      </c>
      <c r="R322" s="91"/>
    </row>
    <row r="323" spans="1:24" ht="15" customHeight="1" x14ac:dyDescent="0.35">
      <c r="A323" s="31" t="s">
        <v>87</v>
      </c>
      <c r="B323" s="62" t="s">
        <v>147</v>
      </c>
      <c r="C323" s="40" t="s">
        <v>58</v>
      </c>
      <c r="D323" s="56" t="s">
        <v>248</v>
      </c>
      <c r="E323" s="40" t="s">
        <v>1169</v>
      </c>
      <c r="F323" s="37" t="s">
        <v>1170</v>
      </c>
      <c r="G323" s="41"/>
      <c r="H323" s="40" t="s">
        <v>1168</v>
      </c>
      <c r="I323" s="40"/>
      <c r="J323" s="40"/>
      <c r="K323" s="40" t="s">
        <v>134</v>
      </c>
      <c r="L323" s="42">
        <v>35</v>
      </c>
      <c r="M323" s="41" t="s">
        <v>294</v>
      </c>
      <c r="O323" s="40"/>
      <c r="P323" s="40"/>
      <c r="Q323" s="91" t="s">
        <v>190</v>
      </c>
      <c r="R323" s="91"/>
    </row>
    <row r="324" spans="1:24" ht="15" customHeight="1" x14ac:dyDescent="0.35">
      <c r="A324" s="31" t="s">
        <v>87</v>
      </c>
      <c r="B324" s="62" t="s">
        <v>147</v>
      </c>
      <c r="C324" s="40" t="s">
        <v>58</v>
      </c>
      <c r="D324" s="56" t="s">
        <v>259</v>
      </c>
      <c r="E324" s="40" t="s">
        <v>1171</v>
      </c>
      <c r="F324" s="37" t="s">
        <v>1172</v>
      </c>
      <c r="G324" s="41"/>
      <c r="H324" s="40" t="s">
        <v>1173</v>
      </c>
      <c r="I324" s="40"/>
      <c r="J324" s="40"/>
      <c r="K324" s="40" t="s">
        <v>134</v>
      </c>
      <c r="L324" s="42">
        <v>20</v>
      </c>
      <c r="M324" s="41" t="s">
        <v>294</v>
      </c>
      <c r="O324" s="40"/>
      <c r="P324" s="40"/>
      <c r="Q324" s="91" t="s">
        <v>190</v>
      </c>
      <c r="R324" s="91"/>
    </row>
    <row r="325" spans="1:24" ht="15" customHeight="1" x14ac:dyDescent="0.35">
      <c r="A325" s="31" t="s">
        <v>87</v>
      </c>
      <c r="B325" s="62" t="s">
        <v>147</v>
      </c>
      <c r="C325" s="40" t="s">
        <v>58</v>
      </c>
      <c r="D325" s="56" t="s">
        <v>265</v>
      </c>
      <c r="E325" s="40" t="s">
        <v>1174</v>
      </c>
      <c r="F325" s="37" t="s">
        <v>1175</v>
      </c>
      <c r="G325" s="41"/>
      <c r="H325" s="40" t="s">
        <v>1176</v>
      </c>
      <c r="I325" s="40"/>
      <c r="J325" s="40"/>
      <c r="K325" s="40" t="s">
        <v>134</v>
      </c>
      <c r="L325" s="42">
        <v>2</v>
      </c>
      <c r="M325" s="41" t="s">
        <v>115</v>
      </c>
      <c r="O325" s="40"/>
      <c r="P325" s="40"/>
      <c r="Q325" s="91" t="s">
        <v>190</v>
      </c>
      <c r="R325" s="91"/>
    </row>
    <row r="326" spans="1:24" ht="15" customHeight="1" thickBot="1" x14ac:dyDescent="0.4">
      <c r="A326" s="31" t="s">
        <v>87</v>
      </c>
      <c r="B326" s="62" t="s">
        <v>147</v>
      </c>
      <c r="C326" s="92" t="s">
        <v>58</v>
      </c>
      <c r="D326" s="56" t="s">
        <v>269</v>
      </c>
      <c r="E326" s="92" t="s">
        <v>1177</v>
      </c>
      <c r="F326" s="93" t="s">
        <v>1178</v>
      </c>
      <c r="G326" s="94"/>
      <c r="H326" s="92" t="s">
        <v>1179</v>
      </c>
      <c r="I326" s="92"/>
      <c r="J326" s="92"/>
      <c r="K326" s="92" t="s">
        <v>235</v>
      </c>
      <c r="L326" s="95">
        <v>9</v>
      </c>
      <c r="M326" s="94" t="s">
        <v>236</v>
      </c>
      <c r="O326" s="92"/>
      <c r="P326" s="92"/>
      <c r="Q326" s="96" t="s">
        <v>190</v>
      </c>
      <c r="R326" s="91"/>
    </row>
    <row r="327" spans="1:24" s="6" customFormat="1" ht="15" customHeight="1" thickBot="1" x14ac:dyDescent="0.4">
      <c r="A327" s="28" t="s">
        <v>87</v>
      </c>
      <c r="B327" s="53" t="s">
        <v>153</v>
      </c>
      <c r="C327" s="28" t="s">
        <v>59</v>
      </c>
      <c r="D327" s="28" t="s">
        <v>88</v>
      </c>
      <c r="E327" s="28" t="s">
        <v>59</v>
      </c>
      <c r="F327" s="30" t="s">
        <v>1180</v>
      </c>
      <c r="G327" s="28" t="b">
        <v>0</v>
      </c>
      <c r="H327" s="28" t="s">
        <v>59</v>
      </c>
      <c r="I327" s="28"/>
      <c r="J327" s="28"/>
      <c r="K327" s="28"/>
      <c r="L327" s="28"/>
      <c r="M327" s="28"/>
      <c r="N327" s="28"/>
      <c r="O327" s="28"/>
      <c r="P327" s="28"/>
      <c r="Q327" s="89"/>
      <c r="R327" s="91"/>
      <c r="S327" s="5"/>
      <c r="T327" s="11"/>
      <c r="U327" s="11"/>
      <c r="V327" s="11"/>
      <c r="W327" s="5"/>
      <c r="X327" s="5"/>
    </row>
    <row r="328" spans="1:24" ht="15" customHeight="1" x14ac:dyDescent="0.35">
      <c r="A328" s="165" t="s">
        <v>87</v>
      </c>
      <c r="B328" s="166" t="s">
        <v>153</v>
      </c>
      <c r="C328" s="167" t="s">
        <v>59</v>
      </c>
      <c r="D328" s="168" t="s">
        <v>89</v>
      </c>
      <c r="E328" s="169" t="s">
        <v>1181</v>
      </c>
      <c r="F328" s="170" t="s">
        <v>1182</v>
      </c>
      <c r="G328" s="171"/>
      <c r="H328" s="172" t="s">
        <v>1183</v>
      </c>
      <c r="I328" s="167"/>
      <c r="J328" s="167"/>
      <c r="K328" s="173" t="s">
        <v>1184</v>
      </c>
      <c r="L328" s="174">
        <v>3</v>
      </c>
      <c r="M328" s="175" t="s">
        <v>1185</v>
      </c>
      <c r="N328" s="254" t="s">
        <v>1181</v>
      </c>
      <c r="O328" s="167"/>
      <c r="P328" s="167"/>
      <c r="Q328" s="176" t="s">
        <v>79</v>
      </c>
      <c r="R328" s="91"/>
    </row>
    <row r="329" spans="1:24" ht="15" customHeight="1" x14ac:dyDescent="0.35">
      <c r="A329" s="31" t="s">
        <v>87</v>
      </c>
      <c r="B329" s="54" t="s">
        <v>153</v>
      </c>
      <c r="C329" s="48" t="s">
        <v>59</v>
      </c>
      <c r="D329" s="55" t="s">
        <v>99</v>
      </c>
      <c r="E329" s="149" t="s">
        <v>1186</v>
      </c>
      <c r="F329" s="119" t="s">
        <v>1118</v>
      </c>
      <c r="G329" s="49"/>
      <c r="H329" s="147" t="s">
        <v>1187</v>
      </c>
      <c r="I329" s="48"/>
      <c r="J329" s="48"/>
      <c r="K329" s="177" t="s">
        <v>1188</v>
      </c>
      <c r="L329" s="178">
        <v>3</v>
      </c>
      <c r="M329" s="179">
        <v>999</v>
      </c>
      <c r="N329" s="183"/>
      <c r="O329" s="48"/>
      <c r="P329" s="48"/>
      <c r="Q329" s="180" t="s">
        <v>79</v>
      </c>
      <c r="R329" s="91"/>
    </row>
    <row r="330" spans="1:24" ht="15" customHeight="1" x14ac:dyDescent="0.35">
      <c r="A330" s="31" t="s">
        <v>87</v>
      </c>
      <c r="B330" s="54" t="s">
        <v>153</v>
      </c>
      <c r="C330" s="48" t="s">
        <v>59</v>
      </c>
      <c r="D330" s="55" t="s">
        <v>105</v>
      </c>
      <c r="E330" s="149" t="s">
        <v>90</v>
      </c>
      <c r="F330" s="119" t="s">
        <v>91</v>
      </c>
      <c r="G330" s="49"/>
      <c r="H330" s="147" t="s">
        <v>92</v>
      </c>
      <c r="I330" s="48"/>
      <c r="J330" s="48"/>
      <c r="K330" s="177" t="s">
        <v>1188</v>
      </c>
      <c r="L330" s="178">
        <v>4</v>
      </c>
      <c r="M330" s="179">
        <v>9999</v>
      </c>
      <c r="N330" s="183"/>
      <c r="O330" s="48"/>
      <c r="P330" s="48"/>
      <c r="Q330" s="181" t="s">
        <v>161</v>
      </c>
      <c r="R330" s="91" t="s">
        <v>1189</v>
      </c>
    </row>
    <row r="331" spans="1:24" ht="15" customHeight="1" x14ac:dyDescent="0.35">
      <c r="A331" s="31" t="s">
        <v>87</v>
      </c>
      <c r="B331" s="54" t="s">
        <v>153</v>
      </c>
      <c r="C331" s="48" t="s">
        <v>59</v>
      </c>
      <c r="D331" s="55" t="s">
        <v>111</v>
      </c>
      <c r="E331" s="149" t="s">
        <v>1190</v>
      </c>
      <c r="F331" s="119" t="s">
        <v>1191</v>
      </c>
      <c r="G331" s="49"/>
      <c r="H331" s="182" t="s">
        <v>1192</v>
      </c>
      <c r="I331" s="48"/>
      <c r="J331" s="48"/>
      <c r="K331" s="177" t="s">
        <v>1188</v>
      </c>
      <c r="L331" s="178">
        <v>3</v>
      </c>
      <c r="M331" s="179">
        <v>999</v>
      </c>
      <c r="N331" s="183"/>
      <c r="O331" s="48"/>
      <c r="P331" s="48"/>
      <c r="Q331" s="180" t="s">
        <v>190</v>
      </c>
      <c r="R331" s="91" t="s">
        <v>1193</v>
      </c>
    </row>
    <row r="332" spans="1:24" ht="15" customHeight="1" x14ac:dyDescent="0.35">
      <c r="A332" s="39" t="s">
        <v>87</v>
      </c>
      <c r="B332" s="54" t="s">
        <v>153</v>
      </c>
      <c r="C332" s="48" t="s">
        <v>59</v>
      </c>
      <c r="D332" s="55" t="s">
        <v>117</v>
      </c>
      <c r="E332" s="149" t="s">
        <v>1194</v>
      </c>
      <c r="F332" s="119" t="s">
        <v>1195</v>
      </c>
      <c r="G332" s="49"/>
      <c r="H332" s="182" t="s">
        <v>1196</v>
      </c>
      <c r="I332" s="48"/>
      <c r="J332" s="48"/>
      <c r="K332" s="177" t="s">
        <v>1188</v>
      </c>
      <c r="L332" s="178">
        <v>3</v>
      </c>
      <c r="M332" s="179">
        <v>999</v>
      </c>
      <c r="N332" s="334" t="s">
        <v>1197</v>
      </c>
      <c r="O332" s="48"/>
      <c r="P332" s="48"/>
      <c r="Q332" s="180" t="s">
        <v>79</v>
      </c>
      <c r="R332" s="91"/>
    </row>
    <row r="333" spans="1:24" ht="15" customHeight="1" x14ac:dyDescent="0.35">
      <c r="A333" s="31" t="s">
        <v>87</v>
      </c>
      <c r="B333" s="54" t="s">
        <v>153</v>
      </c>
      <c r="C333" s="48" t="s">
        <v>59</v>
      </c>
      <c r="D333" s="55" t="s">
        <v>125</v>
      </c>
      <c r="E333" s="149" t="s">
        <v>1198</v>
      </c>
      <c r="F333" s="119" t="s">
        <v>1199</v>
      </c>
      <c r="G333" s="49"/>
      <c r="H333" s="182" t="s">
        <v>1200</v>
      </c>
      <c r="I333" s="48"/>
      <c r="J333" s="48"/>
      <c r="K333" s="177" t="s">
        <v>1188</v>
      </c>
      <c r="L333" s="178">
        <v>6</v>
      </c>
      <c r="M333" s="179">
        <v>999999</v>
      </c>
      <c r="N333" s="256" t="s">
        <v>1198</v>
      </c>
      <c r="O333" s="48"/>
      <c r="P333" s="48"/>
      <c r="Q333" s="180" t="s">
        <v>161</v>
      </c>
      <c r="R333" s="91" t="s">
        <v>1201</v>
      </c>
    </row>
    <row r="334" spans="1:24" ht="15" customHeight="1" x14ac:dyDescent="0.35">
      <c r="A334" s="39" t="s">
        <v>87</v>
      </c>
      <c r="B334" s="54" t="s">
        <v>153</v>
      </c>
      <c r="C334" s="48" t="s">
        <v>59</v>
      </c>
      <c r="D334" s="55" t="s">
        <v>130</v>
      </c>
      <c r="E334" s="149" t="s">
        <v>1202</v>
      </c>
      <c r="F334" s="119" t="s">
        <v>1203</v>
      </c>
      <c r="G334" s="49"/>
      <c r="H334" s="182" t="s">
        <v>1204</v>
      </c>
      <c r="I334" s="48"/>
      <c r="J334" s="48"/>
      <c r="K334" s="177" t="s">
        <v>1188</v>
      </c>
      <c r="L334" s="178">
        <v>3</v>
      </c>
      <c r="M334" s="179">
        <v>999</v>
      </c>
      <c r="N334" s="334" t="s">
        <v>1202</v>
      </c>
      <c r="O334" s="48"/>
      <c r="P334" s="48"/>
      <c r="Q334" s="180" t="s">
        <v>161</v>
      </c>
      <c r="R334" s="91" t="s">
        <v>1205</v>
      </c>
    </row>
    <row r="335" spans="1:24" ht="15" customHeight="1" x14ac:dyDescent="0.35">
      <c r="A335" s="31" t="s">
        <v>87</v>
      </c>
      <c r="B335" s="54" t="s">
        <v>153</v>
      </c>
      <c r="C335" s="48" t="s">
        <v>59</v>
      </c>
      <c r="D335" s="55" t="s">
        <v>137</v>
      </c>
      <c r="E335" s="149" t="s">
        <v>1206</v>
      </c>
      <c r="F335" s="119" t="s">
        <v>1207</v>
      </c>
      <c r="G335" s="49"/>
      <c r="H335" s="182" t="s">
        <v>1208</v>
      </c>
      <c r="I335" s="48"/>
      <c r="J335" s="48"/>
      <c r="K335" s="177" t="s">
        <v>1188</v>
      </c>
      <c r="L335" s="178">
        <v>3</v>
      </c>
      <c r="M335" s="179">
        <v>999</v>
      </c>
      <c r="N335" s="255" t="s">
        <v>1206</v>
      </c>
      <c r="O335" s="48"/>
      <c r="P335" s="48"/>
      <c r="Q335" s="180" t="s">
        <v>161</v>
      </c>
      <c r="R335" s="91"/>
    </row>
    <row r="336" spans="1:24" ht="15" customHeight="1" x14ac:dyDescent="0.35">
      <c r="A336" s="31" t="s">
        <v>87</v>
      </c>
      <c r="B336" s="54" t="s">
        <v>153</v>
      </c>
      <c r="C336" s="48" t="s">
        <v>59</v>
      </c>
      <c r="D336" s="55" t="s">
        <v>143</v>
      </c>
      <c r="E336" s="149" t="s">
        <v>1209</v>
      </c>
      <c r="F336" s="119" t="s">
        <v>1210</v>
      </c>
      <c r="G336" s="49"/>
      <c r="H336" s="184" t="s">
        <v>1211</v>
      </c>
      <c r="I336" s="48"/>
      <c r="J336" s="48"/>
      <c r="K336" s="177" t="s">
        <v>1188</v>
      </c>
      <c r="L336" s="178">
        <v>4</v>
      </c>
      <c r="M336" s="179">
        <v>9999</v>
      </c>
      <c r="N336" s="183"/>
      <c r="O336" s="48"/>
      <c r="P336" s="48"/>
      <c r="Q336" s="180" t="s">
        <v>79</v>
      </c>
      <c r="R336" s="91"/>
    </row>
    <row r="337" spans="1:18" ht="15" customHeight="1" x14ac:dyDescent="0.35">
      <c r="A337" s="185" t="s">
        <v>87</v>
      </c>
      <c r="B337" s="186" t="s">
        <v>153</v>
      </c>
      <c r="C337" s="92" t="s">
        <v>59</v>
      </c>
      <c r="D337" s="187" t="s">
        <v>147</v>
      </c>
      <c r="E337" s="188" t="s">
        <v>1212</v>
      </c>
      <c r="F337" s="189" t="s">
        <v>1213</v>
      </c>
      <c r="G337" s="94"/>
      <c r="H337" s="190" t="s">
        <v>1214</v>
      </c>
      <c r="I337" s="92"/>
      <c r="J337" s="92"/>
      <c r="K337" s="191" t="s">
        <v>1188</v>
      </c>
      <c r="L337" s="192">
        <v>9</v>
      </c>
      <c r="M337" s="193">
        <v>999999999</v>
      </c>
      <c r="N337" s="194"/>
      <c r="O337" s="92"/>
      <c r="P337" s="92"/>
      <c r="Q337" s="195" t="s">
        <v>79</v>
      </c>
      <c r="R337" s="91"/>
    </row>
  </sheetData>
  <autoFilter ref="A1:R337" xr:uid="{00000000-0009-0000-0000-000002000000}"/>
  <phoneticPr fontId="0" type="noConversion"/>
  <hyperlinks>
    <hyperlink ref="N52" location="Border_Student" display="Border Student" xr:uid="{00000000-0004-0000-0200-000000000000}"/>
    <hyperlink ref="N38" location="Lunch_Status" display="Lunch Status" xr:uid="{00000000-0004-0000-0200-000001000000}"/>
    <hyperlink ref="N26" location="Yes_No" display="Yes/No" xr:uid="{00000000-0004-0000-0200-000002000000}"/>
    <hyperlink ref="N25" location="Gender" display="Gender" xr:uid="{00000000-0004-0000-0200-000003000000}"/>
    <hyperlink ref="N156" location="Languages" display="Languages" xr:uid="{00000000-0004-0000-0200-000004000000}"/>
    <hyperlink ref="N45" location="Yes_No_NA" display="Yes/No/NA" xr:uid="{00000000-0004-0000-0200-000005000000}"/>
    <hyperlink ref="N121" location="Special_Ed_Eligibility" display="Special Ed Eligiblity (Yes/No/Undetermined)" xr:uid="{00000000-0004-0000-0200-000006000000}"/>
    <hyperlink ref="N36" location="Grade_Level" display="Grade Level" xr:uid="{00000000-0004-0000-0200-000007000000}"/>
    <hyperlink ref="N149" location="Gender" display="Gender" xr:uid="{00000000-0004-0000-0200-000008000000}"/>
    <hyperlink ref="N307" location="Program_Contact_Role" display="Program Contact Role" xr:uid="{00000000-0004-0000-0200-000009000000}"/>
    <hyperlink ref="N27" location="Yes_No" display="Yes/No" xr:uid="{00000000-0004-0000-0200-00000A000000}"/>
    <hyperlink ref="N28" location="Yes_No" display="Yes/No" xr:uid="{00000000-0004-0000-0200-00000B000000}"/>
    <hyperlink ref="N29" location="Yes_No" display="Yes/No" xr:uid="{00000000-0004-0000-0200-00000C000000}"/>
    <hyperlink ref="N30" location="Yes_No" display="Yes/No" xr:uid="{00000000-0004-0000-0200-00000D000000}"/>
    <hyperlink ref="N31" location="Yes_No" display="Yes/No" xr:uid="{00000000-0004-0000-0200-00000E000000}"/>
    <hyperlink ref="N39" location="Yes_No" display="Yes/No" xr:uid="{00000000-0004-0000-0200-000010000000}"/>
    <hyperlink ref="N40" location="Yes_No" display="Yes/No" xr:uid="{00000000-0004-0000-0200-000011000000}"/>
    <hyperlink ref="N43" location="Yes_No" display="Yes/No" xr:uid="{00000000-0004-0000-0200-000012000000}"/>
    <hyperlink ref="N46" location="Yes_No" display="Yes/No" xr:uid="{00000000-0004-0000-0200-000013000000}"/>
    <hyperlink ref="N48" location="Yes_No" display="Yes/No" xr:uid="{00000000-0004-0000-0200-000014000000}"/>
    <hyperlink ref="N49" location="Yes_No" display="Yes/No" xr:uid="{00000000-0004-0000-0200-000015000000}"/>
    <hyperlink ref="N54" location="Yes_No" display="Yes/No" xr:uid="{00000000-0004-0000-0200-000016000000}"/>
    <hyperlink ref="N109" location="Yes_No" display="Yes/No" xr:uid="{00000000-0004-0000-0200-000017000000}"/>
    <hyperlink ref="N117" location="Yes_No" display="Yes/No" xr:uid="{00000000-0004-0000-0200-000018000000}"/>
    <hyperlink ref="N131" location="Yes_No" display="Yes/No" xr:uid="{00000000-0004-0000-0200-000019000000}"/>
    <hyperlink ref="N132" location="Yes_No" display="Yes/No" xr:uid="{00000000-0004-0000-0200-00001A000000}"/>
    <hyperlink ref="N133" location="Yes_No" display="Yes/No" xr:uid="{00000000-0004-0000-0200-00001B000000}"/>
    <hyperlink ref="N134" location="Yes_No" display="Yes/No" xr:uid="{00000000-0004-0000-0200-00001C000000}"/>
    <hyperlink ref="N135" location="Yes_No" display="Yes/No" xr:uid="{00000000-0004-0000-0200-00001D000000}"/>
    <hyperlink ref="N150" location="Yes_No" display="Yes/No" xr:uid="{00000000-0004-0000-0200-00001E000000}"/>
    <hyperlink ref="N151" location="Yes_No" display="Yes/No" xr:uid="{00000000-0004-0000-0200-00001F000000}"/>
    <hyperlink ref="N152" location="Yes_No" display="Yes/No" xr:uid="{00000000-0004-0000-0200-000020000000}"/>
    <hyperlink ref="N153" location="Yes_No" display="Yes/No" xr:uid="{00000000-0004-0000-0200-000021000000}"/>
    <hyperlink ref="N154" location="Yes_No" display="Yes/No" xr:uid="{00000000-0004-0000-0200-000022000000}"/>
    <hyperlink ref="N155" location="Yes_No" display="Yes/No" xr:uid="{00000000-0004-0000-0200-000023000000}"/>
    <hyperlink ref="N157" location="Yes_No" display="Yes/No" xr:uid="{00000000-0004-0000-0200-000024000000}"/>
    <hyperlink ref="N158" location="Parapro_Type" display="Parapro Type" xr:uid="{00000000-0004-0000-0200-000025000000}"/>
    <hyperlink ref="N198" location="Yes_No" display="Yes/No" xr:uid="{00000000-0004-0000-0200-000026000000}"/>
    <hyperlink ref="N199" location="Yes_No" display="Yes/No" xr:uid="{00000000-0004-0000-0200-000027000000}"/>
    <hyperlink ref="N83" location="Yes_No" display="Yes/No" xr:uid="{00000000-0004-0000-0200-000028000000}"/>
    <hyperlink ref="N84" location="Yes_No" display="Yes/No" xr:uid="{00000000-0004-0000-0200-000029000000}"/>
    <hyperlink ref="N294" location="Yes_No" display="Yes/No" xr:uid="{00000000-0004-0000-0200-00002A000000}"/>
    <hyperlink ref="N296" location="Yes_No" display="Yes/No" xr:uid="{00000000-0004-0000-0200-00002D000000}"/>
    <hyperlink ref="N298" location="Yes_No" display="Yes/No" xr:uid="{00000000-0004-0000-0200-000030000000}"/>
    <hyperlink ref="N301" location="Yes_No" display="Yes/No" xr:uid="{00000000-0004-0000-0200-000031000000}"/>
    <hyperlink ref="N302" location="Yes_No" display="Yes/No" xr:uid="{00000000-0004-0000-0200-000032000000}"/>
    <hyperlink ref="N309" location="Yes_No" display="Yes/No" xr:uid="{00000000-0004-0000-0200-000033000000}"/>
    <hyperlink ref="N33" location="Idaho_Counties" display="Idaho Counties" xr:uid="{00000000-0004-0000-0200-000034000000}"/>
    <hyperlink ref="N50" location="Homeless_Residence" display="Homeless Residence" xr:uid="{00000000-0004-0000-0200-000036000000}"/>
    <hyperlink ref="N57" location="Country" display="Country" xr:uid="{00000000-0004-0000-0200-000037000000}"/>
    <hyperlink ref="N62" location="Entry_Reasons" display="Entry Reasons" xr:uid="{00000000-0004-0000-0200-000038000000}"/>
    <hyperlink ref="N64" location="Entry_Reasons" display="Entry Reasons" xr:uid="{00000000-0004-0000-0200-000039000000}"/>
    <hyperlink ref="N66" location="Exit_Reasons" display="Entry Reasons" xr:uid="{00000000-0004-0000-0200-00003A000000}"/>
    <hyperlink ref="N95" location="Calendar_Type" display="Calendar Type" xr:uid="{00000000-0004-0000-0200-00003B000000}"/>
    <hyperlink ref="N96" location="Kindergarten_Session_Type" display="Kindergarten Session Type" xr:uid="{00000000-0004-0000-0200-00003C000000}"/>
    <hyperlink ref="N105" location="Exceptionality" display="Exceptionality" xr:uid="{00000000-0004-0000-0200-00003D000000}"/>
    <hyperlink ref="N106" location="Special_Ed_Environment" display="Special Ed Environment" xr:uid="{00000000-0004-0000-0200-00003E000000}"/>
    <hyperlink ref="N111" location="Early_Childhood_Determination" display="Early Childhood Determination Late" xr:uid="{00000000-0004-0000-0200-00003F000000}"/>
    <hyperlink ref="N119" location="Special_Ed_Determination_late" display="Special Ed Determination Late" xr:uid="{00000000-0004-0000-0200-000040000000}"/>
    <hyperlink ref="N120" location="State_Exception_Rule" display="State Exception Rule" xr:uid="{00000000-0004-0000-0200-000041000000}"/>
    <hyperlink ref="N122" location="Undetermined_Reason" display="Undetermined Reason" xr:uid="{00000000-0004-0000-0200-000042000000}"/>
    <hyperlink ref="N123" location="Program_Status" display="Program Status" xr:uid="{00000000-0004-0000-0200-000043000000}"/>
    <hyperlink ref="N125" location="Program_Exit_Reason" display="Program Exit Reason" xr:uid="{00000000-0004-0000-0200-000044000000}"/>
    <hyperlink ref="N136" location="Program_Status" display="Program Status" xr:uid="{00000000-0004-0000-0200-000045000000}"/>
    <hyperlink ref="N140" location="Gifted_Exit_Reason" display="Gifted Exit Reason" xr:uid="{00000000-0004-0000-0200-000046000000}"/>
    <hyperlink ref="N165" location="'CIP Codes'!A1" display="CIP Codes" xr:uid="{00000000-0004-0000-0200-000048000000}"/>
    <hyperlink ref="N321" location="Phone_Type" display="Phone Type" xr:uid="{00000000-0004-0000-0200-000052000000}"/>
    <hyperlink ref="N318" location="Phone_Type" display="Phone Type" xr:uid="{00000000-0004-0000-0200-000053000000}"/>
    <hyperlink ref="N300" location="Modified_Duration_Reason" display="Modified Duration Reason" xr:uid="{00000000-0004-0000-0200-000054000000}"/>
    <hyperlink ref="N297" location="Weapon_Type" display="Weapon Type" xr:uid="{00000000-0004-0000-0200-000055000000}"/>
    <hyperlink ref="N289" location="Disciplinary_Action_Type" display="Disciplinary Action Type" xr:uid="{00000000-0004-0000-0200-000056000000}"/>
    <hyperlink ref="N295" location="IDEA_Interim_Removal_Reason" display="IDEA Interim Removal Reason" xr:uid="{00000000-0004-0000-0200-000059000000}"/>
    <hyperlink ref="N78" location="Course_Exit_Reason" display="Course Exit Reason" xr:uid="{00000000-0004-0000-0200-00005A000000}"/>
    <hyperlink ref="N276" location="Teaching_Role" display="Teaching Role" xr:uid="{00000000-0004-0000-0200-00005B000000}"/>
    <hyperlink ref="N275" location="AssignmentCourse_Codes" display="Staff Assignment Code" xr:uid="{00000000-0004-0000-0200-00005C000000}"/>
    <hyperlink ref="N163" location="Higher_Ed_Institutions" display="Higher Ed Institutions" xr:uid="{00000000-0004-0000-0200-00005D000000}"/>
    <hyperlink ref="N170" location="Higher_Ed_Institutions" display="Higher Ed Institutions" xr:uid="{00000000-0004-0000-0200-00005E000000}"/>
    <hyperlink ref="N176" location="Higher_Ed_Institutions" display="Higher Ed Institutions" xr:uid="{00000000-0004-0000-0200-00005F000000}"/>
    <hyperlink ref="N182" location="Higher_Ed_Institutions" display="Higher Ed Institutions" xr:uid="{00000000-0004-0000-0200-000060000000}"/>
    <hyperlink ref="N188" location="Higher_Ed_Institutions" display="Higher Ed Institutions" xr:uid="{00000000-0004-0000-0200-000061000000}"/>
    <hyperlink ref="N193" location="Higher_Ed_Institutions" display="Higher Ed Institutions" xr:uid="{00000000-0004-0000-0200-000062000000}"/>
    <hyperlink ref="N210" location="Contract_Type" display="Contract Type" xr:uid="{00000000-0004-0000-0200-000063000000}"/>
    <hyperlink ref="N223" location="Contract_Type" display="Contract Type" xr:uid="{00000000-0004-0000-0200-000064000000}"/>
    <hyperlink ref="N209" location="Employment_Status" display="Employment Status" xr:uid="{00000000-0004-0000-0200-000065000000}"/>
    <hyperlink ref="N194" location="State_Province" display="State Province" xr:uid="{00000000-0004-0000-0200-000066000000}"/>
    <hyperlink ref="N189" location="State_Province" display="State Province" xr:uid="{00000000-0004-0000-0200-000067000000}"/>
    <hyperlink ref="N183" location="State_Province" display="State Province" xr:uid="{00000000-0004-0000-0200-000068000000}"/>
    <hyperlink ref="N177" location="State_Province" display="State Province" xr:uid="{00000000-0004-0000-0200-000069000000}"/>
    <hyperlink ref="N164" location="State_Province" display="State Province" xr:uid="{00000000-0004-0000-0200-00006A000000}"/>
    <hyperlink ref="N160" location="State_Province" display="State Province" xr:uid="{00000000-0004-0000-0200-00006B000000}"/>
    <hyperlink ref="N161" location="Education_Degree" display="Education Degree" xr:uid="{00000000-0004-0000-0200-00006C000000}"/>
    <hyperlink ref="N168" location="Education_Degree" display="Education Degree" xr:uid="{00000000-0004-0000-0200-00006D000000}"/>
    <hyperlink ref="N174" location="Education_Degree" display="Education Degree" xr:uid="{00000000-0004-0000-0200-00006E000000}"/>
    <hyperlink ref="N180" location="Education_Degree" display="Education Degree" xr:uid="{00000000-0004-0000-0200-00006F000000}"/>
    <hyperlink ref="N186" location="Education_Degree" display="Education Degree" xr:uid="{00000000-0004-0000-0200-000070000000}"/>
    <hyperlink ref="N195" location="Parapro_High_School_Degree" display="Parapro High School Degree" xr:uid="{00000000-0004-0000-0200-000071000000}"/>
    <hyperlink ref="N249" location="Extra_Pay_Type" display="Extra Pay Type" xr:uid="{00000000-0004-0000-0200-000072000000}"/>
    <hyperlink ref="N251" location="Extra_Pay_Type" display="Extra Pay Type" xr:uid="{00000000-0004-0000-0200-000073000000}"/>
    <hyperlink ref="N253" location="Extra_Pay_Type" display="Extra Pay Type" xr:uid="{00000000-0004-0000-0200-000074000000}"/>
    <hyperlink ref="N255" location="Extra_Pay_Type" display="Extra Pay Type" xr:uid="{00000000-0004-0000-0200-000075000000}"/>
    <hyperlink ref="N266" location="Staff_Exit_Reason" display="Staff Exit Reason" xr:uid="{00000000-0004-0000-0200-000076000000}"/>
    <hyperlink ref="N86" location="College_Credit" display="College Credit" xr:uid="{00000000-0004-0000-0200-000077000000}"/>
    <hyperlink ref="N32" location="SchoolNumber" display="Schools" xr:uid="{00000000-0004-0000-0200-000078000000}"/>
    <hyperlink ref="N305" location="Districts" display="Districts" xr:uid="{00000000-0004-0000-0200-000079000000}"/>
    <hyperlink ref="N89" location="SchoolNumber" display="Schools" xr:uid="{00000000-0004-0000-0200-00007A000000}"/>
    <hyperlink ref="N103" location="SchoolNumber" display="Schools" xr:uid="{00000000-0004-0000-0200-00007B000000}"/>
    <hyperlink ref="N71" location="SchoolNumber" display="Schools" xr:uid="{00000000-0004-0000-0200-00007C000000}"/>
    <hyperlink ref="N171" location="State_Province" display="State Province" xr:uid="{00000000-0004-0000-0200-00007D000000}"/>
    <hyperlink ref="N68" location="Exit_Reasons" display="Entry Reasons" xr:uid="{00000000-0004-0000-0200-00007E000000}"/>
    <hyperlink ref="N47" location="Yes_No" display="Yes/No" xr:uid="{00000000-0004-0000-0200-00007F000000}"/>
    <hyperlink ref="N215" location="Funding_Source" display="Funding Source" xr:uid="{00000000-0004-0000-0200-000080000000}"/>
    <hyperlink ref="N217" location="Funding_Source" display="Funding Source" xr:uid="{00000000-0004-0000-0200-000081000000}"/>
    <hyperlink ref="N219" location="Funding_Source" display="Funding Source" xr:uid="{00000000-0004-0000-0200-000082000000}"/>
    <hyperlink ref="N221" location="Funding_Source" display="Funding Source" xr:uid="{00000000-0004-0000-0200-000083000000}"/>
    <hyperlink ref="N236" location="Contract_Type" display="Contract Type" xr:uid="{00000000-0004-0000-0200-000084000000}"/>
    <hyperlink ref="N228" location="Funding_Source" display="Funding Source" xr:uid="{00000000-0004-0000-0200-000085000000}"/>
    <hyperlink ref="N230" location="Funding_Source" display="Funding Source" xr:uid="{00000000-0004-0000-0200-000086000000}"/>
    <hyperlink ref="N232" location="Funding_Source" display="Funding Source" xr:uid="{00000000-0004-0000-0200-000087000000}"/>
    <hyperlink ref="N234" location="Funding_Source" display="Funding Source" xr:uid="{00000000-0004-0000-0200-000088000000}"/>
    <hyperlink ref="N241" location="Funding_Source" display="Funding Source" xr:uid="{00000000-0004-0000-0200-000089000000}"/>
    <hyperlink ref="N243" location="Funding_Source" display="Funding Source" xr:uid="{00000000-0004-0000-0200-00008A000000}"/>
    <hyperlink ref="N245" location="Funding_Source" display="Funding Source" xr:uid="{00000000-0004-0000-0200-00008B000000}"/>
    <hyperlink ref="N247" location="Funding_Source" display="Funding Source" xr:uid="{00000000-0004-0000-0200-00008C000000}"/>
    <hyperlink ref="N257" location="Funding_Source" display="Funding Source" xr:uid="{00000000-0004-0000-0200-00008D000000}"/>
    <hyperlink ref="N259" location="Funding_Source" display="Funding Source" xr:uid="{00000000-0004-0000-0200-00008E000000}"/>
    <hyperlink ref="N261" location="Funding_Source" display="Funding Source" xr:uid="{00000000-0004-0000-0200-00008F000000}"/>
    <hyperlink ref="N263" location="Funding_Source" display="Funding Source" xr:uid="{00000000-0004-0000-0200-000090000000}"/>
    <hyperlink ref="N51" location="Yes_No" display="Yes/No" xr:uid="{00000000-0004-0000-0200-000091000000}"/>
    <hyperlink ref="N108" location="Yes_No" display="Yes/No" xr:uid="{00000000-0004-0000-0200-000092000000}"/>
    <hyperlink ref="N3" location="SchoolNumber" display="Schools" xr:uid="{00000000-0004-0000-0200-000093000000}"/>
    <hyperlink ref="N4" location="AssignmentCourse_Codes" display="Course Code" xr:uid="{00000000-0004-0000-0200-000094000000}"/>
    <hyperlink ref="N5" location="Course_Type" display="Course Type" xr:uid="{00000000-0004-0000-0200-000095000000}"/>
    <hyperlink ref="N6" location="Instructional_Setting" display="Instructional Setting" xr:uid="{00000000-0004-0000-0200-000096000000}"/>
    <hyperlink ref="N42" location="Military_Connection" display="Military Connection" xr:uid="{00000000-0004-0000-0200-000097000000}"/>
    <hyperlink ref="N104" location="SchoolNumber" display="Schools" xr:uid="{00000000-0004-0000-0200-000098000000}"/>
    <hyperlink ref="N130" location="SchoolNumber" display="Schools" xr:uid="{00000000-0004-0000-0200-000099000000}"/>
    <hyperlink ref="N200" location="SchoolNumber" display="Schools" xr:uid="{00000000-0004-0000-0200-00009A000000}"/>
    <hyperlink ref="N270" location="SchoolNumber" display="Schools" xr:uid="{00000000-0004-0000-0200-00009B000000}"/>
    <hyperlink ref="N293" location="SchoolNumber" display="Schools" xr:uid="{00000000-0004-0000-0200-00009D000000}"/>
    <hyperlink ref="N306" location="SchoolNumber" display="Schools" xr:uid="{00000000-0004-0000-0200-00009E000000}"/>
    <hyperlink ref="N315" location="SchoolNumber" display="Schools" xr:uid="{00000000-0004-0000-0200-00009F000000}"/>
    <hyperlink ref="N292" location="Districts" display="Districts" xr:uid="{00000000-0004-0000-0200-0000A0000000}"/>
    <hyperlink ref="N291" location="Districts" display="Districts" xr:uid="{00000000-0004-0000-0200-0000A1000000}"/>
    <hyperlink ref="N14" location="SchoolNumber" display="Schools" xr:uid="{00000000-0004-0000-0200-0000A2000000}"/>
    <hyperlink ref="N72" location="AssignmentCourse_Codes" display="Course Code" xr:uid="{00000000-0004-0000-0200-0000A3000000}"/>
    <hyperlink ref="N41" location="Yes_No" display="Yes/No" xr:uid="{00000000-0004-0000-0200-0000A5000000}"/>
    <hyperlink ref="N44" location="Yes_No" display="Yes/No" xr:uid="{00000000-0004-0000-0200-0000A9000000}"/>
    <hyperlink ref="N59" location="Yes_No" display="Yes/No" xr:uid="{00000000-0004-0000-0200-0000AA000000}"/>
    <hyperlink ref="N81" location="Yes_No" display="Yes/No" xr:uid="{00000000-0004-0000-0200-0000AB000000}"/>
    <hyperlink ref="N60" location="Yes_No" display="Yes/No" xr:uid="{00000000-0004-0000-0200-0000AC000000}"/>
    <hyperlink ref="N8" location="Content_Grade_Level" display="Content Grade Level" xr:uid="{00000000-0004-0000-0200-0000AD000000}"/>
    <hyperlink ref="N56" location="Languages" display="Languages" xr:uid="{00000000-0004-0000-0200-0000AE000000}"/>
    <hyperlink ref="N58" location="Yes_No" display="Yes/No" xr:uid="{00000000-0004-0000-0200-0000AF000000}"/>
    <hyperlink ref="N35" location="PH_School" display="PH School" xr:uid="{0B595D0C-9F4D-4D08-81A5-140947C5EB43}"/>
    <hyperlink ref="N328" location="Record_Type" display="Record Type" xr:uid="{2496778C-36F8-4181-A6FA-07108C93B691}"/>
    <hyperlink ref="N332" location="Fund_Number" display="Fund number" xr:uid="{A150D90D-FDE3-4D66-AF09-3CB31B64D889}"/>
    <hyperlink ref="N334" location="Function_Code" display="Function Code" xr:uid="{363B0D96-9698-4FD6-AF2D-F6054BE6466D}"/>
    <hyperlink ref="N335" location="Object_Code" display="Object Code" xr:uid="{3F0D5F61-06EF-46CE-81F8-B8F25FA9E424}"/>
    <hyperlink ref="N333" location="Account_Code" display="Account Code" xr:uid="{CB04091E-4495-4D16-9CDD-75692F2FEFE8}"/>
    <hyperlink ref="N166" location="'CIP Codes'!A1" display="CIP Codes" xr:uid="{7FA0E095-4B05-4BF1-B65E-52987AC571AA}"/>
    <hyperlink ref="N172" location="'CIP Codes'!A1" display="CIP Codes" xr:uid="{AE074FD3-38FA-4B73-AE49-589FE3CE09B7}"/>
    <hyperlink ref="N173" location="'CIP Codes'!A1" display="CIP Codes" xr:uid="{3FDA9EB8-3DDE-4158-9F62-8564B3261966}"/>
    <hyperlink ref="N178" location="'CIP Codes'!A1" display="CIP Codes" xr:uid="{3A2857D7-A848-49C5-9B4A-B700A7DDEB72}"/>
    <hyperlink ref="N179" location="'CIP Codes'!A1" display="CIP Codes" xr:uid="{D434611A-4AC6-4BD5-A507-C74EE725112E}"/>
    <hyperlink ref="N184" location="'CIP Codes'!A1" display="CIP Codes" xr:uid="{9B20EACB-CA05-40CC-A0C9-5EDA4C6AB496}"/>
    <hyperlink ref="N185" location="'CIP Codes'!A1" display="CIP Codes" xr:uid="{39A97D4D-F2DB-4D96-9FE0-0547236DABFE}"/>
    <hyperlink ref="N190" location="'CIP Codes'!A1" display="CIP Codes" xr:uid="{2E2F21EB-2CB0-4F49-8997-56AACB75859B}"/>
    <hyperlink ref="N191" location="'CIP Codes'!A1" display="CIP Codes" xr:uid="{E673B6F1-CC81-4619-8E86-3D98A194F330}"/>
  </hyperlinks>
  <pageMargins left="0.5" right="0.5" top="0.60000000000000009" bottom="0.75000000000000011" header="0.60000000000000009" footer="0.5"/>
  <pageSetup orientation="landscape" r:id="rId1"/>
  <headerFooter alignWithMargins="0">
    <oddFooter>&amp;L&amp;"Arial"&amp;8&amp;I5/22/2012&amp;I 
&amp;IPage 1 of 1&amp;I &amp;C&amp;R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64"/>
  <sheetViews>
    <sheetView zoomScale="90" zoomScaleNormal="90" workbookViewId="0">
      <selection sqref="A1:XFD1"/>
    </sheetView>
  </sheetViews>
  <sheetFormatPr defaultColWidth="9.1796875" defaultRowHeight="14.25" customHeight="1" x14ac:dyDescent="0.35"/>
  <cols>
    <col min="1" max="1" width="11.453125" style="19" customWidth="1"/>
    <col min="2" max="2" width="5.26953125" style="19" bestFit="1" customWidth="1"/>
    <col min="3" max="3" width="38.7265625" style="19" bestFit="1" customWidth="1"/>
    <col min="4" max="4" width="9.1796875" style="19"/>
    <col min="5" max="5" width="11.1796875" style="19" bestFit="1" customWidth="1"/>
    <col min="6" max="6" width="9.1796875" style="19"/>
    <col min="7" max="7" width="9.1796875" style="19" customWidth="1"/>
    <col min="8" max="16384" width="9.1796875" style="19"/>
  </cols>
  <sheetData>
    <row r="1" spans="1:31" ht="14.25" customHeight="1" x14ac:dyDescent="0.35">
      <c r="A1" s="263" t="s">
        <v>39</v>
      </c>
      <c r="B1" s="263" t="s">
        <v>40</v>
      </c>
      <c r="C1" s="264">
        <v>44288</v>
      </c>
      <c r="D1" s="15"/>
      <c r="E1" s="212" t="s">
        <v>61</v>
      </c>
      <c r="F1" s="15"/>
      <c r="G1" s="15"/>
      <c r="H1" s="15"/>
      <c r="I1" s="15"/>
      <c r="J1" s="15"/>
    </row>
    <row r="2" spans="1:31" ht="14.25" customHeight="1" x14ac:dyDescent="0.35">
      <c r="A2" s="20" t="s">
        <v>1215</v>
      </c>
      <c r="D2" s="16"/>
      <c r="E2" s="214" t="s">
        <v>62</v>
      </c>
      <c r="F2" s="65"/>
      <c r="G2" s="65"/>
      <c r="H2" s="65"/>
      <c r="I2" s="65"/>
      <c r="J2" s="21"/>
      <c r="K2" s="21"/>
    </row>
    <row r="3" spans="1:31" ht="14.25" customHeight="1" x14ac:dyDescent="0.35">
      <c r="A3" s="22"/>
      <c r="B3" s="5"/>
      <c r="C3" s="21"/>
      <c r="D3" s="21"/>
      <c r="E3" s="215" t="s">
        <v>63</v>
      </c>
      <c r="F3" s="65"/>
      <c r="G3" s="65"/>
      <c r="H3" s="65"/>
      <c r="I3" s="65"/>
      <c r="J3" s="21"/>
      <c r="K3" s="21"/>
      <c r="L3" s="21"/>
      <c r="M3" s="21"/>
      <c r="N3" s="21"/>
      <c r="O3" s="21"/>
      <c r="P3" s="21"/>
      <c r="Q3" s="21"/>
      <c r="R3" s="21"/>
      <c r="S3" s="21"/>
      <c r="T3" s="21"/>
      <c r="U3" s="21"/>
      <c r="V3" s="21"/>
      <c r="W3" s="21"/>
      <c r="X3" s="21"/>
      <c r="Y3" s="21"/>
      <c r="Z3" s="21"/>
      <c r="AA3" s="21"/>
      <c r="AB3" s="21"/>
      <c r="AC3" s="21"/>
      <c r="AD3" s="21"/>
      <c r="AE3" s="21"/>
    </row>
    <row r="4" spans="1:31" s="24" customFormat="1" ht="14.25" customHeight="1" x14ac:dyDescent="0.35">
      <c r="A4" s="162"/>
      <c r="B4" s="5"/>
      <c r="C4" s="138" t="s">
        <v>1198</v>
      </c>
      <c r="D4" s="18"/>
      <c r="E4" s="216" t="s">
        <v>46</v>
      </c>
      <c r="F4" s="66"/>
      <c r="H4" s="66"/>
      <c r="I4" s="66"/>
      <c r="J4" s="23"/>
      <c r="K4" s="23"/>
      <c r="L4" s="23"/>
      <c r="M4" s="23"/>
      <c r="N4" s="23"/>
      <c r="O4" s="23"/>
      <c r="P4" s="23"/>
      <c r="Q4" s="23"/>
      <c r="R4" s="23"/>
      <c r="S4" s="23"/>
      <c r="T4" s="23"/>
      <c r="U4" s="23"/>
      <c r="V4" s="23"/>
      <c r="W4" s="23"/>
      <c r="X4" s="23"/>
      <c r="Y4" s="23"/>
      <c r="Z4" s="23"/>
      <c r="AA4" s="23"/>
      <c r="AB4" s="23"/>
      <c r="AC4" s="23"/>
      <c r="AD4" s="23"/>
      <c r="AE4" s="23"/>
    </row>
    <row r="5" spans="1:31" s="24" customFormat="1" ht="14.25" customHeight="1" x14ac:dyDescent="0.35">
      <c r="A5" s="78"/>
      <c r="B5" s="78"/>
      <c r="C5" s="138" t="s">
        <v>328</v>
      </c>
      <c r="D5" s="18"/>
      <c r="E5" s="66"/>
      <c r="F5" s="66"/>
      <c r="H5" s="66"/>
      <c r="I5" s="66"/>
      <c r="J5" s="23"/>
      <c r="K5" s="23"/>
      <c r="L5" s="23"/>
      <c r="M5" s="23"/>
      <c r="N5" s="23"/>
      <c r="O5" s="23"/>
      <c r="P5" s="23"/>
      <c r="Q5" s="23"/>
      <c r="R5" s="23"/>
      <c r="S5" s="23"/>
      <c r="T5" s="23"/>
      <c r="U5" s="23"/>
      <c r="V5" s="23"/>
      <c r="W5" s="23"/>
      <c r="X5" s="23"/>
      <c r="Y5" s="23"/>
      <c r="Z5" s="23"/>
      <c r="AA5" s="23"/>
      <c r="AB5" s="23"/>
      <c r="AC5" s="23"/>
      <c r="AD5" s="23"/>
      <c r="AE5" s="23"/>
    </row>
    <row r="6" spans="1:31" s="24" customFormat="1" ht="14.25" customHeight="1" x14ac:dyDescent="0.35">
      <c r="A6" s="202" t="s">
        <v>46</v>
      </c>
      <c r="B6" s="202" t="s">
        <v>47</v>
      </c>
      <c r="C6" s="203" t="s">
        <v>22</v>
      </c>
      <c r="D6" s="18"/>
    </row>
    <row r="7" spans="1:31" s="24" customFormat="1" ht="14.25" customHeight="1" x14ac:dyDescent="0.35">
      <c r="A7" s="202" t="s">
        <v>46</v>
      </c>
      <c r="B7" s="202" t="s">
        <v>47</v>
      </c>
      <c r="C7" s="203" t="s">
        <v>662</v>
      </c>
      <c r="D7" s="18"/>
    </row>
    <row r="8" spans="1:31" s="24" customFormat="1" ht="14.25" customHeight="1" x14ac:dyDescent="0.35">
      <c r="A8" s="78"/>
      <c r="B8" s="78"/>
      <c r="C8" s="138" t="s">
        <v>448</v>
      </c>
    </row>
    <row r="9" spans="1:31" s="24" customFormat="1" ht="14.25" customHeight="1" x14ac:dyDescent="0.35">
      <c r="A9" s="139"/>
      <c r="B9" s="139"/>
      <c r="C9" s="138" t="s">
        <v>126</v>
      </c>
    </row>
    <row r="10" spans="1:31" s="24" customFormat="1" ht="14.25" customHeight="1" x14ac:dyDescent="0.35">
      <c r="A10" s="202" t="s">
        <v>46</v>
      </c>
      <c r="B10" s="202" t="s">
        <v>47</v>
      </c>
      <c r="C10" s="203" t="s">
        <v>823</v>
      </c>
    </row>
    <row r="11" spans="1:31" s="24" customFormat="1" ht="14.25" customHeight="1" x14ac:dyDescent="0.35">
      <c r="A11" s="78"/>
      <c r="B11" s="78"/>
      <c r="C11" s="138" t="s">
        <v>353</v>
      </c>
    </row>
    <row r="12" spans="1:31" s="24" customFormat="1" ht="14.25" customHeight="1" x14ac:dyDescent="0.35">
      <c r="A12" s="202" t="s">
        <v>46</v>
      </c>
      <c r="B12" s="202" t="s">
        <v>47</v>
      </c>
      <c r="C12" s="203" t="s">
        <v>100</v>
      </c>
    </row>
    <row r="13" spans="1:31" s="24" customFormat="1" ht="14.25" customHeight="1" x14ac:dyDescent="0.35">
      <c r="A13" s="202" t="s">
        <v>46</v>
      </c>
      <c r="B13" s="202" t="s">
        <v>47</v>
      </c>
      <c r="C13" s="203" t="s">
        <v>416</v>
      </c>
    </row>
    <row r="14" spans="1:31" s="24" customFormat="1" ht="14.25" customHeight="1" x14ac:dyDescent="0.35">
      <c r="A14" s="202" t="s">
        <v>46</v>
      </c>
      <c r="B14" s="202" t="s">
        <v>47</v>
      </c>
      <c r="C14" s="203" t="s">
        <v>106</v>
      </c>
    </row>
    <row r="15" spans="1:31" s="24" customFormat="1" ht="14.25" customHeight="1" x14ac:dyDescent="0.35">
      <c r="A15" s="139"/>
      <c r="B15" s="139"/>
      <c r="C15" s="138" t="s">
        <v>1075</v>
      </c>
    </row>
    <row r="16" spans="1:31" s="24" customFormat="1" ht="14.25" customHeight="1" x14ac:dyDescent="0.35">
      <c r="A16" s="78"/>
      <c r="B16" s="78"/>
      <c r="C16" s="138" t="s">
        <v>1216</v>
      </c>
    </row>
    <row r="17" spans="1:3" s="24" customFormat="1" ht="14.25" customHeight="1" x14ac:dyDescent="0.35">
      <c r="A17" s="139"/>
      <c r="B17" s="139"/>
      <c r="C17" s="138" t="s">
        <v>518</v>
      </c>
    </row>
    <row r="18" spans="1:3" s="24" customFormat="1" ht="14.25" customHeight="1" x14ac:dyDescent="0.35">
      <c r="A18" s="139"/>
      <c r="B18" s="139"/>
      <c r="C18" s="138" t="s">
        <v>263</v>
      </c>
    </row>
    <row r="19" spans="1:3" s="24" customFormat="1" ht="14.25" customHeight="1" x14ac:dyDescent="0.35">
      <c r="A19" s="78"/>
      <c r="B19" s="78"/>
      <c r="C19" s="138" t="s">
        <v>647</v>
      </c>
    </row>
    <row r="20" spans="1:3" s="24" customFormat="1" ht="14.25" customHeight="1" x14ac:dyDescent="0.35">
      <c r="A20" s="78"/>
      <c r="B20" s="78"/>
      <c r="C20" s="138" t="s">
        <v>815</v>
      </c>
    </row>
    <row r="21" spans="1:3" s="24" customFormat="1" ht="14.25" customHeight="1" x14ac:dyDescent="0.35">
      <c r="A21" s="139"/>
      <c r="B21" s="139"/>
      <c r="C21" s="138" t="s">
        <v>376</v>
      </c>
    </row>
    <row r="22" spans="1:3" s="24" customFormat="1" ht="14.25" customHeight="1" x14ac:dyDescent="0.35">
      <c r="A22" s="139"/>
      <c r="B22" s="139"/>
      <c r="C22" s="138" t="s">
        <v>495</v>
      </c>
    </row>
    <row r="23" spans="1:3" s="24" customFormat="1" ht="14.25" customHeight="1" x14ac:dyDescent="0.35">
      <c r="A23" s="139"/>
      <c r="B23" s="139"/>
      <c r="C23" s="138" t="s">
        <v>393</v>
      </c>
    </row>
    <row r="24" spans="1:3" s="24" customFormat="1" ht="14.25" customHeight="1" x14ac:dyDescent="0.35">
      <c r="A24" s="139"/>
      <c r="B24" s="139"/>
      <c r="C24" s="138" t="s">
        <v>969</v>
      </c>
    </row>
    <row r="25" spans="1:3" s="24" customFormat="1" ht="14.25" customHeight="1" x14ac:dyDescent="0.35">
      <c r="A25" s="202" t="s">
        <v>46</v>
      </c>
      <c r="B25" s="202" t="s">
        <v>47</v>
      </c>
      <c r="C25" s="203" t="s">
        <v>1202</v>
      </c>
    </row>
    <row r="26" spans="1:3" s="24" customFormat="1" ht="14.25" customHeight="1" x14ac:dyDescent="0.35">
      <c r="A26" s="202" t="s">
        <v>46</v>
      </c>
      <c r="B26" s="202" t="s">
        <v>47</v>
      </c>
      <c r="C26" s="203" t="s">
        <v>1194</v>
      </c>
    </row>
    <row r="27" spans="1:3" s="24" customFormat="1" ht="14.25" customHeight="1" x14ac:dyDescent="0.35">
      <c r="A27" s="139"/>
      <c r="B27" s="139"/>
      <c r="C27" s="138" t="s">
        <v>848</v>
      </c>
    </row>
    <row r="28" spans="1:3" s="24" customFormat="1" ht="14.25" customHeight="1" x14ac:dyDescent="0.35">
      <c r="A28" s="78"/>
      <c r="B28" s="78"/>
      <c r="C28" s="138" t="s">
        <v>198</v>
      </c>
    </row>
    <row r="29" spans="1:3" s="24" customFormat="1" ht="14.25" customHeight="1" x14ac:dyDescent="0.35">
      <c r="A29" s="139"/>
      <c r="B29" s="139"/>
      <c r="C29" s="138" t="s">
        <v>610</v>
      </c>
    </row>
    <row r="30" spans="1:3" s="24" customFormat="1" ht="14.25" customHeight="1" x14ac:dyDescent="0.35">
      <c r="A30" s="139"/>
      <c r="B30" s="139"/>
      <c r="C30" s="138" t="s">
        <v>245</v>
      </c>
    </row>
    <row r="31" spans="1:3" s="24" customFormat="1" ht="14.25" customHeight="1" x14ac:dyDescent="0.35">
      <c r="A31" s="78"/>
      <c r="B31" s="78"/>
      <c r="C31" s="138" t="s">
        <v>654</v>
      </c>
    </row>
    <row r="32" spans="1:3" s="24" customFormat="1" ht="14.25" customHeight="1" x14ac:dyDescent="0.35">
      <c r="A32" s="139"/>
      <c r="B32" s="139"/>
      <c r="C32" s="138" t="s">
        <v>317</v>
      </c>
    </row>
    <row r="33" spans="1:3" s="24" customFormat="1" ht="14.25" customHeight="1" x14ac:dyDescent="0.35">
      <c r="A33" s="78"/>
      <c r="B33" s="78"/>
      <c r="C33" s="138" t="s">
        <v>229</v>
      </c>
    </row>
    <row r="34" spans="1:3" s="24" customFormat="1" ht="14.25" customHeight="1" x14ac:dyDescent="0.35">
      <c r="A34" s="139"/>
      <c r="B34" s="139"/>
      <c r="C34" s="138" t="s">
        <v>1094</v>
      </c>
    </row>
    <row r="35" spans="1:3" s="24" customFormat="1" ht="14.25" customHeight="1" x14ac:dyDescent="0.35">
      <c r="A35" s="78"/>
      <c r="B35" s="78"/>
      <c r="C35" s="138" t="s">
        <v>112</v>
      </c>
    </row>
    <row r="36" spans="1:3" s="24" customFormat="1" ht="14.25" customHeight="1" x14ac:dyDescent="0.35">
      <c r="A36" s="78"/>
      <c r="B36" s="78"/>
      <c r="C36" s="138" t="s">
        <v>470</v>
      </c>
    </row>
    <row r="37" spans="1:3" s="24" customFormat="1" ht="14.25" customHeight="1" x14ac:dyDescent="0.35">
      <c r="A37" s="139"/>
      <c r="B37" s="139"/>
      <c r="C37" s="138" t="s">
        <v>348</v>
      </c>
    </row>
    <row r="38" spans="1:3" s="24" customFormat="1" ht="14.25" customHeight="1" x14ac:dyDescent="0.35">
      <c r="A38" s="139"/>
      <c r="B38" s="139"/>
      <c r="C38" s="138" t="s">
        <v>282</v>
      </c>
    </row>
    <row r="39" spans="1:3" s="24" customFormat="1" ht="14.25" customHeight="1" x14ac:dyDescent="0.35">
      <c r="A39" s="78"/>
      <c r="B39" s="78"/>
      <c r="C39" s="138" t="s">
        <v>1107</v>
      </c>
    </row>
    <row r="40" spans="1:3" s="24" customFormat="1" ht="14.25" customHeight="1" x14ac:dyDescent="0.35">
      <c r="A40" s="78"/>
      <c r="B40" s="78"/>
      <c r="C40" s="138" t="s">
        <v>1206</v>
      </c>
    </row>
    <row r="41" spans="1:3" s="24" customFormat="1" ht="14.25" customHeight="1" x14ac:dyDescent="0.35">
      <c r="A41" s="140"/>
      <c r="B41" s="140"/>
      <c r="C41" s="138" t="s">
        <v>634</v>
      </c>
    </row>
    <row r="42" spans="1:3" s="24" customFormat="1" ht="14.25" customHeight="1" x14ac:dyDescent="0.35">
      <c r="A42" s="140"/>
      <c r="B42" s="140"/>
      <c r="C42" s="138" t="s">
        <v>760</v>
      </c>
    </row>
    <row r="43" spans="1:3" s="24" customFormat="1" ht="14.25" customHeight="1" x14ac:dyDescent="0.35">
      <c r="A43" s="140"/>
      <c r="B43" s="140"/>
      <c r="C43" s="138" t="s">
        <v>242</v>
      </c>
    </row>
    <row r="44" spans="1:3" s="24" customFormat="1" ht="14.25" customHeight="1" x14ac:dyDescent="0.35">
      <c r="A44" s="78"/>
      <c r="B44" s="78"/>
      <c r="C44" s="138" t="s">
        <v>1156</v>
      </c>
    </row>
    <row r="45" spans="1:3" s="24" customFormat="1" ht="14.25" customHeight="1" x14ac:dyDescent="0.35">
      <c r="A45" s="139"/>
      <c r="B45" s="139"/>
      <c r="C45" s="138" t="s">
        <v>1126</v>
      </c>
    </row>
    <row r="46" spans="1:3" s="24" customFormat="1" ht="14.25" customHeight="1" x14ac:dyDescent="0.35">
      <c r="A46" s="139"/>
      <c r="B46" s="139"/>
      <c r="C46" s="138" t="s">
        <v>567</v>
      </c>
    </row>
    <row r="47" spans="1:3" s="24" customFormat="1" ht="14.25" customHeight="1" x14ac:dyDescent="0.35">
      <c r="A47" s="202" t="s">
        <v>46</v>
      </c>
      <c r="B47" s="202" t="s">
        <v>47</v>
      </c>
      <c r="C47" s="203" t="s">
        <v>559</v>
      </c>
    </row>
    <row r="48" spans="1:3" s="24" customFormat="1" ht="14.25" customHeight="1" x14ac:dyDescent="0.35">
      <c r="A48" s="78"/>
      <c r="B48" s="78"/>
      <c r="C48" s="138" t="s">
        <v>1217</v>
      </c>
    </row>
    <row r="49" spans="1:7" s="24" customFormat="1" ht="14.25" customHeight="1" x14ac:dyDescent="0.35">
      <c r="A49" s="78"/>
      <c r="B49" s="78"/>
      <c r="C49" s="138" t="s">
        <v>1181</v>
      </c>
    </row>
    <row r="50" spans="1:7" s="24" customFormat="1" ht="14.25" customHeight="1" x14ac:dyDescent="0.35">
      <c r="A50" s="202" t="s">
        <v>46</v>
      </c>
      <c r="B50" s="202" t="s">
        <v>47</v>
      </c>
      <c r="C50" s="203" t="s">
        <v>450</v>
      </c>
    </row>
    <row r="51" spans="1:7" s="24" customFormat="1" ht="14.25" customHeight="1" x14ac:dyDescent="0.35">
      <c r="A51" s="139"/>
      <c r="B51" s="139"/>
      <c r="C51" s="138" t="s">
        <v>544</v>
      </c>
    </row>
    <row r="52" spans="1:7" s="24" customFormat="1" ht="14.25" customHeight="1" x14ac:dyDescent="0.35">
      <c r="A52" s="139"/>
      <c r="B52" s="139"/>
      <c r="C52" s="138" t="s">
        <v>1218</v>
      </c>
    </row>
    <row r="53" spans="1:7" s="24" customFormat="1" ht="14.25" customHeight="1" x14ac:dyDescent="0.35">
      <c r="A53" s="202" t="s">
        <v>46</v>
      </c>
      <c r="B53" s="202" t="s">
        <v>47</v>
      </c>
      <c r="C53" s="203" t="s">
        <v>500</v>
      </c>
    </row>
    <row r="54" spans="1:7" s="24" customFormat="1" ht="14.25" customHeight="1" x14ac:dyDescent="0.35">
      <c r="A54" s="202" t="s">
        <v>46</v>
      </c>
      <c r="B54" s="202" t="s">
        <v>47</v>
      </c>
      <c r="C54" s="203" t="s">
        <v>1038</v>
      </c>
    </row>
    <row r="55" spans="1:7" s="24" customFormat="1" ht="14.25" customHeight="1" x14ac:dyDescent="0.35">
      <c r="A55" s="78"/>
      <c r="B55" s="78"/>
      <c r="C55" s="138" t="s">
        <v>1029</v>
      </c>
    </row>
    <row r="56" spans="1:7" s="24" customFormat="1" ht="14.25" customHeight="1" x14ac:dyDescent="0.35">
      <c r="A56" s="139"/>
      <c r="B56" s="139"/>
      <c r="C56" s="138" t="s">
        <v>548</v>
      </c>
    </row>
    <row r="57" spans="1:7" s="24" customFormat="1" ht="14.25" customHeight="1" x14ac:dyDescent="0.35">
      <c r="A57" s="78"/>
      <c r="B57" s="78"/>
      <c r="C57" s="138" t="s">
        <v>643</v>
      </c>
    </row>
    <row r="58" spans="1:7" s="24" customFormat="1" ht="14.25" customHeight="1" x14ac:dyDescent="0.35">
      <c r="A58" s="139"/>
      <c r="B58" s="139"/>
      <c r="C58" s="138" t="s">
        <v>1039</v>
      </c>
    </row>
    <row r="59" spans="1:7" s="24" customFormat="1" ht="14.25" customHeight="1" x14ac:dyDescent="0.35">
      <c r="A59" s="139"/>
      <c r="B59" s="139"/>
      <c r="C59" s="138" t="s">
        <v>553</v>
      </c>
    </row>
    <row r="60" spans="1:7" s="24" customFormat="1" ht="14.25" customHeight="1" x14ac:dyDescent="0.35">
      <c r="A60" s="139"/>
      <c r="B60" s="139"/>
      <c r="C60" s="138" t="s">
        <v>1098</v>
      </c>
    </row>
    <row r="61" spans="1:7" s="24" customFormat="1" ht="14.25" customHeight="1" x14ac:dyDescent="0.35">
      <c r="A61" s="78"/>
      <c r="B61" s="78"/>
      <c r="C61" s="138" t="s">
        <v>205</v>
      </c>
    </row>
    <row r="62" spans="1:7" s="24" customFormat="1" ht="14.25" customHeight="1" x14ac:dyDescent="0.35">
      <c r="A62" s="78"/>
      <c r="B62" s="78"/>
      <c r="C62" s="138" t="s">
        <v>299</v>
      </c>
    </row>
    <row r="63" spans="1:7" s="24" customFormat="1" ht="14.25" customHeight="1" x14ac:dyDescent="0.35">
      <c r="A63" s="19"/>
      <c r="B63" s="19"/>
      <c r="C63" s="19"/>
    </row>
    <row r="64" spans="1:7" s="24" customFormat="1" ht="14.25" customHeight="1" x14ac:dyDescent="0.35">
      <c r="A64" s="19"/>
      <c r="B64" s="19"/>
      <c r="C64" s="19"/>
      <c r="D64" s="19"/>
      <c r="G64" s="19"/>
    </row>
  </sheetData>
  <hyperlinks>
    <hyperlink ref="C9" location="Content_Grade_Level" display="Content Grade Level" xr:uid="{00000000-0004-0000-0300-000000000000}"/>
    <hyperlink ref="C5" location="Border_Student" display="Border Student" xr:uid="{00000000-0004-0000-0300-000001000000}"/>
    <hyperlink ref="C6" location="Calendar_Type" display="Calendar Type" xr:uid="{00000000-0004-0000-0300-000002000000}"/>
    <hyperlink ref="C7" location="'CIP Codes'!A1" display="CIP Codes" xr:uid="{00000000-0004-0000-0300-000003000000}"/>
    <hyperlink ref="C10" location="Contract_Type" display="Contract Type" xr:uid="{00000000-0004-0000-0300-000004000000}"/>
    <hyperlink ref="C11" location="Country" display="Country" xr:uid="{00000000-0004-0000-0300-000005000000}"/>
    <hyperlink ref="C12" location="AssignmentCourse_Codes" display="Course Code" xr:uid="{00000000-0004-0000-0300-000006000000}"/>
    <hyperlink ref="C13" location="Course_Exit_Reason" display="Course Exit Reason" xr:uid="{00000000-0004-0000-0300-000007000000}"/>
    <hyperlink ref="C14" location="Course_Type" display="Course Type" xr:uid="{00000000-0004-0000-0300-000008000000}"/>
    <hyperlink ref="C15" location="Disciplinary_Action_Type" display="Disciplinary Action Type" xr:uid="{00000000-0004-0000-0300-000009000000}"/>
    <hyperlink ref="C19" location="Education_Degree" display="Education Degree" xr:uid="{00000000-0004-0000-0300-00000A000000}"/>
    <hyperlink ref="C20" location="Employment_Status" display="Employment Status" xr:uid="{00000000-0004-0000-0300-00000B000000}"/>
    <hyperlink ref="C21" location="Entry_Reasons" display="Entry Reasons" xr:uid="{00000000-0004-0000-0300-00000C000000}"/>
    <hyperlink ref="C22" location="Exceptionality" display="Exceptionality" xr:uid="{00000000-0004-0000-0300-00000D000000}"/>
    <hyperlink ref="C23" location="Exit_Reasons" display="Exit Reasons" xr:uid="{00000000-0004-0000-0300-00000E000000}"/>
    <hyperlink ref="C24" location="Extra_Pay_Type" display="Extra Pay Type" xr:uid="{00000000-0004-0000-0300-00000F000000}"/>
    <hyperlink ref="C27" location="Funding_Source" display="Funding Source" xr:uid="{00000000-0004-0000-0300-000010000000}"/>
    <hyperlink ref="C30" location="Grade_Level" display="Grade Level" xr:uid="{00000000-0004-0000-0300-000011000000}"/>
    <hyperlink ref="C31" location="Higher_Ed_Institutions" display="Higher Ed Institutions" xr:uid="{00000000-0004-0000-0300-000012000000}"/>
    <hyperlink ref="C32" location="Homeless_Residence" display="Homeless Residence" xr:uid="{00000000-0004-0000-0300-000013000000}"/>
    <hyperlink ref="C34" location="IDEA_Interim_Removal_Reason" display="IDEA Interim Removal Reason" xr:uid="{00000000-0004-0000-0300-000014000000}"/>
    <hyperlink ref="C36" location="Kindergarten_Session_Type" display="Kindergarten Session Type" xr:uid="{00000000-0004-0000-0300-000015000000}"/>
    <hyperlink ref="C37" location="Languages" display="Languages" xr:uid="{00000000-0004-0000-0300-000016000000}"/>
    <hyperlink ref="C18" location="Lunch_Status" display="Lunch Status" xr:uid="{00000000-0004-0000-0300-000018000000}"/>
    <hyperlink ref="C39" location="Modified_Duration_Reason" display="Modified Duration Reason" xr:uid="{00000000-0004-0000-0300-000019000000}"/>
    <hyperlink ref="C42" location="Parapro_High_School_Degree" display="Parapro High School Degree" xr:uid="{00000000-0004-0000-0300-00001A000000}"/>
    <hyperlink ref="C46" location="Program_Exit_Reason" display="Program Exit Reason" xr:uid="{00000000-0004-0000-0300-00001B000000}"/>
    <hyperlink ref="C47" location="Program_Status" display="Program Status" xr:uid="{00000000-0004-0000-0300-00001C000000}"/>
    <hyperlink ref="C51" location="Special_Ed_Determination_late" display="Special Ed Determination Late" xr:uid="{00000000-0004-0000-0300-00001D000000}"/>
    <hyperlink ref="C52" location="Special_Ed_Eligibility" display="Special Ed Eligibility" xr:uid="{00000000-0004-0000-0300-00001E000000}"/>
    <hyperlink ref="C53" location="Special_Ed_Environment" display="Special Ed Environment" xr:uid="{00000000-0004-0000-0300-00001F000000}"/>
    <hyperlink ref="C54" location="AssignmentCourse_Codes" display="Staff Assignment Code" xr:uid="{00000000-0004-0000-0300-000020000000}"/>
    <hyperlink ref="C55" location="Staff_Exit_Reason" display="Staff Exit Reason" xr:uid="{00000000-0004-0000-0300-000021000000}"/>
    <hyperlink ref="C56" location="State_Exception_Rule" display="State Exception Rule" xr:uid="{00000000-0004-0000-0300-000022000000}"/>
    <hyperlink ref="C57" location="State_Province" display="State Province" xr:uid="{00000000-0004-0000-0300-000023000000}"/>
    <hyperlink ref="C59" location="Undetermined_Reason" display="Undetermined Reason" xr:uid="{00000000-0004-0000-0300-000024000000}"/>
    <hyperlink ref="C60" location="Weapon_Type" display="Weapon Type" xr:uid="{00000000-0004-0000-0300-000025000000}"/>
    <hyperlink ref="C61" location="Yes_No" display="Yes/No" xr:uid="{00000000-0004-0000-0300-000026000000}"/>
    <hyperlink ref="C62" location="Yes_No_NA" display="Yes/No/NA" xr:uid="{00000000-0004-0000-0300-000027000000}"/>
    <hyperlink ref="C35" location="Instructional_Setting" display="Instructional Setting" xr:uid="{00000000-0004-0000-0300-000028000000}"/>
    <hyperlink ref="C33" location="Idaho_Counties" display="Idaho Counties" xr:uid="{00000000-0004-0000-0300-000029000000}"/>
    <hyperlink ref="C45" location="Program_Contact_Role" display="Program Contact Role" xr:uid="{00000000-0004-0000-0300-00002A000000}"/>
    <hyperlink ref="C44" location="Phone_Type" display="Phone Type" xr:uid="{00000000-0004-0000-0300-00002B000000}"/>
    <hyperlink ref="C48" location="Provider_Schools" display="Provider Schools" xr:uid="{00000000-0004-0000-0300-00002C000000}"/>
    <hyperlink ref="C16" location="Districts" display="District ID" xr:uid="{00000000-0004-0000-0300-00002D000000}"/>
    <hyperlink ref="C50" location="SchoolNumber" display="School ID" xr:uid="{00000000-0004-0000-0300-00002E000000}"/>
    <hyperlink ref="C28" location="Gender" display="Gender" xr:uid="{00000000-0004-0000-0300-00002F000000}"/>
    <hyperlink ref="C17" location="Early_Childhood_Determination" display="Early Childhood Determination Late" xr:uid="{00000000-0004-0000-0300-000030000000}"/>
    <hyperlink ref="C8" location="College_Credit" display="College Credit" xr:uid="{00000000-0004-0000-0300-000031000000}"/>
    <hyperlink ref="C29" location="Gifted_Exit_Reason" display="Gifted Exit Reason" xr:uid="{00000000-0004-0000-0300-000032000000}"/>
    <hyperlink ref="C38" location="Military_Connection" display="Military Connection" xr:uid="{00000000-0004-0000-0300-000033000000}"/>
    <hyperlink ref="C58" location="Teaching_Role" display="Teaching Role" xr:uid="{00000000-0004-0000-0300-000035000000}"/>
    <hyperlink ref="C43" location="PH_School" display="PH School" xr:uid="{0E3DB06E-A86D-4CF9-9040-98CD77BE4625}"/>
    <hyperlink ref="C4" location="Account_Code" display="Acount Code" xr:uid="{B253AD2F-DD36-4384-AD11-6440CEC49A17}"/>
    <hyperlink ref="C25" location="Function_Code" display="Function Code" xr:uid="{7AEF59B6-776A-403B-BA6E-550BEDEA468B}"/>
    <hyperlink ref="C26" location="Fund_Number" display="Fund Number" xr:uid="{5B3C7DA7-B856-4470-8391-185F3CC3725D}"/>
    <hyperlink ref="C40" location="Object_Code" display="Object Code" xr:uid="{9D32D7B5-FC47-4773-97F1-03EEB184268D}"/>
    <hyperlink ref="C49" location="Record_Type" display="Record Type" xr:uid="{25D78B50-62B8-4D5F-BE25-A3AADB9798F6}"/>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sheetPr>
  <dimension ref="A1:ATX1503"/>
  <sheetViews>
    <sheetView zoomScale="90" zoomScaleNormal="90" workbookViewId="0">
      <pane ySplit="1" topLeftCell="A2" activePane="bottomLeft" state="frozen"/>
      <selection pane="bottomLeft" activeCell="A1479" sqref="A1479"/>
    </sheetView>
  </sheetViews>
  <sheetFormatPr defaultColWidth="22" defaultRowHeight="12.75" customHeight="1" outlineLevelRow="1" x14ac:dyDescent="0.35"/>
  <cols>
    <col min="1" max="1" width="24.81640625" style="5" customWidth="1"/>
    <col min="2" max="2" width="22" style="103"/>
    <col min="3" max="3" width="32.81640625" style="5" customWidth="1"/>
    <col min="4" max="4" width="58.453125" style="137" customWidth="1"/>
    <col min="5" max="5" width="36" style="76" customWidth="1"/>
    <col min="6" max="16384" width="22" style="5"/>
  </cols>
  <sheetData>
    <row r="1" spans="1:5" ht="14.5" customHeight="1" thickBot="1" x14ac:dyDescent="0.4">
      <c r="A1" s="28" t="s">
        <v>76</v>
      </c>
      <c r="B1" s="28" t="s">
        <v>1219</v>
      </c>
      <c r="C1" s="28" t="s">
        <v>1220</v>
      </c>
      <c r="D1" s="28" t="s">
        <v>1221</v>
      </c>
      <c r="E1" s="28" t="s">
        <v>1222</v>
      </c>
    </row>
    <row r="2" spans="1:5" ht="12.75" customHeight="1" x14ac:dyDescent="0.35">
      <c r="A2" s="76" t="s">
        <v>1198</v>
      </c>
      <c r="B2" s="99" t="s">
        <v>1223</v>
      </c>
      <c r="C2" s="76" t="s">
        <v>1224</v>
      </c>
      <c r="D2" s="141"/>
    </row>
    <row r="3" spans="1:5" ht="12.75" customHeight="1" x14ac:dyDescent="0.35">
      <c r="A3" s="76" t="s">
        <v>1198</v>
      </c>
      <c r="B3" s="99" t="s">
        <v>1225</v>
      </c>
      <c r="C3" s="76" t="s">
        <v>1226</v>
      </c>
      <c r="D3" s="141"/>
    </row>
    <row r="4" spans="1:5" ht="12.75" customHeight="1" x14ac:dyDescent="0.35">
      <c r="A4" s="76" t="s">
        <v>1198</v>
      </c>
      <c r="B4" s="99" t="s">
        <v>1227</v>
      </c>
      <c r="C4" s="76" t="s">
        <v>1228</v>
      </c>
      <c r="D4" s="141"/>
    </row>
    <row r="5" spans="1:5" ht="12.75" customHeight="1" x14ac:dyDescent="0.35">
      <c r="A5" s="76" t="s">
        <v>1198</v>
      </c>
      <c r="B5" s="99" t="s">
        <v>1229</v>
      </c>
      <c r="C5" s="76" t="s">
        <v>1230</v>
      </c>
      <c r="D5" s="141"/>
    </row>
    <row r="6" spans="1:5" ht="12.75" customHeight="1" x14ac:dyDescent="0.35">
      <c r="A6" s="76" t="s">
        <v>1198</v>
      </c>
      <c r="B6" s="99" t="s">
        <v>1231</v>
      </c>
      <c r="C6" s="76" t="s">
        <v>1232</v>
      </c>
      <c r="D6" s="141"/>
    </row>
    <row r="7" spans="1:5" ht="12.75" customHeight="1" x14ac:dyDescent="0.35">
      <c r="A7" s="76" t="s">
        <v>1198</v>
      </c>
      <c r="B7" s="99" t="s">
        <v>1233</v>
      </c>
      <c r="C7" s="76" t="s">
        <v>1234</v>
      </c>
      <c r="D7" s="141"/>
    </row>
    <row r="8" spans="1:5" ht="12.75" customHeight="1" x14ac:dyDescent="0.35">
      <c r="A8" s="76" t="s">
        <v>1198</v>
      </c>
      <c r="B8" s="99" t="s">
        <v>1235</v>
      </c>
      <c r="C8" s="76" t="s">
        <v>1236</v>
      </c>
      <c r="D8" s="141"/>
    </row>
    <row r="9" spans="1:5" ht="12.75" customHeight="1" x14ac:dyDescent="0.35">
      <c r="A9" s="76" t="s">
        <v>1198</v>
      </c>
      <c r="B9" s="99" t="s">
        <v>1237</v>
      </c>
      <c r="C9" s="76" t="s">
        <v>1238</v>
      </c>
      <c r="D9" s="141"/>
    </row>
    <row r="10" spans="1:5" ht="12.75" customHeight="1" x14ac:dyDescent="0.35">
      <c r="A10" s="76" t="s">
        <v>1198</v>
      </c>
      <c r="B10" s="99" t="s">
        <v>1239</v>
      </c>
      <c r="C10" s="76" t="s">
        <v>1240</v>
      </c>
      <c r="D10" s="141"/>
    </row>
    <row r="11" spans="1:5" ht="12.75" customHeight="1" x14ac:dyDescent="0.35">
      <c r="A11" s="76" t="s">
        <v>1198</v>
      </c>
      <c r="B11" s="99" t="s">
        <v>1241</v>
      </c>
      <c r="C11" s="76" t="s">
        <v>1242</v>
      </c>
      <c r="D11" s="141"/>
    </row>
    <row r="12" spans="1:5" ht="12.75" customHeight="1" x14ac:dyDescent="0.35">
      <c r="A12" s="76" t="s">
        <v>1198</v>
      </c>
      <c r="B12" s="99" t="s">
        <v>1243</v>
      </c>
      <c r="C12" s="76" t="s">
        <v>1244</v>
      </c>
      <c r="D12" s="141"/>
    </row>
    <row r="13" spans="1:5" ht="12.75" customHeight="1" x14ac:dyDescent="0.35">
      <c r="A13" s="76" t="s">
        <v>1198</v>
      </c>
      <c r="B13" s="99" t="s">
        <v>1245</v>
      </c>
      <c r="C13" s="76" t="s">
        <v>1246</v>
      </c>
      <c r="D13" s="141"/>
    </row>
    <row r="14" spans="1:5" ht="12.75" customHeight="1" x14ac:dyDescent="0.35">
      <c r="A14" s="76" t="s">
        <v>1198</v>
      </c>
      <c r="B14" s="99" t="s">
        <v>1247</v>
      </c>
      <c r="C14" s="76" t="s">
        <v>1248</v>
      </c>
      <c r="D14" s="141"/>
    </row>
    <row r="15" spans="1:5" ht="12.75" customHeight="1" x14ac:dyDescent="0.35">
      <c r="A15" s="76" t="s">
        <v>1198</v>
      </c>
      <c r="B15" s="99" t="s">
        <v>1249</v>
      </c>
      <c r="C15" s="76" t="s">
        <v>1250</v>
      </c>
      <c r="D15" s="141"/>
    </row>
    <row r="16" spans="1:5" ht="12.75" customHeight="1" x14ac:dyDescent="0.35">
      <c r="A16" s="76" t="s">
        <v>1198</v>
      </c>
      <c r="B16" s="99" t="s">
        <v>1251</v>
      </c>
      <c r="C16" s="76" t="s">
        <v>1252</v>
      </c>
      <c r="D16" s="141"/>
    </row>
    <row r="17" spans="1:4" ht="12.75" customHeight="1" x14ac:dyDescent="0.35">
      <c r="A17" s="76" t="s">
        <v>1198</v>
      </c>
      <c r="B17" s="99" t="s">
        <v>1253</v>
      </c>
      <c r="C17" s="76" t="s">
        <v>1254</v>
      </c>
      <c r="D17" s="141"/>
    </row>
    <row r="18" spans="1:4" ht="12.75" customHeight="1" x14ac:dyDescent="0.35">
      <c r="A18" s="76" t="s">
        <v>1198</v>
      </c>
      <c r="B18" s="99" t="s">
        <v>1255</v>
      </c>
      <c r="C18" s="76" t="s">
        <v>1256</v>
      </c>
      <c r="D18" s="141"/>
    </row>
    <row r="19" spans="1:4" ht="12.75" customHeight="1" x14ac:dyDescent="0.35">
      <c r="A19" s="76" t="s">
        <v>1198</v>
      </c>
      <c r="B19" s="99" t="s">
        <v>1257</v>
      </c>
      <c r="C19" s="76" t="s">
        <v>1258</v>
      </c>
      <c r="D19" s="141"/>
    </row>
    <row r="20" spans="1:4" ht="12.75" customHeight="1" x14ac:dyDescent="0.35">
      <c r="A20" s="76" t="s">
        <v>1198</v>
      </c>
      <c r="B20" s="99" t="s">
        <v>1259</v>
      </c>
      <c r="C20" s="76" t="s">
        <v>1260</v>
      </c>
      <c r="D20" s="141"/>
    </row>
    <row r="21" spans="1:4" ht="12.75" customHeight="1" x14ac:dyDescent="0.35">
      <c r="A21" s="76" t="s">
        <v>1198</v>
      </c>
      <c r="B21" s="99" t="s">
        <v>1261</v>
      </c>
      <c r="C21" s="76" t="s">
        <v>1262</v>
      </c>
      <c r="D21" s="141"/>
    </row>
    <row r="22" spans="1:4" ht="12.75" customHeight="1" x14ac:dyDescent="0.35">
      <c r="A22" s="76" t="s">
        <v>1198</v>
      </c>
      <c r="B22" s="99" t="s">
        <v>1263</v>
      </c>
      <c r="C22" s="76" t="s">
        <v>1264</v>
      </c>
      <c r="D22" s="141"/>
    </row>
    <row r="23" spans="1:4" ht="12.75" customHeight="1" x14ac:dyDescent="0.35">
      <c r="A23" s="76" t="s">
        <v>1198</v>
      </c>
      <c r="B23" s="99" t="s">
        <v>1265</v>
      </c>
      <c r="C23" s="76" t="s">
        <v>1266</v>
      </c>
      <c r="D23" s="141"/>
    </row>
    <row r="24" spans="1:4" ht="12.75" customHeight="1" x14ac:dyDescent="0.35">
      <c r="A24" s="76" t="s">
        <v>1198</v>
      </c>
      <c r="B24" s="99" t="s">
        <v>1267</v>
      </c>
      <c r="C24" s="76" t="s">
        <v>1268</v>
      </c>
      <c r="D24" s="141"/>
    </row>
    <row r="25" spans="1:4" ht="12.75" customHeight="1" x14ac:dyDescent="0.35">
      <c r="A25" s="76" t="s">
        <v>1198</v>
      </c>
      <c r="B25" s="99" t="s">
        <v>1269</v>
      </c>
      <c r="C25" s="76" t="s">
        <v>1270</v>
      </c>
      <c r="D25" s="141"/>
    </row>
    <row r="26" spans="1:4" ht="12.75" customHeight="1" x14ac:dyDescent="0.35">
      <c r="A26" s="76" t="s">
        <v>1198</v>
      </c>
      <c r="B26" s="99" t="s">
        <v>1271</v>
      </c>
      <c r="C26" s="76" t="s">
        <v>1272</v>
      </c>
      <c r="D26" s="141"/>
    </row>
    <row r="27" spans="1:4" ht="12.75" customHeight="1" x14ac:dyDescent="0.35">
      <c r="A27" s="76" t="s">
        <v>1198</v>
      </c>
      <c r="B27" s="99" t="s">
        <v>1273</v>
      </c>
      <c r="C27" s="76" t="s">
        <v>1274</v>
      </c>
      <c r="D27" s="141"/>
    </row>
    <row r="28" spans="1:4" ht="12.75" customHeight="1" x14ac:dyDescent="0.35">
      <c r="A28" s="76" t="s">
        <v>1198</v>
      </c>
      <c r="B28" s="99" t="s">
        <v>1275</v>
      </c>
      <c r="C28" s="76" t="s">
        <v>1276</v>
      </c>
      <c r="D28" s="141"/>
    </row>
    <row r="29" spans="1:4" ht="12.75" customHeight="1" x14ac:dyDescent="0.35">
      <c r="A29" s="76" t="s">
        <v>1198</v>
      </c>
      <c r="B29" s="99" t="s">
        <v>1277</v>
      </c>
      <c r="C29" s="76" t="s">
        <v>1278</v>
      </c>
      <c r="D29" s="141"/>
    </row>
    <row r="30" spans="1:4" ht="12.75" customHeight="1" x14ac:dyDescent="0.35">
      <c r="A30" s="76" t="s">
        <v>1198</v>
      </c>
      <c r="B30" s="99" t="s">
        <v>1279</v>
      </c>
      <c r="C30" s="76" t="s">
        <v>1280</v>
      </c>
      <c r="D30" s="141"/>
    </row>
    <row r="31" spans="1:4" ht="12.75" customHeight="1" x14ac:dyDescent="0.35">
      <c r="A31" s="76" t="s">
        <v>1198</v>
      </c>
      <c r="B31" s="99" t="s">
        <v>1281</v>
      </c>
      <c r="C31" s="76" t="s">
        <v>1282</v>
      </c>
      <c r="D31" s="141"/>
    </row>
    <row r="32" spans="1:4" ht="12.75" customHeight="1" x14ac:dyDescent="0.35">
      <c r="A32" s="76" t="s">
        <v>1198</v>
      </c>
      <c r="B32" s="99" t="s">
        <v>1283</v>
      </c>
      <c r="C32" s="76" t="s">
        <v>1284</v>
      </c>
      <c r="D32" s="141"/>
    </row>
    <row r="33" spans="1:4" ht="12.75" customHeight="1" x14ac:dyDescent="0.35">
      <c r="A33" s="76" t="s">
        <v>1198</v>
      </c>
      <c r="B33" s="99">
        <v>310900</v>
      </c>
      <c r="C33" s="76" t="s">
        <v>1285</v>
      </c>
      <c r="D33" s="141"/>
    </row>
    <row r="34" spans="1:4" ht="12.75" customHeight="1" x14ac:dyDescent="0.35">
      <c r="A34" s="76" t="s">
        <v>1198</v>
      </c>
      <c r="B34" s="99" t="s">
        <v>1286</v>
      </c>
      <c r="C34" s="76" t="s">
        <v>1287</v>
      </c>
      <c r="D34" s="141"/>
    </row>
    <row r="35" spans="1:4" ht="12.75" customHeight="1" x14ac:dyDescent="0.35">
      <c r="A35" s="76" t="s">
        <v>1198</v>
      </c>
      <c r="B35" s="99" t="s">
        <v>1288</v>
      </c>
      <c r="C35" s="76" t="s">
        <v>1289</v>
      </c>
      <c r="D35" s="141"/>
    </row>
    <row r="36" spans="1:4" ht="12.75" customHeight="1" x14ac:dyDescent="0.35">
      <c r="A36" s="76" t="s">
        <v>1198</v>
      </c>
      <c r="B36" s="99" t="s">
        <v>1290</v>
      </c>
      <c r="C36" s="76" t="s">
        <v>1291</v>
      </c>
      <c r="D36" s="141"/>
    </row>
    <row r="37" spans="1:4" ht="12.75" customHeight="1" x14ac:dyDescent="0.35">
      <c r="A37" s="76" t="s">
        <v>1198</v>
      </c>
      <c r="B37" s="99" t="s">
        <v>1292</v>
      </c>
      <c r="C37" s="76" t="s">
        <v>1293</v>
      </c>
      <c r="D37" s="141"/>
    </row>
    <row r="38" spans="1:4" ht="12.75" customHeight="1" x14ac:dyDescent="0.35">
      <c r="A38" s="76" t="s">
        <v>1198</v>
      </c>
      <c r="B38" s="99" t="s">
        <v>1294</v>
      </c>
      <c r="C38" s="76" t="s">
        <v>1295</v>
      </c>
      <c r="D38" s="141"/>
    </row>
    <row r="39" spans="1:4" ht="12.75" customHeight="1" x14ac:dyDescent="0.35">
      <c r="A39" s="76" t="s">
        <v>1198</v>
      </c>
      <c r="B39" s="99" t="s">
        <v>1296</v>
      </c>
      <c r="C39" s="76" t="s">
        <v>1297</v>
      </c>
      <c r="D39" s="141"/>
    </row>
    <row r="40" spans="1:4" ht="12.75" customHeight="1" x14ac:dyDescent="0.35">
      <c r="A40" s="76" t="s">
        <v>1198</v>
      </c>
      <c r="B40" s="99" t="s">
        <v>1298</v>
      </c>
      <c r="C40" s="76" t="s">
        <v>1299</v>
      </c>
      <c r="D40" s="141"/>
    </row>
    <row r="41" spans="1:4" ht="12.75" customHeight="1" x14ac:dyDescent="0.35">
      <c r="A41" s="76" t="s">
        <v>1198</v>
      </c>
      <c r="B41" s="99" t="s">
        <v>1300</v>
      </c>
      <c r="C41" s="76" t="s">
        <v>1301</v>
      </c>
      <c r="D41" s="141"/>
    </row>
    <row r="42" spans="1:4" ht="12.75" customHeight="1" x14ac:dyDescent="0.35">
      <c r="A42" s="76" t="s">
        <v>1198</v>
      </c>
      <c r="B42" s="99" t="s">
        <v>1302</v>
      </c>
      <c r="C42" s="76" t="s">
        <v>1303</v>
      </c>
      <c r="D42" s="141"/>
    </row>
    <row r="43" spans="1:4" ht="12.75" customHeight="1" x14ac:dyDescent="0.35">
      <c r="A43" s="76" t="s">
        <v>1198</v>
      </c>
      <c r="B43" s="99" t="s">
        <v>1304</v>
      </c>
      <c r="C43" s="76" t="s">
        <v>1305</v>
      </c>
      <c r="D43" s="141"/>
    </row>
    <row r="44" spans="1:4" ht="12.75" customHeight="1" x14ac:dyDescent="0.35">
      <c r="A44" s="76" t="s">
        <v>1198</v>
      </c>
      <c r="B44" s="99" t="s">
        <v>1306</v>
      </c>
      <c r="C44" s="76" t="s">
        <v>1307</v>
      </c>
      <c r="D44" s="141"/>
    </row>
    <row r="45" spans="1:4" ht="12.75" customHeight="1" x14ac:dyDescent="0.35">
      <c r="A45" s="76" t="s">
        <v>1198</v>
      </c>
      <c r="B45" s="99" t="s">
        <v>1308</v>
      </c>
      <c r="C45" s="76" t="s">
        <v>1309</v>
      </c>
      <c r="D45" s="141"/>
    </row>
    <row r="46" spans="1:4" ht="12.75" customHeight="1" x14ac:dyDescent="0.35">
      <c r="A46" s="76" t="s">
        <v>1198</v>
      </c>
      <c r="B46" s="99" t="s">
        <v>1310</v>
      </c>
      <c r="C46" s="76" t="s">
        <v>1311</v>
      </c>
      <c r="D46" s="141"/>
    </row>
    <row r="47" spans="1:4" ht="12.75" customHeight="1" x14ac:dyDescent="0.35">
      <c r="A47" s="76" t="s">
        <v>1198</v>
      </c>
      <c r="B47" s="99" t="s">
        <v>1312</v>
      </c>
      <c r="C47" s="76" t="s">
        <v>1313</v>
      </c>
      <c r="D47" s="141"/>
    </row>
    <row r="48" spans="1:4" ht="12.75" customHeight="1" x14ac:dyDescent="0.35">
      <c r="A48" s="76" t="s">
        <v>1198</v>
      </c>
      <c r="B48" s="99" t="s">
        <v>1314</v>
      </c>
      <c r="C48" s="76" t="s">
        <v>1315</v>
      </c>
      <c r="D48" s="141"/>
    </row>
    <row r="49" spans="1:4" ht="12.75" customHeight="1" x14ac:dyDescent="0.35">
      <c r="A49" s="76" t="s">
        <v>1198</v>
      </c>
      <c r="B49" s="99" t="s">
        <v>1316</v>
      </c>
      <c r="C49" s="76" t="s">
        <v>1317</v>
      </c>
      <c r="D49" s="141"/>
    </row>
    <row r="50" spans="1:4" ht="12.75" customHeight="1" x14ac:dyDescent="0.35">
      <c r="A50" s="76" t="s">
        <v>1198</v>
      </c>
      <c r="B50" s="99" t="s">
        <v>1318</v>
      </c>
      <c r="C50" s="76" t="s">
        <v>1319</v>
      </c>
      <c r="D50" s="141"/>
    </row>
    <row r="51" spans="1:4" ht="12.75" customHeight="1" x14ac:dyDescent="0.35">
      <c r="A51" s="76" t="s">
        <v>1198</v>
      </c>
      <c r="B51" s="99" t="s">
        <v>1320</v>
      </c>
      <c r="C51" s="76" t="s">
        <v>1321</v>
      </c>
      <c r="D51" s="141"/>
    </row>
    <row r="52" spans="1:4" ht="12.75" customHeight="1" x14ac:dyDescent="0.35">
      <c r="A52" s="76" t="s">
        <v>1198</v>
      </c>
      <c r="B52" s="99" t="s">
        <v>1322</v>
      </c>
      <c r="C52" s="76" t="s">
        <v>1323</v>
      </c>
      <c r="D52" s="141"/>
    </row>
    <row r="53" spans="1:4" ht="12.75" customHeight="1" x14ac:dyDescent="0.35">
      <c r="A53" s="76" t="s">
        <v>1198</v>
      </c>
      <c r="B53" s="99" t="s">
        <v>1324</v>
      </c>
      <c r="C53" s="76" t="s">
        <v>1325</v>
      </c>
      <c r="D53" s="141"/>
    </row>
    <row r="54" spans="1:4" ht="12.75" customHeight="1" x14ac:dyDescent="0.35">
      <c r="A54" s="76" t="s">
        <v>1198</v>
      </c>
      <c r="B54" s="99" t="s">
        <v>1326</v>
      </c>
      <c r="C54" s="76" t="s">
        <v>1327</v>
      </c>
      <c r="D54" s="141"/>
    </row>
    <row r="55" spans="1:4" ht="12.75" customHeight="1" x14ac:dyDescent="0.35">
      <c r="A55" s="76" t="s">
        <v>1198</v>
      </c>
      <c r="B55" s="99" t="s">
        <v>1328</v>
      </c>
      <c r="C55" s="76" t="s">
        <v>1329</v>
      </c>
      <c r="D55" s="141"/>
    </row>
    <row r="56" spans="1:4" ht="12.75" customHeight="1" x14ac:dyDescent="0.35">
      <c r="A56" s="76" t="s">
        <v>1198</v>
      </c>
      <c r="B56" s="99" t="s">
        <v>1330</v>
      </c>
      <c r="C56" s="76" t="s">
        <v>1331</v>
      </c>
      <c r="D56" s="141"/>
    </row>
    <row r="57" spans="1:4" ht="12.75" customHeight="1" x14ac:dyDescent="0.35">
      <c r="A57" s="76" t="s">
        <v>1198</v>
      </c>
      <c r="B57" s="99" t="s">
        <v>1332</v>
      </c>
      <c r="C57" s="76" t="s">
        <v>1333</v>
      </c>
      <c r="D57" s="141"/>
    </row>
    <row r="58" spans="1:4" ht="12.75" customHeight="1" x14ac:dyDescent="0.35">
      <c r="A58" s="76" t="s">
        <v>1198</v>
      </c>
      <c r="B58" s="99" t="s">
        <v>1334</v>
      </c>
      <c r="C58" s="76" t="s">
        <v>1335</v>
      </c>
      <c r="D58" s="141"/>
    </row>
    <row r="59" spans="1:4" ht="12.75" customHeight="1" x14ac:dyDescent="0.35">
      <c r="A59" s="76" t="s">
        <v>1198</v>
      </c>
      <c r="B59" s="99" t="s">
        <v>1336</v>
      </c>
      <c r="C59" s="76" t="s">
        <v>1337</v>
      </c>
      <c r="D59" s="141"/>
    </row>
    <row r="60" spans="1:4" ht="12.75" customHeight="1" x14ac:dyDescent="0.35">
      <c r="A60" s="76" t="s">
        <v>1198</v>
      </c>
      <c r="B60" s="99" t="s">
        <v>1338</v>
      </c>
      <c r="C60" s="76" t="s">
        <v>1339</v>
      </c>
      <c r="D60" s="141"/>
    </row>
    <row r="61" spans="1:4" ht="12.75" customHeight="1" x14ac:dyDescent="0.35">
      <c r="A61" s="76" t="s">
        <v>1198</v>
      </c>
      <c r="B61" s="99" t="s">
        <v>1340</v>
      </c>
      <c r="C61" s="76" t="s">
        <v>1341</v>
      </c>
      <c r="D61" s="141"/>
    </row>
    <row r="62" spans="1:4" ht="12.75" customHeight="1" x14ac:dyDescent="0.35">
      <c r="A62" s="76" t="s">
        <v>1198</v>
      </c>
      <c r="B62" s="99" t="s">
        <v>1342</v>
      </c>
      <c r="C62" s="76" t="s">
        <v>1343</v>
      </c>
      <c r="D62" s="141"/>
    </row>
    <row r="63" spans="1:4" ht="12.75" customHeight="1" x14ac:dyDescent="0.35">
      <c r="A63" s="76" t="s">
        <v>1198</v>
      </c>
      <c r="B63" s="99" t="s">
        <v>1344</v>
      </c>
      <c r="C63" s="76" t="s">
        <v>1345</v>
      </c>
      <c r="D63" s="141"/>
    </row>
    <row r="64" spans="1:4" ht="12.75" customHeight="1" x14ac:dyDescent="0.35">
      <c r="A64" s="76" t="s">
        <v>1198</v>
      </c>
      <c r="B64" s="99" t="s">
        <v>1346</v>
      </c>
      <c r="C64" s="76" t="s">
        <v>1347</v>
      </c>
      <c r="D64" s="141"/>
    </row>
    <row r="65" spans="1:4" ht="12.75" customHeight="1" x14ac:dyDescent="0.35">
      <c r="A65" s="76" t="s">
        <v>1198</v>
      </c>
      <c r="B65" s="99" t="s">
        <v>1348</v>
      </c>
      <c r="C65" s="76" t="s">
        <v>1349</v>
      </c>
      <c r="D65" s="141"/>
    </row>
    <row r="66" spans="1:4" ht="12.75" customHeight="1" x14ac:dyDescent="0.35">
      <c r="A66" s="76" t="s">
        <v>1198</v>
      </c>
      <c r="B66" s="99" t="s">
        <v>1350</v>
      </c>
      <c r="C66" s="76" t="s">
        <v>1351</v>
      </c>
      <c r="D66" s="141"/>
    </row>
    <row r="67" spans="1:4" ht="12.75" customHeight="1" x14ac:dyDescent="0.35">
      <c r="A67" s="76" t="s">
        <v>1198</v>
      </c>
      <c r="B67" s="99" t="s">
        <v>1352</v>
      </c>
      <c r="C67" s="76" t="s">
        <v>1353</v>
      </c>
      <c r="D67" s="141"/>
    </row>
    <row r="68" spans="1:4" ht="12.75" customHeight="1" x14ac:dyDescent="0.35">
      <c r="A68" s="76" t="s">
        <v>1198</v>
      </c>
      <c r="B68" s="99" t="s">
        <v>1354</v>
      </c>
      <c r="C68" s="76" t="s">
        <v>1355</v>
      </c>
      <c r="D68" s="141"/>
    </row>
    <row r="69" spans="1:4" ht="12.75" customHeight="1" x14ac:dyDescent="0.35">
      <c r="A69" s="76" t="s">
        <v>1198</v>
      </c>
      <c r="B69" s="99" t="s">
        <v>1356</v>
      </c>
      <c r="C69" s="76" t="s">
        <v>1357</v>
      </c>
      <c r="D69" s="141"/>
    </row>
    <row r="70" spans="1:4" ht="12.75" customHeight="1" x14ac:dyDescent="0.35">
      <c r="A70" s="76" t="s">
        <v>1198</v>
      </c>
      <c r="B70" s="99" t="s">
        <v>1358</v>
      </c>
      <c r="C70" s="76" t="s">
        <v>1359</v>
      </c>
      <c r="D70" s="141"/>
    </row>
    <row r="71" spans="1:4" ht="12.75" customHeight="1" x14ac:dyDescent="0.35">
      <c r="A71" s="76" t="s">
        <v>1198</v>
      </c>
      <c r="B71" s="99" t="s">
        <v>1360</v>
      </c>
      <c r="C71" s="76" t="s">
        <v>1361</v>
      </c>
      <c r="D71" s="141"/>
    </row>
    <row r="72" spans="1:4" ht="12.75" customHeight="1" x14ac:dyDescent="0.35">
      <c r="A72" s="76" t="s">
        <v>1198</v>
      </c>
      <c r="B72" s="99" t="s">
        <v>1362</v>
      </c>
      <c r="C72" s="76" t="s">
        <v>1363</v>
      </c>
      <c r="D72" s="141"/>
    </row>
    <row r="73" spans="1:4" ht="12.75" customHeight="1" x14ac:dyDescent="0.35">
      <c r="A73" s="76" t="s">
        <v>1198</v>
      </c>
      <c r="B73" s="99" t="s">
        <v>1364</v>
      </c>
      <c r="C73" s="76" t="s">
        <v>1365</v>
      </c>
      <c r="D73" s="141"/>
    </row>
    <row r="74" spans="1:4" ht="12.75" customHeight="1" x14ac:dyDescent="0.35">
      <c r="A74" s="76" t="s">
        <v>1198</v>
      </c>
      <c r="B74" s="99" t="s">
        <v>1366</v>
      </c>
      <c r="C74" s="76" t="s">
        <v>1367</v>
      </c>
      <c r="D74" s="141"/>
    </row>
    <row r="75" spans="1:4" ht="12.75" customHeight="1" x14ac:dyDescent="0.35">
      <c r="A75" s="76" t="s">
        <v>1198</v>
      </c>
      <c r="B75" s="99" t="s">
        <v>1368</v>
      </c>
      <c r="C75" s="76" t="s">
        <v>1369</v>
      </c>
      <c r="D75" s="141"/>
    </row>
    <row r="76" spans="1:4" ht="12.75" customHeight="1" x14ac:dyDescent="0.35">
      <c r="A76" s="76" t="s">
        <v>1198</v>
      </c>
      <c r="B76" s="99" t="s">
        <v>1370</v>
      </c>
      <c r="C76" s="76" t="s">
        <v>1371</v>
      </c>
      <c r="D76" s="141"/>
    </row>
    <row r="77" spans="1:4" ht="12.75" customHeight="1" x14ac:dyDescent="0.35">
      <c r="A77" s="76" t="s">
        <v>1198</v>
      </c>
      <c r="B77" s="99" t="s">
        <v>1372</v>
      </c>
      <c r="C77" s="76" t="s">
        <v>1373</v>
      </c>
      <c r="D77" s="141"/>
    </row>
    <row r="78" spans="1:4" ht="12.75" customHeight="1" x14ac:dyDescent="0.35">
      <c r="A78" s="76" t="s">
        <v>1198</v>
      </c>
      <c r="B78" s="99" t="s">
        <v>1374</v>
      </c>
      <c r="C78" s="76" t="s">
        <v>1375</v>
      </c>
      <c r="D78" s="141"/>
    </row>
    <row r="79" spans="1:4" ht="12.75" customHeight="1" x14ac:dyDescent="0.35">
      <c r="A79" s="76" t="s">
        <v>1198</v>
      </c>
      <c r="B79" s="99" t="s">
        <v>1376</v>
      </c>
      <c r="C79" s="76" t="s">
        <v>1377</v>
      </c>
      <c r="D79" s="141"/>
    </row>
    <row r="80" spans="1:4" ht="12.75" customHeight="1" x14ac:dyDescent="0.35">
      <c r="A80" s="76" t="s">
        <v>1198</v>
      </c>
      <c r="B80" s="99" t="s">
        <v>1378</v>
      </c>
      <c r="C80" s="76" t="s">
        <v>1379</v>
      </c>
      <c r="D80" s="141"/>
    </row>
    <row r="81" spans="1:4" ht="12.75" customHeight="1" x14ac:dyDescent="0.35">
      <c r="A81" s="76" t="s">
        <v>1198</v>
      </c>
      <c r="B81" s="99" t="s">
        <v>1380</v>
      </c>
      <c r="C81" s="76" t="s">
        <v>1381</v>
      </c>
      <c r="D81" s="141"/>
    </row>
    <row r="82" spans="1:4" ht="12.75" customHeight="1" x14ac:dyDescent="0.35">
      <c r="A82" s="76" t="s">
        <v>1198</v>
      </c>
      <c r="B82" s="99" t="s">
        <v>1382</v>
      </c>
      <c r="C82" s="76" t="s">
        <v>1383</v>
      </c>
      <c r="D82" s="141"/>
    </row>
    <row r="83" spans="1:4" ht="12.75" customHeight="1" x14ac:dyDescent="0.35">
      <c r="A83" s="76" t="s">
        <v>1198</v>
      </c>
      <c r="B83" s="99" t="s">
        <v>1384</v>
      </c>
      <c r="C83" s="76" t="s">
        <v>1385</v>
      </c>
      <c r="D83" s="141"/>
    </row>
    <row r="84" spans="1:4" ht="12.75" customHeight="1" x14ac:dyDescent="0.35">
      <c r="A84" s="76" t="s">
        <v>1198</v>
      </c>
      <c r="B84" s="99" t="s">
        <v>1386</v>
      </c>
      <c r="C84" s="76" t="s">
        <v>1387</v>
      </c>
      <c r="D84" s="141"/>
    </row>
    <row r="85" spans="1:4" ht="12.75" customHeight="1" x14ac:dyDescent="0.35">
      <c r="A85" s="76" t="s">
        <v>1198</v>
      </c>
      <c r="B85" s="99" t="s">
        <v>1388</v>
      </c>
      <c r="C85" s="76" t="s">
        <v>1389</v>
      </c>
      <c r="D85" s="141"/>
    </row>
    <row r="86" spans="1:4" ht="12.75" customHeight="1" x14ac:dyDescent="0.35">
      <c r="A86" s="76" t="s">
        <v>1198</v>
      </c>
      <c r="B86" s="99" t="s">
        <v>1390</v>
      </c>
      <c r="C86" s="76" t="s">
        <v>1391</v>
      </c>
      <c r="D86" s="141"/>
    </row>
    <row r="87" spans="1:4" ht="12.75" customHeight="1" x14ac:dyDescent="0.35">
      <c r="A87" s="76" t="s">
        <v>1198</v>
      </c>
      <c r="B87" s="99" t="s">
        <v>1392</v>
      </c>
      <c r="C87" s="76" t="s">
        <v>1393</v>
      </c>
      <c r="D87" s="141"/>
    </row>
    <row r="88" spans="1:4" ht="12.75" customHeight="1" x14ac:dyDescent="0.35">
      <c r="A88" s="76" t="s">
        <v>1198</v>
      </c>
      <c r="B88" s="99" t="s">
        <v>1394</v>
      </c>
      <c r="C88" s="76" t="s">
        <v>1395</v>
      </c>
      <c r="D88" s="141"/>
    </row>
    <row r="89" spans="1:4" ht="12.75" customHeight="1" x14ac:dyDescent="0.35">
      <c r="A89" s="76" t="s">
        <v>1198</v>
      </c>
      <c r="B89" s="99" t="s">
        <v>1396</v>
      </c>
      <c r="C89" s="76" t="s">
        <v>1397</v>
      </c>
      <c r="D89" s="141"/>
    </row>
    <row r="90" spans="1:4" ht="12.75" customHeight="1" x14ac:dyDescent="0.35">
      <c r="A90" s="76" t="s">
        <v>1198</v>
      </c>
      <c r="B90" s="99" t="s">
        <v>1398</v>
      </c>
      <c r="C90" s="76" t="s">
        <v>1399</v>
      </c>
      <c r="D90" s="141"/>
    </row>
    <row r="91" spans="1:4" ht="12.75" customHeight="1" x14ac:dyDescent="0.35">
      <c r="A91" s="76" t="s">
        <v>1198</v>
      </c>
      <c r="B91" s="99" t="s">
        <v>1400</v>
      </c>
      <c r="C91" s="76" t="s">
        <v>1401</v>
      </c>
      <c r="D91" s="141"/>
    </row>
    <row r="92" spans="1:4" ht="12.75" customHeight="1" x14ac:dyDescent="0.35">
      <c r="A92" s="76" t="s">
        <v>1198</v>
      </c>
      <c r="B92" s="99" t="s">
        <v>1402</v>
      </c>
      <c r="C92" s="76" t="s">
        <v>1403</v>
      </c>
      <c r="D92" s="141"/>
    </row>
    <row r="93" spans="1:4" ht="12.75" customHeight="1" x14ac:dyDescent="0.35">
      <c r="A93" s="76" t="s">
        <v>328</v>
      </c>
      <c r="B93" s="99" t="s">
        <v>1404</v>
      </c>
      <c r="C93" s="76" t="s">
        <v>1405</v>
      </c>
      <c r="D93" s="142" t="s">
        <v>1406</v>
      </c>
    </row>
    <row r="94" spans="1:4" ht="12.75" customHeight="1" x14ac:dyDescent="0.35">
      <c r="A94" s="76" t="s">
        <v>328</v>
      </c>
      <c r="B94" s="99" t="s">
        <v>1407</v>
      </c>
      <c r="C94" s="76" t="s">
        <v>1408</v>
      </c>
      <c r="D94" s="142" t="s">
        <v>1409</v>
      </c>
    </row>
    <row r="95" spans="1:4" ht="12.75" customHeight="1" x14ac:dyDescent="0.35">
      <c r="A95" s="76" t="s">
        <v>328</v>
      </c>
      <c r="B95" s="99" t="s">
        <v>109</v>
      </c>
      <c r="C95" s="76" t="s">
        <v>1410</v>
      </c>
      <c r="D95" s="142" t="s">
        <v>1411</v>
      </c>
    </row>
    <row r="96" spans="1:4" ht="12.75" customHeight="1" x14ac:dyDescent="0.35">
      <c r="A96" s="76" t="s">
        <v>22</v>
      </c>
      <c r="B96" s="99" t="s">
        <v>1412</v>
      </c>
      <c r="C96" s="76" t="s">
        <v>1413</v>
      </c>
      <c r="D96" s="142" t="s">
        <v>1414</v>
      </c>
    </row>
    <row r="97" spans="1:5" ht="12.75" customHeight="1" x14ac:dyDescent="0.35">
      <c r="A97" s="76" t="s">
        <v>22</v>
      </c>
      <c r="B97" s="99" t="s">
        <v>1415</v>
      </c>
      <c r="C97" s="76" t="s">
        <v>1416</v>
      </c>
      <c r="D97" s="142" t="s">
        <v>1417</v>
      </c>
      <c r="E97" s="76" t="s">
        <v>1418</v>
      </c>
    </row>
    <row r="98" spans="1:5" ht="12.75" customHeight="1" x14ac:dyDescent="0.35">
      <c r="A98" s="76" t="s">
        <v>22</v>
      </c>
      <c r="B98" s="99" t="s">
        <v>1419</v>
      </c>
      <c r="C98" s="76" t="s">
        <v>1420</v>
      </c>
      <c r="D98" s="142" t="s">
        <v>1421</v>
      </c>
    </row>
    <row r="99" spans="1:5" ht="12.75" customHeight="1" x14ac:dyDescent="0.35">
      <c r="A99" s="76" t="s">
        <v>22</v>
      </c>
      <c r="B99" s="99" t="s">
        <v>1422</v>
      </c>
      <c r="C99" s="76" t="s">
        <v>1423</v>
      </c>
      <c r="D99" s="142" t="s">
        <v>1424</v>
      </c>
    </row>
    <row r="100" spans="1:5" ht="12.75" customHeight="1" x14ac:dyDescent="0.35">
      <c r="A100" s="208" t="s">
        <v>22</v>
      </c>
      <c r="B100" s="99" t="s">
        <v>23</v>
      </c>
      <c r="C100" s="76" t="s">
        <v>1425</v>
      </c>
      <c r="D100" s="209" t="s">
        <v>1426</v>
      </c>
      <c r="E100" s="208" t="s">
        <v>1427</v>
      </c>
    </row>
    <row r="101" spans="1:5" ht="12.75" customHeight="1" x14ac:dyDescent="0.35">
      <c r="A101" s="208" t="s">
        <v>22</v>
      </c>
      <c r="B101" s="99" t="s">
        <v>26</v>
      </c>
      <c r="C101" s="76" t="s">
        <v>1428</v>
      </c>
      <c r="D101" s="209" t="s">
        <v>1429</v>
      </c>
      <c r="E101" s="208" t="s">
        <v>1430</v>
      </c>
    </row>
    <row r="102" spans="1:5" s="69" customFormat="1" ht="12.75" customHeight="1" x14ac:dyDescent="0.35">
      <c r="A102" s="113" t="s">
        <v>1431</v>
      </c>
      <c r="B102" s="113" t="s">
        <v>1432</v>
      </c>
      <c r="C102" s="113" t="s">
        <v>1432</v>
      </c>
      <c r="D102" s="113" t="s">
        <v>1432</v>
      </c>
      <c r="E102" s="76"/>
    </row>
    <row r="103" spans="1:5" ht="12.75" customHeight="1" x14ac:dyDescent="0.35">
      <c r="A103" s="76" t="s">
        <v>448</v>
      </c>
      <c r="B103" s="100" t="s">
        <v>1433</v>
      </c>
      <c r="C103" s="76" t="s">
        <v>1434</v>
      </c>
      <c r="D103" s="78" t="s">
        <v>1435</v>
      </c>
    </row>
    <row r="104" spans="1:5" ht="12.75" customHeight="1" x14ac:dyDescent="0.35">
      <c r="A104" s="76" t="s">
        <v>448</v>
      </c>
      <c r="B104" s="100" t="s">
        <v>1436</v>
      </c>
      <c r="C104" s="76" t="s">
        <v>1437</v>
      </c>
      <c r="D104" s="78" t="s">
        <v>1435</v>
      </c>
    </row>
    <row r="105" spans="1:5" ht="12.75" customHeight="1" x14ac:dyDescent="0.35">
      <c r="A105" s="76" t="s">
        <v>448</v>
      </c>
      <c r="B105" s="100" t="s">
        <v>1438</v>
      </c>
      <c r="C105" s="76" t="s">
        <v>1439</v>
      </c>
      <c r="D105" s="78" t="s">
        <v>1435</v>
      </c>
    </row>
    <row r="106" spans="1:5" ht="12.75" customHeight="1" x14ac:dyDescent="0.35">
      <c r="A106" s="76" t="s">
        <v>448</v>
      </c>
      <c r="B106" s="100" t="s">
        <v>1440</v>
      </c>
      <c r="C106" s="76" t="s">
        <v>1441</v>
      </c>
      <c r="D106" s="78" t="s">
        <v>1435</v>
      </c>
    </row>
    <row r="107" spans="1:5" ht="12.75" customHeight="1" x14ac:dyDescent="0.35">
      <c r="A107" s="76" t="s">
        <v>448</v>
      </c>
      <c r="B107" s="100" t="s">
        <v>1442</v>
      </c>
      <c r="C107" s="76" t="s">
        <v>1443</v>
      </c>
      <c r="D107" s="78" t="s">
        <v>1435</v>
      </c>
    </row>
    <row r="108" spans="1:5" ht="12.75" customHeight="1" x14ac:dyDescent="0.35">
      <c r="A108" s="76" t="s">
        <v>448</v>
      </c>
      <c r="B108" s="100" t="s">
        <v>1444</v>
      </c>
      <c r="C108" s="76" t="s">
        <v>1445</v>
      </c>
      <c r="D108" s="78" t="s">
        <v>1435</v>
      </c>
    </row>
    <row r="109" spans="1:5" ht="12.75" customHeight="1" x14ac:dyDescent="0.35">
      <c r="A109" s="76" t="s">
        <v>448</v>
      </c>
      <c r="B109" s="100" t="s">
        <v>1446</v>
      </c>
      <c r="C109" s="76" t="s">
        <v>1447</v>
      </c>
      <c r="D109" s="78" t="s">
        <v>1435</v>
      </c>
    </row>
    <row r="110" spans="1:5" ht="12.75" customHeight="1" x14ac:dyDescent="0.35">
      <c r="A110" s="76" t="s">
        <v>448</v>
      </c>
      <c r="B110" s="100" t="s">
        <v>1448</v>
      </c>
      <c r="C110" s="76" t="s">
        <v>1449</v>
      </c>
      <c r="D110" s="78" t="s">
        <v>1435</v>
      </c>
    </row>
    <row r="111" spans="1:5" ht="12.75" customHeight="1" x14ac:dyDescent="0.35">
      <c r="A111" s="76" t="s">
        <v>448</v>
      </c>
      <c r="B111" s="100" t="s">
        <v>1450</v>
      </c>
      <c r="C111" s="76" t="s">
        <v>1451</v>
      </c>
      <c r="D111" s="78" t="s">
        <v>1435</v>
      </c>
    </row>
    <row r="112" spans="1:5" ht="12.75" customHeight="1" x14ac:dyDescent="0.35">
      <c r="A112" s="76" t="s">
        <v>448</v>
      </c>
      <c r="B112" s="100" t="s">
        <v>1452</v>
      </c>
      <c r="C112" s="76" t="s">
        <v>1453</v>
      </c>
      <c r="D112" s="78" t="s">
        <v>1435</v>
      </c>
    </row>
    <row r="113" spans="1:4" ht="12.75" customHeight="1" x14ac:dyDescent="0.35">
      <c r="A113" s="76" t="s">
        <v>448</v>
      </c>
      <c r="B113" s="100" t="s">
        <v>1454</v>
      </c>
      <c r="C113" s="76" t="s">
        <v>1455</v>
      </c>
      <c r="D113" s="78" t="s">
        <v>1435</v>
      </c>
    </row>
    <row r="114" spans="1:4" ht="12.75" customHeight="1" x14ac:dyDescent="0.35">
      <c r="A114" s="76" t="s">
        <v>448</v>
      </c>
      <c r="B114" s="100" t="s">
        <v>1456</v>
      </c>
      <c r="C114" s="76" t="s">
        <v>1457</v>
      </c>
      <c r="D114" s="78" t="s">
        <v>1435</v>
      </c>
    </row>
    <row r="115" spans="1:4" ht="12.75" customHeight="1" x14ac:dyDescent="0.35">
      <c r="A115" s="76" t="s">
        <v>448</v>
      </c>
      <c r="B115" s="100" t="s">
        <v>1458</v>
      </c>
      <c r="C115" s="76" t="s">
        <v>1459</v>
      </c>
      <c r="D115" s="78" t="s">
        <v>1435</v>
      </c>
    </row>
    <row r="116" spans="1:4" ht="12.75" customHeight="1" x14ac:dyDescent="0.35">
      <c r="A116" s="76" t="s">
        <v>448</v>
      </c>
      <c r="B116" s="100" t="s">
        <v>1460</v>
      </c>
      <c r="C116" s="76" t="s">
        <v>1461</v>
      </c>
      <c r="D116" s="78" t="s">
        <v>1435</v>
      </c>
    </row>
    <row r="117" spans="1:4" ht="12.75" customHeight="1" x14ac:dyDescent="0.35">
      <c r="A117" s="76" t="s">
        <v>448</v>
      </c>
      <c r="B117" s="100" t="s">
        <v>94</v>
      </c>
      <c r="C117" s="76" t="s">
        <v>1462</v>
      </c>
      <c r="D117" s="78" t="s">
        <v>1435</v>
      </c>
    </row>
    <row r="118" spans="1:4" ht="12.75" customHeight="1" x14ac:dyDescent="0.35">
      <c r="A118" s="76" t="s">
        <v>126</v>
      </c>
      <c r="B118" s="99" t="s">
        <v>89</v>
      </c>
      <c r="C118" s="76" t="s">
        <v>1463</v>
      </c>
      <c r="D118" s="142" t="s">
        <v>1464</v>
      </c>
    </row>
    <row r="119" spans="1:4" ht="12.75" customHeight="1" x14ac:dyDescent="0.35">
      <c r="A119" s="76" t="s">
        <v>126</v>
      </c>
      <c r="B119" s="99" t="s">
        <v>99</v>
      </c>
      <c r="C119" s="76" t="s">
        <v>1465</v>
      </c>
      <c r="D119" s="142" t="s">
        <v>1466</v>
      </c>
    </row>
    <row r="120" spans="1:4" ht="12.75" customHeight="1" x14ac:dyDescent="0.35">
      <c r="A120" s="76" t="s">
        <v>126</v>
      </c>
      <c r="B120" s="99" t="s">
        <v>105</v>
      </c>
      <c r="C120" s="76" t="s">
        <v>1467</v>
      </c>
      <c r="D120" s="142" t="s">
        <v>1468</v>
      </c>
    </row>
    <row r="121" spans="1:4" ht="12.75" customHeight="1" x14ac:dyDescent="0.35">
      <c r="A121" s="76" t="s">
        <v>126</v>
      </c>
      <c r="B121" s="99" t="s">
        <v>111</v>
      </c>
      <c r="C121" s="76" t="s">
        <v>1469</v>
      </c>
      <c r="D121" s="142" t="s">
        <v>1470</v>
      </c>
    </row>
    <row r="122" spans="1:4" ht="12.75" customHeight="1" x14ac:dyDescent="0.35">
      <c r="A122" s="76" t="s">
        <v>126</v>
      </c>
      <c r="B122" s="99" t="s">
        <v>117</v>
      </c>
      <c r="C122" s="76" t="s">
        <v>1471</v>
      </c>
      <c r="D122" s="142" t="s">
        <v>1472</v>
      </c>
    </row>
    <row r="123" spans="1:4" ht="12.75" customHeight="1" x14ac:dyDescent="0.35">
      <c r="A123" s="76" t="s">
        <v>126</v>
      </c>
      <c r="B123" s="99" t="s">
        <v>125</v>
      </c>
      <c r="C123" s="76" t="s">
        <v>1473</v>
      </c>
      <c r="D123" s="142" t="s">
        <v>1474</v>
      </c>
    </row>
    <row r="124" spans="1:4" ht="12.75" customHeight="1" x14ac:dyDescent="0.35">
      <c r="A124" s="76" t="s">
        <v>126</v>
      </c>
      <c r="B124" s="99" t="s">
        <v>130</v>
      </c>
      <c r="C124" s="76" t="s">
        <v>1475</v>
      </c>
      <c r="D124" s="142" t="s">
        <v>1476</v>
      </c>
    </row>
    <row r="125" spans="1:4" ht="12.75" customHeight="1" x14ac:dyDescent="0.35">
      <c r="A125" s="76" t="s">
        <v>126</v>
      </c>
      <c r="B125" s="99" t="s">
        <v>137</v>
      </c>
      <c r="C125" s="76" t="s">
        <v>1477</v>
      </c>
      <c r="D125" s="142" t="s">
        <v>1478</v>
      </c>
    </row>
    <row r="126" spans="1:4" ht="12.75" customHeight="1" x14ac:dyDescent="0.35">
      <c r="A126" s="76" t="s">
        <v>126</v>
      </c>
      <c r="B126" s="99" t="s">
        <v>143</v>
      </c>
      <c r="C126" s="76" t="s">
        <v>1479</v>
      </c>
      <c r="D126" s="142" t="s">
        <v>1480</v>
      </c>
    </row>
    <row r="127" spans="1:4" ht="12.75" customHeight="1" x14ac:dyDescent="0.35">
      <c r="A127" s="76" t="s">
        <v>126</v>
      </c>
      <c r="B127" s="99" t="s">
        <v>147</v>
      </c>
      <c r="C127" s="76" t="s">
        <v>1481</v>
      </c>
      <c r="D127" s="142" t="s">
        <v>1482</v>
      </c>
    </row>
    <row r="128" spans="1:4" ht="12.75" customHeight="1" x14ac:dyDescent="0.35">
      <c r="A128" s="76" t="s">
        <v>126</v>
      </c>
      <c r="B128" s="99" t="s">
        <v>153</v>
      </c>
      <c r="C128" s="76" t="s">
        <v>1483</v>
      </c>
      <c r="D128" s="142" t="s">
        <v>1484</v>
      </c>
    </row>
    <row r="129" spans="1:5" ht="12.75" customHeight="1" x14ac:dyDescent="0.35">
      <c r="A129" s="76" t="s">
        <v>126</v>
      </c>
      <c r="B129" s="99" t="s">
        <v>157</v>
      </c>
      <c r="C129" s="76" t="s">
        <v>1485</v>
      </c>
      <c r="D129" s="142" t="s">
        <v>1486</v>
      </c>
    </row>
    <row r="130" spans="1:5" ht="12.75" customHeight="1" x14ac:dyDescent="0.35">
      <c r="A130" s="76" t="s">
        <v>126</v>
      </c>
      <c r="B130" s="99" t="s">
        <v>1487</v>
      </c>
      <c r="C130" s="76" t="s">
        <v>1420</v>
      </c>
      <c r="D130" s="142" t="s">
        <v>1488</v>
      </c>
    </row>
    <row r="131" spans="1:5" ht="12.75" customHeight="1" x14ac:dyDescent="0.35">
      <c r="A131" s="76" t="s">
        <v>126</v>
      </c>
      <c r="B131" s="99" t="s">
        <v>1489</v>
      </c>
      <c r="C131" s="76" t="s">
        <v>1490</v>
      </c>
      <c r="D131" s="142" t="s">
        <v>1491</v>
      </c>
    </row>
    <row r="132" spans="1:5" ht="12.75" customHeight="1" x14ac:dyDescent="0.35">
      <c r="A132" s="76" t="s">
        <v>126</v>
      </c>
      <c r="B132" s="99" t="s">
        <v>1492</v>
      </c>
      <c r="C132" s="76" t="s">
        <v>1493</v>
      </c>
      <c r="D132" s="142" t="s">
        <v>1494</v>
      </c>
    </row>
    <row r="133" spans="1:5" ht="12.75" customHeight="1" x14ac:dyDescent="0.35">
      <c r="A133" s="79" t="s">
        <v>823</v>
      </c>
      <c r="B133" s="99">
        <v>1</v>
      </c>
      <c r="C133" s="79" t="s">
        <v>1495</v>
      </c>
      <c r="D133" s="144" t="s">
        <v>1496</v>
      </c>
    </row>
    <row r="134" spans="1:5" ht="12.75" customHeight="1" x14ac:dyDescent="0.35">
      <c r="A134" s="79" t="s">
        <v>823</v>
      </c>
      <c r="B134" s="99">
        <v>2</v>
      </c>
      <c r="C134" s="79" t="s">
        <v>1497</v>
      </c>
      <c r="D134" s="144" t="s">
        <v>1498</v>
      </c>
    </row>
    <row r="135" spans="1:5" ht="12.75" customHeight="1" x14ac:dyDescent="0.35">
      <c r="A135" s="79" t="s">
        <v>823</v>
      </c>
      <c r="B135" s="99">
        <v>3</v>
      </c>
      <c r="C135" s="79" t="s">
        <v>1499</v>
      </c>
      <c r="D135" s="144" t="s">
        <v>1500</v>
      </c>
    </row>
    <row r="136" spans="1:5" ht="12.75" customHeight="1" x14ac:dyDescent="0.35">
      <c r="A136" s="79" t="s">
        <v>823</v>
      </c>
      <c r="B136" s="99" t="s">
        <v>1412</v>
      </c>
      <c r="C136" s="79" t="s">
        <v>1501</v>
      </c>
      <c r="D136" s="144" t="s">
        <v>1502</v>
      </c>
    </row>
    <row r="137" spans="1:5" ht="12.75" customHeight="1" x14ac:dyDescent="0.35">
      <c r="A137" s="79" t="s">
        <v>823</v>
      </c>
      <c r="B137" s="99" t="s">
        <v>1503</v>
      </c>
      <c r="C137" s="79" t="s">
        <v>1504</v>
      </c>
      <c r="D137" s="144" t="s">
        <v>1505</v>
      </c>
    </row>
    <row r="138" spans="1:5" ht="12.75" customHeight="1" x14ac:dyDescent="0.35">
      <c r="A138" s="79" t="s">
        <v>823</v>
      </c>
      <c r="B138" s="99" t="s">
        <v>1506</v>
      </c>
      <c r="C138" s="79" t="s">
        <v>1507</v>
      </c>
      <c r="D138" s="144" t="s">
        <v>1508</v>
      </c>
    </row>
    <row r="139" spans="1:5" ht="12.75" customHeight="1" x14ac:dyDescent="0.35">
      <c r="A139" s="79" t="s">
        <v>823</v>
      </c>
      <c r="B139" s="99" t="s">
        <v>1509</v>
      </c>
      <c r="C139" s="79" t="s">
        <v>1510</v>
      </c>
      <c r="D139" s="144" t="s">
        <v>1511</v>
      </c>
    </row>
    <row r="140" spans="1:5" ht="12.75" customHeight="1" x14ac:dyDescent="0.35">
      <c r="A140" s="79" t="s">
        <v>823</v>
      </c>
      <c r="B140" s="99" t="s">
        <v>1512</v>
      </c>
      <c r="C140" s="79" t="s">
        <v>1513</v>
      </c>
      <c r="D140" s="144" t="s">
        <v>1514</v>
      </c>
    </row>
    <row r="141" spans="1:5" ht="12.75" customHeight="1" x14ac:dyDescent="0.35">
      <c r="A141" s="79" t="s">
        <v>823</v>
      </c>
      <c r="B141" s="99" t="s">
        <v>1422</v>
      </c>
      <c r="C141" s="79" t="s">
        <v>1515</v>
      </c>
      <c r="D141" s="144" t="s">
        <v>1516</v>
      </c>
    </row>
    <row r="142" spans="1:5" ht="12.75" customHeight="1" x14ac:dyDescent="0.35">
      <c r="A142" s="79" t="s">
        <v>823</v>
      </c>
      <c r="B142" s="99" t="s">
        <v>1517</v>
      </c>
      <c r="C142" s="79" t="s">
        <v>1518</v>
      </c>
      <c r="D142" s="144" t="s">
        <v>1519</v>
      </c>
    </row>
    <row r="143" spans="1:5" ht="12.75" customHeight="1" x14ac:dyDescent="0.35">
      <c r="A143" s="79" t="s">
        <v>823</v>
      </c>
      <c r="B143" s="99" t="s">
        <v>1520</v>
      </c>
      <c r="C143" s="79" t="s">
        <v>1521</v>
      </c>
      <c r="D143" s="144" t="s">
        <v>1522</v>
      </c>
    </row>
    <row r="144" spans="1:5" s="10" customFormat="1" ht="12.75" customHeight="1" x14ac:dyDescent="0.35">
      <c r="A144" s="358" t="s">
        <v>823</v>
      </c>
      <c r="B144" s="200" t="s">
        <v>1523</v>
      </c>
      <c r="C144" s="204" t="s">
        <v>1524</v>
      </c>
      <c r="D144" s="199" t="s">
        <v>1525</v>
      </c>
      <c r="E144" s="129" t="s">
        <v>1526</v>
      </c>
    </row>
    <row r="145" spans="1:4" ht="12.75" customHeight="1" outlineLevel="1" x14ac:dyDescent="0.35">
      <c r="A145" s="76" t="s">
        <v>353</v>
      </c>
      <c r="B145" s="99" t="s">
        <v>1527</v>
      </c>
      <c r="C145" s="76" t="s">
        <v>1528</v>
      </c>
      <c r="D145" s="142"/>
    </row>
    <row r="146" spans="1:4" ht="12.75" customHeight="1" outlineLevel="1" x14ac:dyDescent="0.35">
      <c r="A146" s="76" t="s">
        <v>353</v>
      </c>
      <c r="B146" s="99" t="s">
        <v>1503</v>
      </c>
      <c r="C146" s="76" t="s">
        <v>1529</v>
      </c>
      <c r="D146" s="142"/>
    </row>
    <row r="147" spans="1:4" ht="12.75" customHeight="1" outlineLevel="1" x14ac:dyDescent="0.35">
      <c r="A147" s="76" t="s">
        <v>353</v>
      </c>
      <c r="B147" s="99" t="s">
        <v>1530</v>
      </c>
      <c r="C147" s="76" t="s">
        <v>1531</v>
      </c>
      <c r="D147" s="142"/>
    </row>
    <row r="148" spans="1:4" ht="12.75" customHeight="1" outlineLevel="1" x14ac:dyDescent="0.35">
      <c r="A148" s="76" t="s">
        <v>353</v>
      </c>
      <c r="B148" s="99" t="s">
        <v>1532</v>
      </c>
      <c r="C148" s="76" t="s">
        <v>1533</v>
      </c>
      <c r="D148" s="142"/>
    </row>
    <row r="149" spans="1:4" ht="12.75" customHeight="1" outlineLevel="1" x14ac:dyDescent="0.35">
      <c r="A149" s="76" t="s">
        <v>353</v>
      </c>
      <c r="B149" s="99" t="s">
        <v>1534</v>
      </c>
      <c r="C149" s="76" t="s">
        <v>1535</v>
      </c>
      <c r="D149" s="142"/>
    </row>
    <row r="150" spans="1:4" ht="12.75" customHeight="1" outlineLevel="1" x14ac:dyDescent="0.35">
      <c r="A150" s="76" t="s">
        <v>353</v>
      </c>
      <c r="B150" s="99" t="s">
        <v>1536</v>
      </c>
      <c r="C150" s="76" t="s">
        <v>1537</v>
      </c>
      <c r="D150" s="142"/>
    </row>
    <row r="151" spans="1:4" ht="12.75" customHeight="1" outlineLevel="1" x14ac:dyDescent="0.35">
      <c r="A151" s="76" t="s">
        <v>353</v>
      </c>
      <c r="B151" s="99" t="s">
        <v>1538</v>
      </c>
      <c r="C151" s="76" t="s">
        <v>1539</v>
      </c>
      <c r="D151" s="142"/>
    </row>
    <row r="152" spans="1:4" ht="12.75" customHeight="1" outlineLevel="1" x14ac:dyDescent="0.35">
      <c r="A152" s="76" t="s">
        <v>353</v>
      </c>
      <c r="B152" s="99" t="s">
        <v>1540</v>
      </c>
      <c r="C152" s="76" t="s">
        <v>1541</v>
      </c>
      <c r="D152" s="142"/>
    </row>
    <row r="153" spans="1:4" ht="12.75" customHeight="1" outlineLevel="1" x14ac:dyDescent="0.35">
      <c r="A153" s="76" t="s">
        <v>353</v>
      </c>
      <c r="B153" s="99" t="s">
        <v>1542</v>
      </c>
      <c r="C153" s="76" t="s">
        <v>1543</v>
      </c>
      <c r="D153" s="142"/>
    </row>
    <row r="154" spans="1:4" ht="12.75" customHeight="1" outlineLevel="1" x14ac:dyDescent="0.35">
      <c r="A154" s="76" t="s">
        <v>353</v>
      </c>
      <c r="B154" s="99" t="s">
        <v>1544</v>
      </c>
      <c r="C154" s="76" t="s">
        <v>1545</v>
      </c>
      <c r="D154" s="142"/>
    </row>
    <row r="155" spans="1:4" ht="12.75" customHeight="1" outlineLevel="1" x14ac:dyDescent="0.35">
      <c r="A155" s="76" t="s">
        <v>353</v>
      </c>
      <c r="B155" s="99" t="s">
        <v>1506</v>
      </c>
      <c r="C155" s="76" t="s">
        <v>1546</v>
      </c>
      <c r="D155" s="142"/>
    </row>
    <row r="156" spans="1:4" ht="12.75" customHeight="1" outlineLevel="1" x14ac:dyDescent="0.35">
      <c r="A156" s="76" t="s">
        <v>353</v>
      </c>
      <c r="B156" s="99" t="s">
        <v>1509</v>
      </c>
      <c r="C156" s="76" t="s">
        <v>1547</v>
      </c>
      <c r="D156" s="142"/>
    </row>
    <row r="157" spans="1:4" ht="12.75" customHeight="1" outlineLevel="1" x14ac:dyDescent="0.35">
      <c r="A157" s="76" t="s">
        <v>353</v>
      </c>
      <c r="B157" s="99" t="s">
        <v>1548</v>
      </c>
      <c r="C157" s="76" t="s">
        <v>1549</v>
      </c>
      <c r="D157" s="142"/>
    </row>
    <row r="158" spans="1:4" ht="12.75" customHeight="1" outlineLevel="1" x14ac:dyDescent="0.35">
      <c r="A158" s="76" t="s">
        <v>353</v>
      </c>
      <c r="B158" s="99" t="s">
        <v>1550</v>
      </c>
      <c r="C158" s="76" t="s">
        <v>1551</v>
      </c>
      <c r="D158" s="142"/>
    </row>
    <row r="159" spans="1:4" ht="12.75" customHeight="1" outlineLevel="1" x14ac:dyDescent="0.35">
      <c r="A159" s="76" t="s">
        <v>353</v>
      </c>
      <c r="B159" s="99" t="s">
        <v>1552</v>
      </c>
      <c r="C159" s="76" t="s">
        <v>1553</v>
      </c>
      <c r="D159" s="142"/>
    </row>
    <row r="160" spans="1:4" ht="12.75" customHeight="1" outlineLevel="1" x14ac:dyDescent="0.35">
      <c r="A160" s="76" t="s">
        <v>353</v>
      </c>
      <c r="B160" s="99" t="s">
        <v>1554</v>
      </c>
      <c r="C160" s="76" t="s">
        <v>1555</v>
      </c>
      <c r="D160" s="142"/>
    </row>
    <row r="161" spans="1:4" ht="12.75" customHeight="1" outlineLevel="1" x14ac:dyDescent="0.35">
      <c r="A161" s="76" t="s">
        <v>353</v>
      </c>
      <c r="B161" s="99" t="s">
        <v>1556</v>
      </c>
      <c r="C161" s="76" t="s">
        <v>1557</v>
      </c>
      <c r="D161" s="142"/>
    </row>
    <row r="162" spans="1:4" ht="12.75" customHeight="1" outlineLevel="1" x14ac:dyDescent="0.35">
      <c r="A162" s="76" t="s">
        <v>353</v>
      </c>
      <c r="B162" s="99" t="s">
        <v>1558</v>
      </c>
      <c r="C162" s="76" t="s">
        <v>1559</v>
      </c>
      <c r="D162" s="142"/>
    </row>
    <row r="163" spans="1:4" ht="12.75" customHeight="1" outlineLevel="1" x14ac:dyDescent="0.35">
      <c r="A163" s="76" t="s">
        <v>353</v>
      </c>
      <c r="B163" s="99" t="s">
        <v>1560</v>
      </c>
      <c r="C163" s="76" t="s">
        <v>1561</v>
      </c>
      <c r="D163" s="142"/>
    </row>
    <row r="164" spans="1:4" ht="12.75" customHeight="1" outlineLevel="1" x14ac:dyDescent="0.35">
      <c r="A164" s="76" t="s">
        <v>353</v>
      </c>
      <c r="B164" s="99" t="s">
        <v>1562</v>
      </c>
      <c r="C164" s="76" t="s">
        <v>1563</v>
      </c>
      <c r="D164" s="142"/>
    </row>
    <row r="165" spans="1:4" ht="12.75" customHeight="1" outlineLevel="1" x14ac:dyDescent="0.35">
      <c r="A165" s="76" t="s">
        <v>353</v>
      </c>
      <c r="B165" s="99" t="s">
        <v>1564</v>
      </c>
      <c r="C165" s="76" t="s">
        <v>1565</v>
      </c>
      <c r="D165" s="142"/>
    </row>
    <row r="166" spans="1:4" ht="12.75" customHeight="1" outlineLevel="1" x14ac:dyDescent="0.35">
      <c r="A166" s="76" t="s">
        <v>353</v>
      </c>
      <c r="B166" s="99" t="s">
        <v>1566</v>
      </c>
      <c r="C166" s="76" t="s">
        <v>1567</v>
      </c>
      <c r="D166" s="142"/>
    </row>
    <row r="167" spans="1:4" ht="12.75" customHeight="1" outlineLevel="1" x14ac:dyDescent="0.35">
      <c r="A167" s="76" t="s">
        <v>353</v>
      </c>
      <c r="B167" s="99" t="s">
        <v>1568</v>
      </c>
      <c r="C167" s="76" t="s">
        <v>1569</v>
      </c>
      <c r="D167" s="142"/>
    </row>
    <row r="168" spans="1:4" ht="12.75" customHeight="1" outlineLevel="1" x14ac:dyDescent="0.35">
      <c r="A168" s="76" t="s">
        <v>353</v>
      </c>
      <c r="B168" s="99" t="s">
        <v>1570</v>
      </c>
      <c r="C168" s="76" t="s">
        <v>1571</v>
      </c>
      <c r="D168" s="142"/>
    </row>
    <row r="169" spans="1:4" ht="12.75" customHeight="1" outlineLevel="1" x14ac:dyDescent="0.35">
      <c r="A169" s="76" t="s">
        <v>353</v>
      </c>
      <c r="B169" s="99" t="s">
        <v>1572</v>
      </c>
      <c r="C169" s="76" t="s">
        <v>1573</v>
      </c>
      <c r="D169" s="142"/>
    </row>
    <row r="170" spans="1:4" ht="12.75" customHeight="1" outlineLevel="1" x14ac:dyDescent="0.35">
      <c r="A170" s="76" t="s">
        <v>353</v>
      </c>
      <c r="B170" s="99" t="s">
        <v>1574</v>
      </c>
      <c r="C170" s="76" t="s">
        <v>1575</v>
      </c>
      <c r="D170" s="142"/>
    </row>
    <row r="171" spans="1:4" ht="12.75" customHeight="1" outlineLevel="1" x14ac:dyDescent="0.35">
      <c r="A171" s="76" t="s">
        <v>353</v>
      </c>
      <c r="B171" s="99" t="s">
        <v>1576</v>
      </c>
      <c r="C171" s="76" t="s">
        <v>1577</v>
      </c>
      <c r="D171" s="142"/>
    </row>
    <row r="172" spans="1:4" ht="12.75" customHeight="1" outlineLevel="1" x14ac:dyDescent="0.35">
      <c r="A172" s="76" t="s">
        <v>353</v>
      </c>
      <c r="B172" s="99" t="s">
        <v>1578</v>
      </c>
      <c r="C172" s="76" t="s">
        <v>1579</v>
      </c>
      <c r="D172" s="142"/>
    </row>
    <row r="173" spans="1:4" ht="12.75" customHeight="1" outlineLevel="1" x14ac:dyDescent="0.35">
      <c r="A173" s="76" t="s">
        <v>353</v>
      </c>
      <c r="B173" s="99" t="s">
        <v>1580</v>
      </c>
      <c r="C173" s="76" t="s">
        <v>1581</v>
      </c>
      <c r="D173" s="142"/>
    </row>
    <row r="174" spans="1:4" ht="12.75" customHeight="1" outlineLevel="1" x14ac:dyDescent="0.35">
      <c r="A174" s="76" t="s">
        <v>353</v>
      </c>
      <c r="B174" s="99" t="s">
        <v>1582</v>
      </c>
      <c r="C174" s="76" t="s">
        <v>1583</v>
      </c>
      <c r="D174" s="142"/>
    </row>
    <row r="175" spans="1:4" ht="12.75" customHeight="1" outlineLevel="1" x14ac:dyDescent="0.35">
      <c r="A175" s="76" t="s">
        <v>353</v>
      </c>
      <c r="B175" s="99" t="s">
        <v>1584</v>
      </c>
      <c r="C175" s="76" t="s">
        <v>1585</v>
      </c>
      <c r="D175" s="142"/>
    </row>
    <row r="176" spans="1:4" ht="12.75" customHeight="1" outlineLevel="1" x14ac:dyDescent="0.35">
      <c r="A176" s="76" t="s">
        <v>353</v>
      </c>
      <c r="B176" s="99" t="s">
        <v>1586</v>
      </c>
      <c r="C176" s="76" t="s">
        <v>1587</v>
      </c>
      <c r="D176" s="142"/>
    </row>
    <row r="177" spans="1:4" ht="12.75" customHeight="1" outlineLevel="1" x14ac:dyDescent="0.35">
      <c r="A177" s="76" t="s">
        <v>353</v>
      </c>
      <c r="B177" s="99" t="s">
        <v>1588</v>
      </c>
      <c r="C177" s="76" t="s">
        <v>1589</v>
      </c>
      <c r="D177" s="142"/>
    </row>
    <row r="178" spans="1:4" ht="12.75" customHeight="1" outlineLevel="1" x14ac:dyDescent="0.35">
      <c r="A178" s="76" t="s">
        <v>353</v>
      </c>
      <c r="B178" s="99" t="s">
        <v>1590</v>
      </c>
      <c r="C178" s="76" t="s">
        <v>1591</v>
      </c>
      <c r="D178" s="142"/>
    </row>
    <row r="179" spans="1:4" ht="12.75" customHeight="1" outlineLevel="1" x14ac:dyDescent="0.35">
      <c r="A179" s="76" t="s">
        <v>353</v>
      </c>
      <c r="B179" s="99" t="s">
        <v>1592</v>
      </c>
      <c r="C179" s="76" t="s">
        <v>1593</v>
      </c>
      <c r="D179" s="142"/>
    </row>
    <row r="180" spans="1:4" ht="12.75" customHeight="1" outlineLevel="1" x14ac:dyDescent="0.35">
      <c r="A180" s="76" t="s">
        <v>353</v>
      </c>
      <c r="B180" s="99" t="s">
        <v>1594</v>
      </c>
      <c r="C180" s="76" t="s">
        <v>1595</v>
      </c>
      <c r="D180" s="142"/>
    </row>
    <row r="181" spans="1:4" ht="12.75" customHeight="1" outlineLevel="1" x14ac:dyDescent="0.35">
      <c r="A181" s="76" t="s">
        <v>353</v>
      </c>
      <c r="B181" s="99" t="s">
        <v>1596</v>
      </c>
      <c r="C181" s="76" t="s">
        <v>1597</v>
      </c>
      <c r="D181" s="142"/>
    </row>
    <row r="182" spans="1:4" ht="12.75" customHeight="1" outlineLevel="1" x14ac:dyDescent="0.35">
      <c r="A182" s="76" t="s">
        <v>353</v>
      </c>
      <c r="B182" s="99" t="s">
        <v>1598</v>
      </c>
      <c r="C182" s="76" t="s">
        <v>1599</v>
      </c>
      <c r="D182" s="142"/>
    </row>
    <row r="183" spans="1:4" ht="12.75" customHeight="1" outlineLevel="1" x14ac:dyDescent="0.35">
      <c r="A183" s="76" t="s">
        <v>353</v>
      </c>
      <c r="B183" s="99" t="s">
        <v>1600</v>
      </c>
      <c r="C183" s="76" t="s">
        <v>1601</v>
      </c>
      <c r="D183" s="142"/>
    </row>
    <row r="184" spans="1:4" ht="12.75" customHeight="1" outlineLevel="1" x14ac:dyDescent="0.35">
      <c r="A184" s="76" t="s">
        <v>353</v>
      </c>
      <c r="B184" s="99" t="s">
        <v>1602</v>
      </c>
      <c r="C184" s="76" t="s">
        <v>1603</v>
      </c>
      <c r="D184" s="142"/>
    </row>
    <row r="185" spans="1:4" ht="12.75" customHeight="1" outlineLevel="1" x14ac:dyDescent="0.35">
      <c r="A185" s="76" t="s">
        <v>353</v>
      </c>
      <c r="B185" s="99" t="s">
        <v>1604</v>
      </c>
      <c r="C185" s="76" t="s">
        <v>1605</v>
      </c>
      <c r="D185" s="142"/>
    </row>
    <row r="186" spans="1:4" ht="12.75" customHeight="1" outlineLevel="1" x14ac:dyDescent="0.35">
      <c r="A186" s="76" t="s">
        <v>353</v>
      </c>
      <c r="B186" s="99" t="s">
        <v>1520</v>
      </c>
      <c r="C186" s="76" t="s">
        <v>1606</v>
      </c>
      <c r="D186" s="142"/>
    </row>
    <row r="187" spans="1:4" ht="12.75" customHeight="1" outlineLevel="1" x14ac:dyDescent="0.35">
      <c r="A187" s="76" t="s">
        <v>353</v>
      </c>
      <c r="B187" s="99" t="s">
        <v>1607</v>
      </c>
      <c r="C187" s="76" t="s">
        <v>1608</v>
      </c>
      <c r="D187" s="142"/>
    </row>
    <row r="188" spans="1:4" ht="12.75" customHeight="1" outlineLevel="1" x14ac:dyDescent="0.35">
      <c r="A188" s="76" t="s">
        <v>353</v>
      </c>
      <c r="B188" s="99" t="s">
        <v>1609</v>
      </c>
      <c r="C188" s="76" t="s">
        <v>1610</v>
      </c>
      <c r="D188" s="142"/>
    </row>
    <row r="189" spans="1:4" ht="12.75" customHeight="1" outlineLevel="1" x14ac:dyDescent="0.35">
      <c r="A189" s="76" t="s">
        <v>353</v>
      </c>
      <c r="B189" s="99" t="s">
        <v>1611</v>
      </c>
      <c r="C189" s="76" t="s">
        <v>1612</v>
      </c>
      <c r="D189" s="142"/>
    </row>
    <row r="190" spans="1:4" ht="12.75" customHeight="1" outlineLevel="1" x14ac:dyDescent="0.35">
      <c r="A190" s="76" t="s">
        <v>353</v>
      </c>
      <c r="B190" s="99" t="s">
        <v>1613</v>
      </c>
      <c r="C190" s="76" t="s">
        <v>1614</v>
      </c>
      <c r="D190" s="142"/>
    </row>
    <row r="191" spans="1:4" ht="12.75" customHeight="1" outlineLevel="1" x14ac:dyDescent="0.35">
      <c r="A191" s="76" t="s">
        <v>353</v>
      </c>
      <c r="B191" s="99" t="s">
        <v>1615</v>
      </c>
      <c r="C191" s="76" t="s">
        <v>1616</v>
      </c>
      <c r="D191" s="142"/>
    </row>
    <row r="192" spans="1:4" ht="12.75" customHeight="1" outlineLevel="1" x14ac:dyDescent="0.35">
      <c r="A192" s="76" t="s">
        <v>353</v>
      </c>
      <c r="B192" s="99" t="s">
        <v>1617</v>
      </c>
      <c r="C192" s="76" t="s">
        <v>1618</v>
      </c>
      <c r="D192" s="142"/>
    </row>
    <row r="193" spans="1:4" ht="12.75" customHeight="1" outlineLevel="1" x14ac:dyDescent="0.35">
      <c r="A193" s="76" t="s">
        <v>353</v>
      </c>
      <c r="B193" s="99" t="s">
        <v>1619</v>
      </c>
      <c r="C193" s="76" t="s">
        <v>1620</v>
      </c>
      <c r="D193" s="142"/>
    </row>
    <row r="194" spans="1:4" ht="12.75" customHeight="1" outlineLevel="1" x14ac:dyDescent="0.35">
      <c r="A194" s="76" t="s">
        <v>353</v>
      </c>
      <c r="B194" s="99" t="s">
        <v>1621</v>
      </c>
      <c r="C194" s="76" t="s">
        <v>1622</v>
      </c>
      <c r="D194" s="142"/>
    </row>
    <row r="195" spans="1:4" ht="12.75" customHeight="1" outlineLevel="1" x14ac:dyDescent="0.35">
      <c r="A195" s="76" t="s">
        <v>353</v>
      </c>
      <c r="B195" s="99" t="s">
        <v>1623</v>
      </c>
      <c r="C195" s="76" t="s">
        <v>1624</v>
      </c>
      <c r="D195" s="142"/>
    </row>
    <row r="196" spans="1:4" ht="12.75" customHeight="1" outlineLevel="1" x14ac:dyDescent="0.35">
      <c r="A196" s="76" t="s">
        <v>353</v>
      </c>
      <c r="B196" s="99" t="s">
        <v>1625</v>
      </c>
      <c r="C196" s="76" t="s">
        <v>1626</v>
      </c>
      <c r="D196" s="142"/>
    </row>
    <row r="197" spans="1:4" ht="12.75" customHeight="1" outlineLevel="1" x14ac:dyDescent="0.35">
      <c r="A197" s="76" t="s">
        <v>353</v>
      </c>
      <c r="B197" s="99" t="s">
        <v>1627</v>
      </c>
      <c r="C197" s="76" t="s">
        <v>1628</v>
      </c>
      <c r="D197" s="142"/>
    </row>
    <row r="198" spans="1:4" ht="12.75" customHeight="1" outlineLevel="1" x14ac:dyDescent="0.35">
      <c r="A198" s="76" t="s">
        <v>353</v>
      </c>
      <c r="B198" s="99" t="s">
        <v>1629</v>
      </c>
      <c r="C198" s="76" t="s">
        <v>1630</v>
      </c>
      <c r="D198" s="142"/>
    </row>
    <row r="199" spans="1:4" ht="12.75" customHeight="1" outlineLevel="1" x14ac:dyDescent="0.35">
      <c r="A199" s="76" t="s">
        <v>353</v>
      </c>
      <c r="B199" s="99" t="s">
        <v>1631</v>
      </c>
      <c r="C199" s="76" t="s">
        <v>1632</v>
      </c>
      <c r="D199" s="142"/>
    </row>
    <row r="200" spans="1:4" ht="12.75" customHeight="1" outlineLevel="1" x14ac:dyDescent="0.35">
      <c r="A200" s="76" t="s">
        <v>353</v>
      </c>
      <c r="B200" s="99" t="s">
        <v>1633</v>
      </c>
      <c r="C200" s="76" t="s">
        <v>1634</v>
      </c>
      <c r="D200" s="142"/>
    </row>
    <row r="201" spans="1:4" ht="12.75" customHeight="1" outlineLevel="1" x14ac:dyDescent="0.35">
      <c r="A201" s="76" t="s">
        <v>353</v>
      </c>
      <c r="B201" s="99" t="s">
        <v>1635</v>
      </c>
      <c r="C201" s="76" t="s">
        <v>1636</v>
      </c>
      <c r="D201" s="142"/>
    </row>
    <row r="202" spans="1:4" ht="12.75" customHeight="1" outlineLevel="1" x14ac:dyDescent="0.35">
      <c r="A202" s="76" t="s">
        <v>353</v>
      </c>
      <c r="B202" s="99" t="s">
        <v>1637</v>
      </c>
      <c r="C202" s="76" t="s">
        <v>1638</v>
      </c>
      <c r="D202" s="142"/>
    </row>
    <row r="203" spans="1:4" ht="12.75" customHeight="1" outlineLevel="1" x14ac:dyDescent="0.35">
      <c r="A203" s="76" t="s">
        <v>353</v>
      </c>
      <c r="B203" s="99" t="s">
        <v>1639</v>
      </c>
      <c r="C203" s="76" t="s">
        <v>1640</v>
      </c>
      <c r="D203" s="142"/>
    </row>
    <row r="204" spans="1:4" ht="12.75" customHeight="1" outlineLevel="1" x14ac:dyDescent="0.35">
      <c r="A204" s="76" t="s">
        <v>353</v>
      </c>
      <c r="B204" s="99" t="s">
        <v>1641</v>
      </c>
      <c r="C204" s="76" t="s">
        <v>1642</v>
      </c>
      <c r="D204" s="142"/>
    </row>
    <row r="205" spans="1:4" ht="12.75" customHeight="1" outlineLevel="1" x14ac:dyDescent="0.35">
      <c r="A205" s="76" t="s">
        <v>353</v>
      </c>
      <c r="B205" s="99" t="s">
        <v>1643</v>
      </c>
      <c r="C205" s="76" t="s">
        <v>1644</v>
      </c>
      <c r="D205" s="142"/>
    </row>
    <row r="206" spans="1:4" ht="12.75" customHeight="1" outlineLevel="1" x14ac:dyDescent="0.35">
      <c r="A206" s="76" t="s">
        <v>353</v>
      </c>
      <c r="B206" s="99" t="s">
        <v>1645</v>
      </c>
      <c r="C206" s="76" t="s">
        <v>1646</v>
      </c>
      <c r="D206" s="142"/>
    </row>
    <row r="207" spans="1:4" ht="12.75" customHeight="1" outlineLevel="1" x14ac:dyDescent="0.35">
      <c r="A207" s="76" t="s">
        <v>353</v>
      </c>
      <c r="B207" s="99" t="s">
        <v>1647</v>
      </c>
      <c r="C207" s="76" t="s">
        <v>1648</v>
      </c>
      <c r="D207" s="142"/>
    </row>
    <row r="208" spans="1:4" ht="12.75" customHeight="1" outlineLevel="1" x14ac:dyDescent="0.35">
      <c r="A208" s="76" t="s">
        <v>353</v>
      </c>
      <c r="B208" s="99" t="s">
        <v>1649</v>
      </c>
      <c r="C208" s="76" t="s">
        <v>1650</v>
      </c>
      <c r="D208" s="142"/>
    </row>
    <row r="209" spans="1:4" ht="12.75" customHeight="1" outlineLevel="1" x14ac:dyDescent="0.35">
      <c r="A209" s="76" t="s">
        <v>353</v>
      </c>
      <c r="B209" s="99" t="s">
        <v>1651</v>
      </c>
      <c r="C209" s="76" t="s">
        <v>1652</v>
      </c>
      <c r="D209" s="142"/>
    </row>
    <row r="210" spans="1:4" ht="12.75" customHeight="1" outlineLevel="1" x14ac:dyDescent="0.35">
      <c r="A210" s="76" t="s">
        <v>353</v>
      </c>
      <c r="B210" s="99" t="s">
        <v>1653</v>
      </c>
      <c r="C210" s="76" t="s">
        <v>1654</v>
      </c>
      <c r="D210" s="142"/>
    </row>
    <row r="211" spans="1:4" ht="12.75" customHeight="1" outlineLevel="1" x14ac:dyDescent="0.35">
      <c r="A211" s="76" t="s">
        <v>353</v>
      </c>
      <c r="B211" s="99" t="s">
        <v>1655</v>
      </c>
      <c r="C211" s="76" t="s">
        <v>1656</v>
      </c>
      <c r="D211" s="142"/>
    </row>
    <row r="212" spans="1:4" ht="12.75" customHeight="1" outlineLevel="1" x14ac:dyDescent="0.35">
      <c r="A212" s="76" t="s">
        <v>353</v>
      </c>
      <c r="B212" s="99" t="s">
        <v>1657</v>
      </c>
      <c r="C212" s="76" t="s">
        <v>1658</v>
      </c>
      <c r="D212" s="142"/>
    </row>
    <row r="213" spans="1:4" ht="12.75" customHeight="1" outlineLevel="1" x14ac:dyDescent="0.35">
      <c r="A213" s="76" t="s">
        <v>353</v>
      </c>
      <c r="B213" s="99" t="s">
        <v>1659</v>
      </c>
      <c r="C213" s="76" t="s">
        <v>1660</v>
      </c>
      <c r="D213" s="142"/>
    </row>
    <row r="214" spans="1:4" ht="12.75" customHeight="1" outlineLevel="1" x14ac:dyDescent="0.35">
      <c r="A214" s="76" t="s">
        <v>353</v>
      </c>
      <c r="B214" s="99" t="s">
        <v>1661</v>
      </c>
      <c r="C214" s="76" t="s">
        <v>1662</v>
      </c>
      <c r="D214" s="142"/>
    </row>
    <row r="215" spans="1:4" ht="12.75" customHeight="1" outlineLevel="1" x14ac:dyDescent="0.35">
      <c r="A215" s="76" t="s">
        <v>353</v>
      </c>
      <c r="B215" s="99" t="s">
        <v>1663</v>
      </c>
      <c r="C215" s="76" t="s">
        <v>1664</v>
      </c>
      <c r="D215" s="142"/>
    </row>
    <row r="216" spans="1:4" ht="12.75" customHeight="1" outlineLevel="1" x14ac:dyDescent="0.35">
      <c r="A216" s="76" t="s">
        <v>353</v>
      </c>
      <c r="B216" s="99" t="s">
        <v>1665</v>
      </c>
      <c r="C216" s="76" t="s">
        <v>1666</v>
      </c>
      <c r="D216" s="142"/>
    </row>
    <row r="217" spans="1:4" ht="12.75" customHeight="1" outlineLevel="1" x14ac:dyDescent="0.35">
      <c r="A217" s="76" t="s">
        <v>353</v>
      </c>
      <c r="B217" s="99" t="s">
        <v>1667</v>
      </c>
      <c r="C217" s="76" t="s">
        <v>1668</v>
      </c>
      <c r="D217" s="142"/>
    </row>
    <row r="218" spans="1:4" ht="12.75" customHeight="1" outlineLevel="1" x14ac:dyDescent="0.35">
      <c r="A218" s="76" t="s">
        <v>353</v>
      </c>
      <c r="B218" s="99" t="s">
        <v>1669</v>
      </c>
      <c r="C218" s="76" t="s">
        <v>1670</v>
      </c>
      <c r="D218" s="142"/>
    </row>
    <row r="219" spans="1:4" ht="12.75" customHeight="1" outlineLevel="1" x14ac:dyDescent="0.35">
      <c r="A219" s="76" t="s">
        <v>353</v>
      </c>
      <c r="B219" s="99" t="s">
        <v>1671</v>
      </c>
      <c r="C219" s="76" t="s">
        <v>1672</v>
      </c>
      <c r="D219" s="142"/>
    </row>
    <row r="220" spans="1:4" ht="12.75" customHeight="1" outlineLevel="1" x14ac:dyDescent="0.35">
      <c r="A220" s="76" t="s">
        <v>353</v>
      </c>
      <c r="B220" s="99" t="s">
        <v>1673</v>
      </c>
      <c r="C220" s="76" t="s">
        <v>1674</v>
      </c>
      <c r="D220" s="142"/>
    </row>
    <row r="221" spans="1:4" ht="12.75" customHeight="1" outlineLevel="1" x14ac:dyDescent="0.35">
      <c r="A221" s="76" t="s">
        <v>353</v>
      </c>
      <c r="B221" s="99" t="s">
        <v>1675</v>
      </c>
      <c r="C221" s="76" t="s">
        <v>1676</v>
      </c>
      <c r="D221" s="142"/>
    </row>
    <row r="222" spans="1:4" ht="12.75" customHeight="1" outlineLevel="1" x14ac:dyDescent="0.35">
      <c r="A222" s="76" t="s">
        <v>353</v>
      </c>
      <c r="B222" s="99" t="s">
        <v>1677</v>
      </c>
      <c r="C222" s="76" t="s">
        <v>1678</v>
      </c>
      <c r="D222" s="142"/>
    </row>
    <row r="223" spans="1:4" ht="12.75" customHeight="1" outlineLevel="1" x14ac:dyDescent="0.35">
      <c r="A223" s="76" t="s">
        <v>353</v>
      </c>
      <c r="B223" s="99" t="s">
        <v>1679</v>
      </c>
      <c r="C223" s="76" t="s">
        <v>1680</v>
      </c>
      <c r="D223" s="142"/>
    </row>
    <row r="224" spans="1:4" ht="12.75" customHeight="1" outlineLevel="1" x14ac:dyDescent="0.35">
      <c r="A224" s="76" t="s">
        <v>353</v>
      </c>
      <c r="B224" s="99" t="s">
        <v>1681</v>
      </c>
      <c r="C224" s="76" t="s">
        <v>1682</v>
      </c>
      <c r="D224" s="142"/>
    </row>
    <row r="225" spans="1:4" ht="12.75" customHeight="1" outlineLevel="1" x14ac:dyDescent="0.35">
      <c r="A225" s="76" t="s">
        <v>353</v>
      </c>
      <c r="B225" s="99" t="s">
        <v>1683</v>
      </c>
      <c r="C225" s="76" t="s">
        <v>1684</v>
      </c>
      <c r="D225" s="142"/>
    </row>
    <row r="226" spans="1:4" ht="12.75" customHeight="1" outlineLevel="1" x14ac:dyDescent="0.35">
      <c r="A226" s="76" t="s">
        <v>353</v>
      </c>
      <c r="B226" s="99" t="s">
        <v>1685</v>
      </c>
      <c r="C226" s="76" t="s">
        <v>1686</v>
      </c>
      <c r="D226" s="142"/>
    </row>
    <row r="227" spans="1:4" ht="12.75" customHeight="1" outlineLevel="1" x14ac:dyDescent="0.35">
      <c r="A227" s="76" t="s">
        <v>353</v>
      </c>
      <c r="B227" s="99" t="s">
        <v>1687</v>
      </c>
      <c r="C227" s="76" t="s">
        <v>1688</v>
      </c>
      <c r="D227" s="142"/>
    </row>
    <row r="228" spans="1:4" ht="12.75" customHeight="1" outlineLevel="1" x14ac:dyDescent="0.35">
      <c r="A228" s="76" t="s">
        <v>353</v>
      </c>
      <c r="B228" s="99" t="s">
        <v>1689</v>
      </c>
      <c r="C228" s="76" t="s">
        <v>1690</v>
      </c>
      <c r="D228" s="142"/>
    </row>
    <row r="229" spans="1:4" ht="12.75" customHeight="1" outlineLevel="1" x14ac:dyDescent="0.35">
      <c r="A229" s="76" t="s">
        <v>353</v>
      </c>
      <c r="B229" s="99" t="s">
        <v>1691</v>
      </c>
      <c r="C229" s="76" t="s">
        <v>1692</v>
      </c>
      <c r="D229" s="142"/>
    </row>
    <row r="230" spans="1:4" ht="12.75" customHeight="1" outlineLevel="1" x14ac:dyDescent="0.35">
      <c r="A230" s="76" t="s">
        <v>353</v>
      </c>
      <c r="B230" s="99" t="s">
        <v>1693</v>
      </c>
      <c r="C230" s="76" t="s">
        <v>1694</v>
      </c>
      <c r="D230" s="142"/>
    </row>
    <row r="231" spans="1:4" ht="12.75" customHeight="1" outlineLevel="1" x14ac:dyDescent="0.35">
      <c r="A231" s="76" t="s">
        <v>353</v>
      </c>
      <c r="B231" s="99" t="s">
        <v>1695</v>
      </c>
      <c r="C231" s="76" t="s">
        <v>1696</v>
      </c>
      <c r="D231" s="142"/>
    </row>
    <row r="232" spans="1:4" ht="12.75" customHeight="1" outlineLevel="1" x14ac:dyDescent="0.35">
      <c r="A232" s="76" t="s">
        <v>353</v>
      </c>
      <c r="B232" s="99" t="s">
        <v>1697</v>
      </c>
      <c r="C232" s="76" t="s">
        <v>1698</v>
      </c>
      <c r="D232" s="142"/>
    </row>
    <row r="233" spans="1:4" ht="12.75" customHeight="1" outlineLevel="1" x14ac:dyDescent="0.35">
      <c r="A233" s="76" t="s">
        <v>353</v>
      </c>
      <c r="B233" s="99" t="s">
        <v>1699</v>
      </c>
      <c r="C233" s="76" t="s">
        <v>1700</v>
      </c>
      <c r="D233" s="142"/>
    </row>
    <row r="234" spans="1:4" ht="12.75" customHeight="1" outlineLevel="1" x14ac:dyDescent="0.35">
      <c r="A234" s="76" t="s">
        <v>353</v>
      </c>
      <c r="B234" s="99" t="s">
        <v>1701</v>
      </c>
      <c r="C234" s="76" t="s">
        <v>1702</v>
      </c>
      <c r="D234" s="142"/>
    </row>
    <row r="235" spans="1:4" ht="12.75" customHeight="1" outlineLevel="1" x14ac:dyDescent="0.35">
      <c r="A235" s="76" t="s">
        <v>353</v>
      </c>
      <c r="B235" s="99" t="s">
        <v>1703</v>
      </c>
      <c r="C235" s="76" t="s">
        <v>1704</v>
      </c>
      <c r="D235" s="142"/>
    </row>
    <row r="236" spans="1:4" ht="12.75" customHeight="1" outlineLevel="1" x14ac:dyDescent="0.35">
      <c r="A236" s="76" t="s">
        <v>353</v>
      </c>
      <c r="B236" s="99" t="s">
        <v>1705</v>
      </c>
      <c r="C236" s="76" t="s">
        <v>1706</v>
      </c>
      <c r="D236" s="142"/>
    </row>
    <row r="237" spans="1:4" ht="12.75" customHeight="1" outlineLevel="1" x14ac:dyDescent="0.35">
      <c r="A237" s="76" t="s">
        <v>353</v>
      </c>
      <c r="B237" s="99" t="s">
        <v>1707</v>
      </c>
      <c r="C237" s="76" t="s">
        <v>1708</v>
      </c>
      <c r="D237" s="142"/>
    </row>
    <row r="238" spans="1:4" ht="12.75" customHeight="1" outlineLevel="1" x14ac:dyDescent="0.35">
      <c r="A238" s="76" t="s">
        <v>353</v>
      </c>
      <c r="B238" s="99" t="s">
        <v>1709</v>
      </c>
      <c r="C238" s="76" t="s">
        <v>1710</v>
      </c>
      <c r="D238" s="142"/>
    </row>
    <row r="239" spans="1:4" ht="12.75" customHeight="1" outlineLevel="1" x14ac:dyDescent="0.35">
      <c r="A239" s="76" t="s">
        <v>353</v>
      </c>
      <c r="B239" s="99" t="s">
        <v>1711</v>
      </c>
      <c r="C239" s="76" t="s">
        <v>1712</v>
      </c>
      <c r="D239" s="142"/>
    </row>
    <row r="240" spans="1:4" ht="12.75" customHeight="1" outlineLevel="1" x14ac:dyDescent="0.35">
      <c r="A240" s="76" t="s">
        <v>353</v>
      </c>
      <c r="B240" s="99" t="s">
        <v>1713</v>
      </c>
      <c r="C240" s="76" t="s">
        <v>1714</v>
      </c>
      <c r="D240" s="142"/>
    </row>
    <row r="241" spans="1:4" ht="12.75" customHeight="1" outlineLevel="1" x14ac:dyDescent="0.35">
      <c r="A241" s="76" t="s">
        <v>353</v>
      </c>
      <c r="B241" s="99" t="s">
        <v>1715</v>
      </c>
      <c r="C241" s="76" t="s">
        <v>1716</v>
      </c>
      <c r="D241" s="142"/>
    </row>
    <row r="242" spans="1:4" ht="12.75" customHeight="1" outlineLevel="1" x14ac:dyDescent="0.35">
      <c r="A242" s="76" t="s">
        <v>353</v>
      </c>
      <c r="B242" s="99" t="s">
        <v>1717</v>
      </c>
      <c r="C242" s="76" t="s">
        <v>1718</v>
      </c>
      <c r="D242" s="142"/>
    </row>
    <row r="243" spans="1:4" ht="12.75" customHeight="1" outlineLevel="1" x14ac:dyDescent="0.35">
      <c r="A243" s="76" t="s">
        <v>353</v>
      </c>
      <c r="B243" s="99" t="s">
        <v>1719</v>
      </c>
      <c r="C243" s="76" t="s">
        <v>1720</v>
      </c>
      <c r="D243" s="142"/>
    </row>
    <row r="244" spans="1:4" ht="12.75" customHeight="1" outlineLevel="1" x14ac:dyDescent="0.35">
      <c r="A244" s="76" t="s">
        <v>353</v>
      </c>
      <c r="B244" s="99" t="s">
        <v>1721</v>
      </c>
      <c r="C244" s="76" t="s">
        <v>1722</v>
      </c>
      <c r="D244" s="142"/>
    </row>
    <row r="245" spans="1:4" ht="12.75" customHeight="1" outlineLevel="1" x14ac:dyDescent="0.35">
      <c r="A245" s="76" t="s">
        <v>353</v>
      </c>
      <c r="B245" s="99" t="s">
        <v>1723</v>
      </c>
      <c r="C245" s="76" t="s">
        <v>1724</v>
      </c>
      <c r="D245" s="142"/>
    </row>
    <row r="246" spans="1:4" ht="12.75" customHeight="1" outlineLevel="1" x14ac:dyDescent="0.35">
      <c r="A246" s="76" t="s">
        <v>353</v>
      </c>
      <c r="B246" s="99" t="s">
        <v>1725</v>
      </c>
      <c r="C246" s="76" t="s">
        <v>1726</v>
      </c>
      <c r="D246" s="142"/>
    </row>
    <row r="247" spans="1:4" ht="12.75" customHeight="1" outlineLevel="1" x14ac:dyDescent="0.35">
      <c r="A247" s="76" t="s">
        <v>353</v>
      </c>
      <c r="B247" s="99" t="s">
        <v>1727</v>
      </c>
      <c r="C247" s="76" t="s">
        <v>1728</v>
      </c>
      <c r="D247" s="142"/>
    </row>
    <row r="248" spans="1:4" ht="12.75" customHeight="1" outlineLevel="1" x14ac:dyDescent="0.35">
      <c r="A248" s="76" t="s">
        <v>353</v>
      </c>
      <c r="B248" s="99" t="s">
        <v>1729</v>
      </c>
      <c r="C248" s="76" t="s">
        <v>1730</v>
      </c>
      <c r="D248" s="142"/>
    </row>
    <row r="249" spans="1:4" ht="12.75" customHeight="1" outlineLevel="1" x14ac:dyDescent="0.35">
      <c r="A249" s="76" t="s">
        <v>353</v>
      </c>
      <c r="B249" s="99" t="s">
        <v>1731</v>
      </c>
      <c r="C249" s="76" t="s">
        <v>1732</v>
      </c>
      <c r="D249" s="142"/>
    </row>
    <row r="250" spans="1:4" ht="12.75" customHeight="1" outlineLevel="1" x14ac:dyDescent="0.35">
      <c r="A250" s="76" t="s">
        <v>353</v>
      </c>
      <c r="B250" s="99" t="s">
        <v>1733</v>
      </c>
      <c r="C250" s="76" t="s">
        <v>1734</v>
      </c>
      <c r="D250" s="142"/>
    </row>
    <row r="251" spans="1:4" ht="12.75" customHeight="1" outlineLevel="1" x14ac:dyDescent="0.35">
      <c r="A251" s="76" t="s">
        <v>353</v>
      </c>
      <c r="B251" s="99" t="s">
        <v>1735</v>
      </c>
      <c r="C251" s="76" t="s">
        <v>1736</v>
      </c>
      <c r="D251" s="142"/>
    </row>
    <row r="252" spans="1:4" ht="12.75" customHeight="1" outlineLevel="1" x14ac:dyDescent="0.35">
      <c r="A252" s="76" t="s">
        <v>353</v>
      </c>
      <c r="B252" s="99" t="s">
        <v>1737</v>
      </c>
      <c r="C252" s="76" t="s">
        <v>1738</v>
      </c>
      <c r="D252" s="142"/>
    </row>
    <row r="253" spans="1:4" ht="12.75" customHeight="1" outlineLevel="1" x14ac:dyDescent="0.35">
      <c r="A253" s="76" t="s">
        <v>353</v>
      </c>
      <c r="B253" s="99" t="s">
        <v>1739</v>
      </c>
      <c r="C253" s="76" t="s">
        <v>1740</v>
      </c>
      <c r="D253" s="142"/>
    </row>
    <row r="254" spans="1:4" ht="12.75" customHeight="1" outlineLevel="1" x14ac:dyDescent="0.35">
      <c r="A254" s="76" t="s">
        <v>353</v>
      </c>
      <c r="B254" s="99" t="s">
        <v>1741</v>
      </c>
      <c r="C254" s="76" t="s">
        <v>1742</v>
      </c>
      <c r="D254" s="142"/>
    </row>
    <row r="255" spans="1:4" ht="12.75" customHeight="1" outlineLevel="1" x14ac:dyDescent="0.35">
      <c r="A255" s="76" t="s">
        <v>353</v>
      </c>
      <c r="B255" s="99" t="s">
        <v>1743</v>
      </c>
      <c r="C255" s="76" t="s">
        <v>1744</v>
      </c>
      <c r="D255" s="142"/>
    </row>
    <row r="256" spans="1:4" ht="12.75" customHeight="1" outlineLevel="1" x14ac:dyDescent="0.35">
      <c r="A256" s="76" t="s">
        <v>353</v>
      </c>
      <c r="B256" s="99" t="s">
        <v>1745</v>
      </c>
      <c r="C256" s="76" t="s">
        <v>1746</v>
      </c>
      <c r="D256" s="142"/>
    </row>
    <row r="257" spans="1:4" ht="12.75" customHeight="1" outlineLevel="1" x14ac:dyDescent="0.35">
      <c r="A257" s="76" t="s">
        <v>353</v>
      </c>
      <c r="B257" s="99" t="s">
        <v>1487</v>
      </c>
      <c r="C257" s="76" t="s">
        <v>1747</v>
      </c>
      <c r="D257" s="142"/>
    </row>
    <row r="258" spans="1:4" ht="12.75" customHeight="1" outlineLevel="1" x14ac:dyDescent="0.35">
      <c r="A258" s="76" t="s">
        <v>353</v>
      </c>
      <c r="B258" s="99" t="s">
        <v>1748</v>
      </c>
      <c r="C258" s="76" t="s">
        <v>1749</v>
      </c>
      <c r="D258" s="142"/>
    </row>
    <row r="259" spans="1:4" ht="12.75" customHeight="1" outlineLevel="1" x14ac:dyDescent="0.35">
      <c r="A259" s="76" t="s">
        <v>353</v>
      </c>
      <c r="B259" s="99" t="s">
        <v>1750</v>
      </c>
      <c r="C259" s="76" t="s">
        <v>1751</v>
      </c>
      <c r="D259" s="142"/>
    </row>
    <row r="260" spans="1:4" ht="12.75" customHeight="1" outlineLevel="1" x14ac:dyDescent="0.35">
      <c r="A260" s="76" t="s">
        <v>353</v>
      </c>
      <c r="B260" s="99" t="s">
        <v>1752</v>
      </c>
      <c r="C260" s="76" t="s">
        <v>1753</v>
      </c>
      <c r="D260" s="142"/>
    </row>
    <row r="261" spans="1:4" ht="12.75" customHeight="1" outlineLevel="1" x14ac:dyDescent="0.35">
      <c r="A261" s="76" t="s">
        <v>353</v>
      </c>
      <c r="B261" s="99" t="s">
        <v>1754</v>
      </c>
      <c r="C261" s="76" t="s">
        <v>1755</v>
      </c>
      <c r="D261" s="142"/>
    </row>
    <row r="262" spans="1:4" ht="12.75" customHeight="1" outlineLevel="1" x14ac:dyDescent="0.35">
      <c r="A262" s="76" t="s">
        <v>353</v>
      </c>
      <c r="B262" s="99" t="s">
        <v>1756</v>
      </c>
      <c r="C262" s="76" t="s">
        <v>1757</v>
      </c>
      <c r="D262" s="142"/>
    </row>
    <row r="263" spans="1:4" ht="12.75" customHeight="1" outlineLevel="1" x14ac:dyDescent="0.35">
      <c r="A263" s="76" t="s">
        <v>353</v>
      </c>
      <c r="B263" s="99" t="s">
        <v>1758</v>
      </c>
      <c r="C263" s="76" t="s">
        <v>1759</v>
      </c>
      <c r="D263" s="142"/>
    </row>
    <row r="264" spans="1:4" ht="12.75" customHeight="1" outlineLevel="1" x14ac:dyDescent="0.35">
      <c r="A264" s="76" t="s">
        <v>353</v>
      </c>
      <c r="B264" s="99" t="s">
        <v>1760</v>
      </c>
      <c r="C264" s="76" t="s">
        <v>1761</v>
      </c>
      <c r="D264" s="142"/>
    </row>
    <row r="265" spans="1:4" ht="12.75" customHeight="1" outlineLevel="1" x14ac:dyDescent="0.35">
      <c r="A265" s="76" t="s">
        <v>353</v>
      </c>
      <c r="B265" s="99" t="s">
        <v>1762</v>
      </c>
      <c r="C265" s="76" t="s">
        <v>1763</v>
      </c>
      <c r="D265" s="142"/>
    </row>
    <row r="266" spans="1:4" ht="12.75" customHeight="1" outlineLevel="1" x14ac:dyDescent="0.35">
      <c r="A266" s="76" t="s">
        <v>353</v>
      </c>
      <c r="B266" s="99" t="s">
        <v>1764</v>
      </c>
      <c r="C266" s="76" t="s">
        <v>1765</v>
      </c>
      <c r="D266" s="142"/>
    </row>
    <row r="267" spans="1:4" ht="12.75" customHeight="1" outlineLevel="1" x14ac:dyDescent="0.35">
      <c r="A267" s="76" t="s">
        <v>353</v>
      </c>
      <c r="B267" s="99" t="s">
        <v>1766</v>
      </c>
      <c r="C267" s="76" t="s">
        <v>1767</v>
      </c>
      <c r="D267" s="142"/>
    </row>
    <row r="268" spans="1:4" ht="12.75" customHeight="1" outlineLevel="1" x14ac:dyDescent="0.35">
      <c r="A268" s="76" t="s">
        <v>353</v>
      </c>
      <c r="B268" s="99" t="s">
        <v>1768</v>
      </c>
      <c r="C268" s="76" t="s">
        <v>1769</v>
      </c>
      <c r="D268" s="142"/>
    </row>
    <row r="269" spans="1:4" ht="12.75" customHeight="1" outlineLevel="1" x14ac:dyDescent="0.35">
      <c r="A269" s="76" t="s">
        <v>353</v>
      </c>
      <c r="B269" s="99" t="s">
        <v>1770</v>
      </c>
      <c r="C269" s="76" t="s">
        <v>1771</v>
      </c>
      <c r="D269" s="142"/>
    </row>
    <row r="270" spans="1:4" ht="12.75" customHeight="1" outlineLevel="1" x14ac:dyDescent="0.35">
      <c r="A270" s="76" t="s">
        <v>353</v>
      </c>
      <c r="B270" s="99" t="s">
        <v>1772</v>
      </c>
      <c r="C270" s="76" t="s">
        <v>1773</v>
      </c>
      <c r="D270" s="142"/>
    </row>
    <row r="271" spans="1:4" ht="12.75" customHeight="1" outlineLevel="1" x14ac:dyDescent="0.35">
      <c r="A271" s="76" t="s">
        <v>353</v>
      </c>
      <c r="B271" s="99" t="s">
        <v>1774</v>
      </c>
      <c r="C271" s="76" t="s">
        <v>1775</v>
      </c>
      <c r="D271" s="142"/>
    </row>
    <row r="272" spans="1:4" ht="12.75" customHeight="1" outlineLevel="1" x14ac:dyDescent="0.35">
      <c r="A272" s="76" t="s">
        <v>353</v>
      </c>
      <c r="B272" s="99" t="s">
        <v>1776</v>
      </c>
      <c r="C272" s="76" t="s">
        <v>1777</v>
      </c>
      <c r="D272" s="142"/>
    </row>
    <row r="273" spans="1:4" ht="12.75" customHeight="1" outlineLevel="1" x14ac:dyDescent="0.35">
      <c r="A273" s="76" t="s">
        <v>353</v>
      </c>
      <c r="B273" s="99" t="s">
        <v>1778</v>
      </c>
      <c r="C273" s="76" t="s">
        <v>1779</v>
      </c>
      <c r="D273" s="142"/>
    </row>
    <row r="274" spans="1:4" ht="12.75" customHeight="1" outlineLevel="1" x14ac:dyDescent="0.35">
      <c r="A274" s="76" t="s">
        <v>353</v>
      </c>
      <c r="B274" s="99" t="s">
        <v>1780</v>
      </c>
      <c r="C274" s="76" t="s">
        <v>1781</v>
      </c>
      <c r="D274" s="142"/>
    </row>
    <row r="275" spans="1:4" ht="12.75" customHeight="1" outlineLevel="1" x14ac:dyDescent="0.35">
      <c r="A275" s="76" t="s">
        <v>353</v>
      </c>
      <c r="B275" s="99" t="s">
        <v>1782</v>
      </c>
      <c r="C275" s="76" t="s">
        <v>1783</v>
      </c>
      <c r="D275" s="142"/>
    </row>
    <row r="276" spans="1:4" ht="12.75" customHeight="1" outlineLevel="1" x14ac:dyDescent="0.35">
      <c r="A276" s="76" t="s">
        <v>353</v>
      </c>
      <c r="B276" s="99" t="s">
        <v>1784</v>
      </c>
      <c r="C276" s="76" t="s">
        <v>1785</v>
      </c>
      <c r="D276" s="142"/>
    </row>
    <row r="277" spans="1:4" ht="12.75" customHeight="1" outlineLevel="1" x14ac:dyDescent="0.35">
      <c r="A277" s="76" t="s">
        <v>353</v>
      </c>
      <c r="B277" s="99" t="s">
        <v>1786</v>
      </c>
      <c r="C277" s="76" t="s">
        <v>1787</v>
      </c>
      <c r="D277" s="142"/>
    </row>
    <row r="278" spans="1:4" ht="12.75" customHeight="1" outlineLevel="1" x14ac:dyDescent="0.35">
      <c r="A278" s="76" t="s">
        <v>353</v>
      </c>
      <c r="B278" s="99" t="s">
        <v>1788</v>
      </c>
      <c r="C278" s="76" t="s">
        <v>1789</v>
      </c>
      <c r="D278" s="142"/>
    </row>
    <row r="279" spans="1:4" ht="12.75" customHeight="1" outlineLevel="1" x14ac:dyDescent="0.35">
      <c r="A279" s="76" t="s">
        <v>353</v>
      </c>
      <c r="B279" s="99" t="s">
        <v>1790</v>
      </c>
      <c r="C279" s="76" t="s">
        <v>1791</v>
      </c>
      <c r="D279" s="142"/>
    </row>
    <row r="280" spans="1:4" ht="12.75" customHeight="1" outlineLevel="1" x14ac:dyDescent="0.35">
      <c r="A280" s="76" t="s">
        <v>353</v>
      </c>
      <c r="B280" s="99" t="s">
        <v>1792</v>
      </c>
      <c r="C280" s="76" t="s">
        <v>1793</v>
      </c>
      <c r="D280" s="142"/>
    </row>
    <row r="281" spans="1:4" ht="12.75" customHeight="1" outlineLevel="1" x14ac:dyDescent="0.35">
      <c r="A281" s="76" t="s">
        <v>353</v>
      </c>
      <c r="B281" s="99" t="s">
        <v>1794</v>
      </c>
      <c r="C281" s="76" t="s">
        <v>1795</v>
      </c>
      <c r="D281" s="142"/>
    </row>
    <row r="282" spans="1:4" ht="12.75" customHeight="1" outlineLevel="1" x14ac:dyDescent="0.35">
      <c r="A282" s="76" t="s">
        <v>353</v>
      </c>
      <c r="B282" s="99" t="s">
        <v>1796</v>
      </c>
      <c r="C282" s="76" t="s">
        <v>1797</v>
      </c>
      <c r="D282" s="142"/>
    </row>
    <row r="283" spans="1:4" ht="12.75" customHeight="1" outlineLevel="1" x14ac:dyDescent="0.35">
      <c r="A283" s="76" t="s">
        <v>353</v>
      </c>
      <c r="B283" s="99" t="s">
        <v>1798</v>
      </c>
      <c r="C283" s="76" t="s">
        <v>1799</v>
      </c>
      <c r="D283" s="142"/>
    </row>
    <row r="284" spans="1:4" ht="12.75" customHeight="1" outlineLevel="1" x14ac:dyDescent="0.35">
      <c r="A284" s="76" t="s">
        <v>353</v>
      </c>
      <c r="B284" s="99" t="s">
        <v>1800</v>
      </c>
      <c r="C284" s="76" t="s">
        <v>1801</v>
      </c>
      <c r="D284" s="142"/>
    </row>
    <row r="285" spans="1:4" ht="12.75" customHeight="1" outlineLevel="1" x14ac:dyDescent="0.35">
      <c r="A285" s="76" t="s">
        <v>353</v>
      </c>
      <c r="B285" s="99" t="s">
        <v>1802</v>
      </c>
      <c r="C285" s="76" t="s">
        <v>1803</v>
      </c>
      <c r="D285" s="142"/>
    </row>
    <row r="286" spans="1:4" ht="12.75" customHeight="1" outlineLevel="1" x14ac:dyDescent="0.35">
      <c r="A286" s="76" t="s">
        <v>353</v>
      </c>
      <c r="B286" s="99" t="s">
        <v>1804</v>
      </c>
      <c r="C286" s="76" t="s">
        <v>1805</v>
      </c>
      <c r="D286" s="142"/>
    </row>
    <row r="287" spans="1:4" ht="12.75" customHeight="1" outlineLevel="1" x14ac:dyDescent="0.35">
      <c r="A287" s="76" t="s">
        <v>353</v>
      </c>
      <c r="B287" s="99" t="s">
        <v>1806</v>
      </c>
      <c r="C287" s="76" t="s">
        <v>1807</v>
      </c>
      <c r="D287" s="142"/>
    </row>
    <row r="288" spans="1:4" ht="12.75" customHeight="1" outlineLevel="1" x14ac:dyDescent="0.35">
      <c r="A288" s="76" t="s">
        <v>353</v>
      </c>
      <c r="B288" s="99" t="s">
        <v>1808</v>
      </c>
      <c r="C288" s="76" t="s">
        <v>1809</v>
      </c>
      <c r="D288" s="142"/>
    </row>
    <row r="289" spans="1:4" ht="12.75" customHeight="1" outlineLevel="1" x14ac:dyDescent="0.35">
      <c r="A289" s="76" t="s">
        <v>353</v>
      </c>
      <c r="B289" s="99" t="s">
        <v>1810</v>
      </c>
      <c r="C289" s="76" t="s">
        <v>1811</v>
      </c>
      <c r="D289" s="142"/>
    </row>
    <row r="290" spans="1:4" ht="12.75" customHeight="1" outlineLevel="1" x14ac:dyDescent="0.35">
      <c r="A290" s="76" t="s">
        <v>353</v>
      </c>
      <c r="B290" s="99" t="s">
        <v>1812</v>
      </c>
      <c r="C290" s="76" t="s">
        <v>1813</v>
      </c>
      <c r="D290" s="142"/>
    </row>
    <row r="291" spans="1:4" ht="12.75" customHeight="1" outlineLevel="1" x14ac:dyDescent="0.35">
      <c r="A291" s="76" t="s">
        <v>353</v>
      </c>
      <c r="B291" s="99" t="s">
        <v>1814</v>
      </c>
      <c r="C291" s="76" t="s">
        <v>1815</v>
      </c>
      <c r="D291" s="142"/>
    </row>
    <row r="292" spans="1:4" ht="12.75" customHeight="1" outlineLevel="1" x14ac:dyDescent="0.35">
      <c r="A292" s="76" t="s">
        <v>353</v>
      </c>
      <c r="B292" s="99" t="s">
        <v>1816</v>
      </c>
      <c r="C292" s="76" t="s">
        <v>1817</v>
      </c>
      <c r="D292" s="142"/>
    </row>
    <row r="293" spans="1:4" ht="12.75" customHeight="1" outlineLevel="1" x14ac:dyDescent="0.35">
      <c r="A293" s="76" t="s">
        <v>353</v>
      </c>
      <c r="B293" s="99" t="s">
        <v>1818</v>
      </c>
      <c r="C293" s="76" t="s">
        <v>1819</v>
      </c>
      <c r="D293" s="142"/>
    </row>
    <row r="294" spans="1:4" ht="12.75" customHeight="1" outlineLevel="1" x14ac:dyDescent="0.35">
      <c r="A294" s="76" t="s">
        <v>353</v>
      </c>
      <c r="B294" s="99" t="s">
        <v>1820</v>
      </c>
      <c r="C294" s="76" t="s">
        <v>1821</v>
      </c>
      <c r="D294" s="142"/>
    </row>
    <row r="295" spans="1:4" ht="12.75" customHeight="1" outlineLevel="1" x14ac:dyDescent="0.35">
      <c r="A295" s="76" t="s">
        <v>353</v>
      </c>
      <c r="B295" s="99" t="s">
        <v>1822</v>
      </c>
      <c r="C295" s="76" t="s">
        <v>1823</v>
      </c>
      <c r="D295" s="142"/>
    </row>
    <row r="296" spans="1:4" ht="12.75" customHeight="1" outlineLevel="1" x14ac:dyDescent="0.35">
      <c r="A296" s="76" t="s">
        <v>353</v>
      </c>
      <c r="B296" s="99" t="s">
        <v>1489</v>
      </c>
      <c r="C296" s="76" t="s">
        <v>1824</v>
      </c>
      <c r="D296" s="142"/>
    </row>
    <row r="297" spans="1:4" ht="12.75" customHeight="1" outlineLevel="1" x14ac:dyDescent="0.35">
      <c r="A297" s="76" t="s">
        <v>353</v>
      </c>
      <c r="B297" s="99" t="s">
        <v>1825</v>
      </c>
      <c r="C297" s="76" t="s">
        <v>1826</v>
      </c>
      <c r="D297" s="142"/>
    </row>
    <row r="298" spans="1:4" ht="12.75" customHeight="1" outlineLevel="1" x14ac:dyDescent="0.35">
      <c r="A298" s="76" t="s">
        <v>353</v>
      </c>
      <c r="B298" s="99" t="s">
        <v>1827</v>
      </c>
      <c r="C298" s="76" t="s">
        <v>1828</v>
      </c>
      <c r="D298" s="142"/>
    </row>
    <row r="299" spans="1:4" ht="12.75" customHeight="1" outlineLevel="1" x14ac:dyDescent="0.35">
      <c r="A299" s="76" t="s">
        <v>353</v>
      </c>
      <c r="B299" s="99" t="s">
        <v>1829</v>
      </c>
      <c r="C299" s="76" t="s">
        <v>1830</v>
      </c>
      <c r="D299" s="142"/>
    </row>
    <row r="300" spans="1:4" ht="12.75" customHeight="1" outlineLevel="1" x14ac:dyDescent="0.35">
      <c r="A300" s="76" t="s">
        <v>353</v>
      </c>
      <c r="B300" s="99" t="s">
        <v>1831</v>
      </c>
      <c r="C300" s="76" t="s">
        <v>1832</v>
      </c>
      <c r="D300" s="142"/>
    </row>
    <row r="301" spans="1:4" ht="12.75" customHeight="1" outlineLevel="1" x14ac:dyDescent="0.35">
      <c r="A301" s="76" t="s">
        <v>353</v>
      </c>
      <c r="B301" s="99" t="s">
        <v>1523</v>
      </c>
      <c r="C301" s="76" t="s">
        <v>1833</v>
      </c>
      <c r="D301" s="142"/>
    </row>
    <row r="302" spans="1:4" ht="12.75" customHeight="1" outlineLevel="1" x14ac:dyDescent="0.35">
      <c r="A302" s="76" t="s">
        <v>353</v>
      </c>
      <c r="B302" s="99" t="s">
        <v>1834</v>
      </c>
      <c r="C302" s="76" t="s">
        <v>1835</v>
      </c>
      <c r="D302" s="142"/>
    </row>
    <row r="303" spans="1:4" ht="12.75" customHeight="1" outlineLevel="1" x14ac:dyDescent="0.35">
      <c r="A303" s="76" t="s">
        <v>353</v>
      </c>
      <c r="B303" s="99" t="s">
        <v>1836</v>
      </c>
      <c r="C303" s="76" t="s">
        <v>1837</v>
      </c>
      <c r="D303" s="142"/>
    </row>
    <row r="304" spans="1:4" ht="12.75" customHeight="1" outlineLevel="1" x14ac:dyDescent="0.35">
      <c r="A304" s="76" t="s">
        <v>353</v>
      </c>
      <c r="B304" s="99" t="s">
        <v>1838</v>
      </c>
      <c r="C304" s="76" t="s">
        <v>1839</v>
      </c>
      <c r="D304" s="142"/>
    </row>
    <row r="305" spans="1:4" ht="12.75" customHeight="1" outlineLevel="1" x14ac:dyDescent="0.35">
      <c r="A305" s="76" t="s">
        <v>353</v>
      </c>
      <c r="B305" s="99" t="s">
        <v>1840</v>
      </c>
      <c r="C305" s="76" t="s">
        <v>1841</v>
      </c>
      <c r="D305" s="142"/>
    </row>
    <row r="306" spans="1:4" ht="12.75" customHeight="1" outlineLevel="1" x14ac:dyDescent="0.35">
      <c r="A306" s="76" t="s">
        <v>353</v>
      </c>
      <c r="B306" s="99" t="s">
        <v>1842</v>
      </c>
      <c r="C306" s="76" t="s">
        <v>1843</v>
      </c>
      <c r="D306" s="142"/>
    </row>
    <row r="307" spans="1:4" ht="12.75" customHeight="1" outlineLevel="1" x14ac:dyDescent="0.35">
      <c r="A307" s="76" t="s">
        <v>353</v>
      </c>
      <c r="B307" s="99" t="s">
        <v>1844</v>
      </c>
      <c r="C307" s="76" t="s">
        <v>1845</v>
      </c>
      <c r="D307" s="142"/>
    </row>
    <row r="308" spans="1:4" ht="12.75" customHeight="1" outlineLevel="1" x14ac:dyDescent="0.35">
      <c r="A308" s="76" t="s">
        <v>353</v>
      </c>
      <c r="B308" s="99" t="s">
        <v>1846</v>
      </c>
      <c r="C308" s="76" t="s">
        <v>1847</v>
      </c>
      <c r="D308" s="142"/>
    </row>
    <row r="309" spans="1:4" ht="12.75" customHeight="1" outlineLevel="1" x14ac:dyDescent="0.35">
      <c r="A309" s="76" t="s">
        <v>353</v>
      </c>
      <c r="B309" s="99" t="s">
        <v>1848</v>
      </c>
      <c r="C309" s="76" t="s">
        <v>1849</v>
      </c>
      <c r="D309" s="142"/>
    </row>
    <row r="310" spans="1:4" ht="12.75" customHeight="1" outlineLevel="1" x14ac:dyDescent="0.35">
      <c r="A310" s="76" t="s">
        <v>353</v>
      </c>
      <c r="B310" s="99" t="s">
        <v>1850</v>
      </c>
      <c r="C310" s="76" t="s">
        <v>1851</v>
      </c>
      <c r="D310" s="142"/>
    </row>
    <row r="311" spans="1:4" ht="12.75" customHeight="1" outlineLevel="1" x14ac:dyDescent="0.35">
      <c r="A311" s="76" t="s">
        <v>353</v>
      </c>
      <c r="B311" s="99" t="s">
        <v>1852</v>
      </c>
      <c r="C311" s="76" t="s">
        <v>1853</v>
      </c>
      <c r="D311" s="142"/>
    </row>
    <row r="312" spans="1:4" ht="12.75" customHeight="1" outlineLevel="1" x14ac:dyDescent="0.35">
      <c r="A312" s="76" t="s">
        <v>353</v>
      </c>
      <c r="B312" s="99" t="s">
        <v>1854</v>
      </c>
      <c r="C312" s="76" t="s">
        <v>1855</v>
      </c>
      <c r="D312" s="142"/>
    </row>
    <row r="313" spans="1:4" ht="12.75" customHeight="1" outlineLevel="1" x14ac:dyDescent="0.35">
      <c r="A313" s="76" t="s">
        <v>353</v>
      </c>
      <c r="B313" s="99" t="s">
        <v>1856</v>
      </c>
      <c r="C313" s="76" t="s">
        <v>1857</v>
      </c>
      <c r="D313" s="142"/>
    </row>
    <row r="314" spans="1:4" ht="12.75" customHeight="1" outlineLevel="1" x14ac:dyDescent="0.35">
      <c r="A314" s="76" t="s">
        <v>353</v>
      </c>
      <c r="B314" s="99" t="s">
        <v>1858</v>
      </c>
      <c r="C314" s="76" t="s">
        <v>1859</v>
      </c>
      <c r="D314" s="142"/>
    </row>
    <row r="315" spans="1:4" ht="12.75" customHeight="1" outlineLevel="1" x14ac:dyDescent="0.35">
      <c r="A315" s="76" t="s">
        <v>353</v>
      </c>
      <c r="B315" s="99" t="s">
        <v>1860</v>
      </c>
      <c r="C315" s="76" t="s">
        <v>1861</v>
      </c>
      <c r="D315" s="142"/>
    </row>
    <row r="316" spans="1:4" ht="12.75" customHeight="1" outlineLevel="1" x14ac:dyDescent="0.35">
      <c r="A316" s="76" t="s">
        <v>353</v>
      </c>
      <c r="B316" s="99" t="s">
        <v>1862</v>
      </c>
      <c r="C316" s="76" t="s">
        <v>1863</v>
      </c>
      <c r="D316" s="142"/>
    </row>
    <row r="317" spans="1:4" ht="12.75" customHeight="1" outlineLevel="1" x14ac:dyDescent="0.35">
      <c r="A317" s="76" t="s">
        <v>353</v>
      </c>
      <c r="B317" s="99" t="s">
        <v>1492</v>
      </c>
      <c r="C317" s="76" t="s">
        <v>1864</v>
      </c>
      <c r="D317" s="142"/>
    </row>
    <row r="318" spans="1:4" ht="12.75" customHeight="1" outlineLevel="1" x14ac:dyDescent="0.35">
      <c r="A318" s="76" t="s">
        <v>353</v>
      </c>
      <c r="B318" s="99" t="s">
        <v>1865</v>
      </c>
      <c r="C318" s="76" t="s">
        <v>1866</v>
      </c>
      <c r="D318" s="142"/>
    </row>
    <row r="319" spans="1:4" ht="12.75" customHeight="1" outlineLevel="1" x14ac:dyDescent="0.35">
      <c r="A319" s="76" t="s">
        <v>353</v>
      </c>
      <c r="B319" s="99" t="s">
        <v>1867</v>
      </c>
      <c r="C319" s="76" t="s">
        <v>1868</v>
      </c>
      <c r="D319" s="142"/>
    </row>
    <row r="320" spans="1:4" ht="12.75" customHeight="1" outlineLevel="1" x14ac:dyDescent="0.35">
      <c r="A320" s="76" t="s">
        <v>353</v>
      </c>
      <c r="B320" s="99" t="s">
        <v>1869</v>
      </c>
      <c r="C320" s="76" t="s">
        <v>1870</v>
      </c>
      <c r="D320" s="142"/>
    </row>
    <row r="321" spans="1:4" ht="12.75" customHeight="1" outlineLevel="1" x14ac:dyDescent="0.35">
      <c r="A321" s="76" t="s">
        <v>353</v>
      </c>
      <c r="B321" s="99" t="s">
        <v>1871</v>
      </c>
      <c r="C321" s="76" t="s">
        <v>1872</v>
      </c>
      <c r="D321" s="142"/>
    </row>
    <row r="322" spans="1:4" ht="12.75" customHeight="1" outlineLevel="1" x14ac:dyDescent="0.35">
      <c r="A322" s="76" t="s">
        <v>353</v>
      </c>
      <c r="B322" s="99" t="s">
        <v>1873</v>
      </c>
      <c r="C322" s="76" t="s">
        <v>1874</v>
      </c>
      <c r="D322" s="142"/>
    </row>
    <row r="323" spans="1:4" ht="12.75" customHeight="1" outlineLevel="1" x14ac:dyDescent="0.35">
      <c r="A323" s="76" t="s">
        <v>353</v>
      </c>
      <c r="B323" s="99" t="s">
        <v>1875</v>
      </c>
      <c r="C323" s="76" t="s">
        <v>1876</v>
      </c>
      <c r="D323" s="142"/>
    </row>
    <row r="324" spans="1:4" ht="12.75" customHeight="1" outlineLevel="1" x14ac:dyDescent="0.35">
      <c r="A324" s="76" t="s">
        <v>353</v>
      </c>
      <c r="B324" s="99" t="s">
        <v>1877</v>
      </c>
      <c r="C324" s="76" t="s">
        <v>1878</v>
      </c>
      <c r="D324" s="142"/>
    </row>
    <row r="325" spans="1:4" ht="12.75" customHeight="1" outlineLevel="1" x14ac:dyDescent="0.35">
      <c r="A325" s="76" t="s">
        <v>353</v>
      </c>
      <c r="B325" s="99" t="s">
        <v>1879</v>
      </c>
      <c r="C325" s="76" t="s">
        <v>1880</v>
      </c>
      <c r="D325" s="142"/>
    </row>
    <row r="326" spans="1:4" ht="12.75" customHeight="1" outlineLevel="1" x14ac:dyDescent="0.35">
      <c r="A326" s="76" t="s">
        <v>353</v>
      </c>
      <c r="B326" s="99" t="s">
        <v>1881</v>
      </c>
      <c r="C326" s="76" t="s">
        <v>1882</v>
      </c>
      <c r="D326" s="142"/>
    </row>
    <row r="327" spans="1:4" ht="12.75" customHeight="1" outlineLevel="1" x14ac:dyDescent="0.35">
      <c r="A327" s="76" t="s">
        <v>353</v>
      </c>
      <c r="B327" s="99" t="s">
        <v>1883</v>
      </c>
      <c r="C327" s="76" t="s">
        <v>1884</v>
      </c>
      <c r="D327" s="142"/>
    </row>
    <row r="328" spans="1:4" ht="12.75" customHeight="1" outlineLevel="1" x14ac:dyDescent="0.35">
      <c r="A328" s="76" t="s">
        <v>353</v>
      </c>
      <c r="B328" s="99" t="s">
        <v>1885</v>
      </c>
      <c r="C328" s="76" t="s">
        <v>1886</v>
      </c>
      <c r="D328" s="142"/>
    </row>
    <row r="329" spans="1:4" ht="12.75" customHeight="1" outlineLevel="1" x14ac:dyDescent="0.35">
      <c r="A329" s="76" t="s">
        <v>353</v>
      </c>
      <c r="B329" s="99" t="s">
        <v>1887</v>
      </c>
      <c r="C329" s="76" t="s">
        <v>1888</v>
      </c>
      <c r="D329" s="142"/>
    </row>
    <row r="330" spans="1:4" ht="12.75" customHeight="1" outlineLevel="1" x14ac:dyDescent="0.35">
      <c r="A330" s="76" t="s">
        <v>353</v>
      </c>
      <c r="B330" s="99" t="s">
        <v>1889</v>
      </c>
      <c r="C330" s="76" t="s">
        <v>1890</v>
      </c>
      <c r="D330" s="142"/>
    </row>
    <row r="331" spans="1:4" ht="12.75" customHeight="1" outlineLevel="1" x14ac:dyDescent="0.35">
      <c r="A331" s="76" t="s">
        <v>353</v>
      </c>
      <c r="B331" s="99" t="s">
        <v>23</v>
      </c>
      <c r="C331" s="76" t="s">
        <v>1891</v>
      </c>
      <c r="D331" s="142"/>
    </row>
    <row r="332" spans="1:4" ht="12.75" customHeight="1" outlineLevel="1" x14ac:dyDescent="0.35">
      <c r="A332" s="76" t="s">
        <v>353</v>
      </c>
      <c r="B332" s="99" t="s">
        <v>1892</v>
      </c>
      <c r="C332" s="76" t="s">
        <v>1893</v>
      </c>
      <c r="D332" s="142"/>
    </row>
    <row r="333" spans="1:4" ht="12.75" customHeight="1" outlineLevel="1" x14ac:dyDescent="0.35">
      <c r="A333" s="76" t="s">
        <v>353</v>
      </c>
      <c r="B333" s="99" t="s">
        <v>1894</v>
      </c>
      <c r="C333" s="76" t="s">
        <v>1895</v>
      </c>
      <c r="D333" s="142"/>
    </row>
    <row r="334" spans="1:4" ht="12.75" customHeight="1" outlineLevel="1" x14ac:dyDescent="0.35">
      <c r="A334" s="76" t="s">
        <v>353</v>
      </c>
      <c r="B334" s="99" t="s">
        <v>1896</v>
      </c>
      <c r="C334" s="76" t="s">
        <v>1897</v>
      </c>
      <c r="D334" s="142"/>
    </row>
    <row r="335" spans="1:4" ht="12.75" customHeight="1" outlineLevel="1" x14ac:dyDescent="0.35">
      <c r="A335" s="76" t="s">
        <v>353</v>
      </c>
      <c r="B335" s="99" t="s">
        <v>1898</v>
      </c>
      <c r="C335" s="76" t="s">
        <v>1899</v>
      </c>
      <c r="D335" s="142"/>
    </row>
    <row r="336" spans="1:4" ht="12.75" customHeight="1" outlineLevel="1" x14ac:dyDescent="0.35">
      <c r="A336" s="76" t="s">
        <v>353</v>
      </c>
      <c r="B336" s="99" t="s">
        <v>1900</v>
      </c>
      <c r="C336" s="76" t="s">
        <v>1901</v>
      </c>
      <c r="D336" s="142"/>
    </row>
    <row r="337" spans="1:4" ht="12.75" customHeight="1" outlineLevel="1" x14ac:dyDescent="0.35">
      <c r="A337" s="76" t="s">
        <v>353</v>
      </c>
      <c r="B337" s="99" t="s">
        <v>1902</v>
      </c>
      <c r="C337" s="76" t="s">
        <v>1903</v>
      </c>
      <c r="D337" s="142"/>
    </row>
    <row r="338" spans="1:4" ht="12.75" customHeight="1" outlineLevel="1" x14ac:dyDescent="0.35">
      <c r="A338" s="76" t="s">
        <v>353</v>
      </c>
      <c r="B338" s="99" t="s">
        <v>1904</v>
      </c>
      <c r="C338" s="76" t="s">
        <v>1905</v>
      </c>
      <c r="D338" s="142"/>
    </row>
    <row r="339" spans="1:4" ht="12.75" customHeight="1" outlineLevel="1" x14ac:dyDescent="0.35">
      <c r="A339" s="76" t="s">
        <v>353</v>
      </c>
      <c r="B339" s="99" t="s">
        <v>1906</v>
      </c>
      <c r="C339" s="76" t="s">
        <v>1907</v>
      </c>
      <c r="D339" s="142"/>
    </row>
    <row r="340" spans="1:4" ht="12.75" customHeight="1" outlineLevel="1" x14ac:dyDescent="0.35">
      <c r="A340" s="76" t="s">
        <v>353</v>
      </c>
      <c r="B340" s="99" t="s">
        <v>1908</v>
      </c>
      <c r="C340" s="76" t="s">
        <v>1909</v>
      </c>
      <c r="D340" s="142"/>
    </row>
    <row r="341" spans="1:4" ht="12.75" customHeight="1" outlineLevel="1" x14ac:dyDescent="0.35">
      <c r="A341" s="76" t="s">
        <v>353</v>
      </c>
      <c r="B341" s="99" t="s">
        <v>1910</v>
      </c>
      <c r="C341" s="76" t="s">
        <v>1911</v>
      </c>
      <c r="D341" s="142"/>
    </row>
    <row r="342" spans="1:4" ht="12.75" customHeight="1" outlineLevel="1" x14ac:dyDescent="0.35">
      <c r="A342" s="76" t="s">
        <v>353</v>
      </c>
      <c r="B342" s="99" t="s">
        <v>1912</v>
      </c>
      <c r="C342" s="76" t="s">
        <v>1913</v>
      </c>
      <c r="D342" s="142"/>
    </row>
    <row r="343" spans="1:4" ht="12.75" customHeight="1" outlineLevel="1" x14ac:dyDescent="0.35">
      <c r="A343" s="76" t="s">
        <v>353</v>
      </c>
      <c r="B343" s="99" t="s">
        <v>1914</v>
      </c>
      <c r="C343" s="76" t="s">
        <v>1915</v>
      </c>
      <c r="D343" s="142"/>
    </row>
    <row r="344" spans="1:4" ht="12.75" customHeight="1" outlineLevel="1" x14ac:dyDescent="0.35">
      <c r="A344" s="76" t="s">
        <v>353</v>
      </c>
      <c r="B344" s="99" t="s">
        <v>1916</v>
      </c>
      <c r="C344" s="76" t="s">
        <v>1917</v>
      </c>
      <c r="D344" s="142"/>
    </row>
    <row r="345" spans="1:4" ht="12.75" customHeight="1" outlineLevel="1" x14ac:dyDescent="0.35">
      <c r="A345" s="76" t="s">
        <v>353</v>
      </c>
      <c r="B345" s="99" t="s">
        <v>26</v>
      </c>
      <c r="C345" s="76" t="s">
        <v>1918</v>
      </c>
      <c r="D345" s="142"/>
    </row>
    <row r="346" spans="1:4" ht="12.75" customHeight="1" outlineLevel="1" x14ac:dyDescent="0.35">
      <c r="A346" s="76" t="s">
        <v>353</v>
      </c>
      <c r="B346" s="99" t="s">
        <v>1919</v>
      </c>
      <c r="C346" s="76" t="s">
        <v>1920</v>
      </c>
      <c r="D346" s="142"/>
    </row>
    <row r="347" spans="1:4" ht="12.75" customHeight="1" outlineLevel="1" x14ac:dyDescent="0.35">
      <c r="A347" s="76" t="s">
        <v>353</v>
      </c>
      <c r="B347" s="99" t="s">
        <v>1921</v>
      </c>
      <c r="C347" s="76" t="s">
        <v>1922</v>
      </c>
      <c r="D347" s="142"/>
    </row>
    <row r="348" spans="1:4" ht="12.75" customHeight="1" outlineLevel="1" x14ac:dyDescent="0.35">
      <c r="A348" s="76" t="s">
        <v>353</v>
      </c>
      <c r="B348" s="99" t="s">
        <v>1923</v>
      </c>
      <c r="C348" s="76" t="s">
        <v>1924</v>
      </c>
      <c r="D348" s="142"/>
    </row>
    <row r="349" spans="1:4" ht="12.75" customHeight="1" outlineLevel="1" x14ac:dyDescent="0.35">
      <c r="A349" s="76" t="s">
        <v>353</v>
      </c>
      <c r="B349" s="99" t="s">
        <v>1925</v>
      </c>
      <c r="C349" s="76" t="s">
        <v>1926</v>
      </c>
      <c r="D349" s="142"/>
    </row>
    <row r="350" spans="1:4" ht="12.75" customHeight="1" outlineLevel="1" x14ac:dyDescent="0.35">
      <c r="A350" s="76" t="s">
        <v>353</v>
      </c>
      <c r="B350" s="99" t="s">
        <v>1927</v>
      </c>
      <c r="C350" s="76" t="s">
        <v>1928</v>
      </c>
      <c r="D350" s="142"/>
    </row>
    <row r="351" spans="1:4" ht="12.75" customHeight="1" outlineLevel="1" x14ac:dyDescent="0.35">
      <c r="A351" s="76" t="s">
        <v>353</v>
      </c>
      <c r="B351" s="99" t="s">
        <v>1929</v>
      </c>
      <c r="C351" s="76" t="s">
        <v>1930</v>
      </c>
      <c r="D351" s="142"/>
    </row>
    <row r="352" spans="1:4" ht="12.75" customHeight="1" outlineLevel="1" x14ac:dyDescent="0.35">
      <c r="A352" s="76" t="s">
        <v>353</v>
      </c>
      <c r="B352" s="99" t="s">
        <v>1931</v>
      </c>
      <c r="C352" s="76" t="s">
        <v>1932</v>
      </c>
      <c r="D352" s="142"/>
    </row>
    <row r="353" spans="1:4" ht="12.75" customHeight="1" outlineLevel="1" x14ac:dyDescent="0.35">
      <c r="A353" s="76" t="s">
        <v>353</v>
      </c>
      <c r="B353" s="99" t="s">
        <v>1933</v>
      </c>
      <c r="C353" s="76" t="s">
        <v>1934</v>
      </c>
      <c r="D353" s="142"/>
    </row>
    <row r="354" spans="1:4" ht="12.75" customHeight="1" outlineLevel="1" x14ac:dyDescent="0.35">
      <c r="A354" s="76" t="s">
        <v>353</v>
      </c>
      <c r="B354" s="99" t="s">
        <v>1935</v>
      </c>
      <c r="C354" s="76" t="s">
        <v>1936</v>
      </c>
      <c r="D354" s="142"/>
    </row>
    <row r="355" spans="1:4" ht="12.75" customHeight="1" outlineLevel="1" x14ac:dyDescent="0.35">
      <c r="A355" s="76" t="s">
        <v>353</v>
      </c>
      <c r="B355" s="99" t="s">
        <v>1937</v>
      </c>
      <c r="C355" s="76" t="s">
        <v>1938</v>
      </c>
      <c r="D355" s="142"/>
    </row>
    <row r="356" spans="1:4" ht="12.75" customHeight="1" outlineLevel="1" x14ac:dyDescent="0.35">
      <c r="A356" s="76" t="s">
        <v>353</v>
      </c>
      <c r="B356" s="99" t="s">
        <v>1939</v>
      </c>
      <c r="C356" s="76" t="s">
        <v>1940</v>
      </c>
      <c r="D356" s="142"/>
    </row>
    <row r="357" spans="1:4" ht="12.75" customHeight="1" outlineLevel="1" x14ac:dyDescent="0.35">
      <c r="A357" s="76" t="s">
        <v>353</v>
      </c>
      <c r="B357" s="99" t="s">
        <v>1941</v>
      </c>
      <c r="C357" s="76" t="s">
        <v>1942</v>
      </c>
      <c r="D357" s="142"/>
    </row>
    <row r="358" spans="1:4" ht="12.75" customHeight="1" outlineLevel="1" x14ac:dyDescent="0.35">
      <c r="A358" s="76" t="s">
        <v>353</v>
      </c>
      <c r="B358" s="99" t="s">
        <v>1943</v>
      </c>
      <c r="C358" s="76" t="s">
        <v>1944</v>
      </c>
      <c r="D358" s="142"/>
    </row>
    <row r="359" spans="1:4" ht="12.75" customHeight="1" outlineLevel="1" x14ac:dyDescent="0.35">
      <c r="A359" s="76" t="s">
        <v>353</v>
      </c>
      <c r="B359" s="99" t="s">
        <v>1945</v>
      </c>
      <c r="C359" s="76" t="s">
        <v>1946</v>
      </c>
      <c r="D359" s="142"/>
    </row>
    <row r="360" spans="1:4" ht="12.75" customHeight="1" outlineLevel="1" x14ac:dyDescent="0.35">
      <c r="A360" s="76" t="s">
        <v>353</v>
      </c>
      <c r="B360" s="99" t="s">
        <v>1947</v>
      </c>
      <c r="C360" s="76" t="s">
        <v>1948</v>
      </c>
      <c r="D360" s="142"/>
    </row>
    <row r="361" spans="1:4" ht="12.75" customHeight="1" outlineLevel="1" x14ac:dyDescent="0.35">
      <c r="A361" s="76" t="s">
        <v>353</v>
      </c>
      <c r="B361" s="99" t="s">
        <v>1949</v>
      </c>
      <c r="C361" s="76" t="s">
        <v>1950</v>
      </c>
      <c r="D361" s="142"/>
    </row>
    <row r="362" spans="1:4" ht="12.75" customHeight="1" outlineLevel="1" x14ac:dyDescent="0.35">
      <c r="A362" s="76" t="s">
        <v>353</v>
      </c>
      <c r="B362" s="99" t="s">
        <v>1951</v>
      </c>
      <c r="C362" s="76" t="s">
        <v>1952</v>
      </c>
      <c r="D362" s="142"/>
    </row>
    <row r="363" spans="1:4" ht="12.75" customHeight="1" outlineLevel="1" x14ac:dyDescent="0.35">
      <c r="A363" s="76" t="s">
        <v>353</v>
      </c>
      <c r="B363" s="99" t="s">
        <v>1953</v>
      </c>
      <c r="C363" s="76" t="s">
        <v>1954</v>
      </c>
      <c r="D363" s="142"/>
    </row>
    <row r="364" spans="1:4" ht="12.75" customHeight="1" outlineLevel="1" x14ac:dyDescent="0.35">
      <c r="A364" s="76" t="s">
        <v>353</v>
      </c>
      <c r="B364" s="99" t="s">
        <v>1955</v>
      </c>
      <c r="C364" s="76" t="s">
        <v>1956</v>
      </c>
      <c r="D364" s="142"/>
    </row>
    <row r="365" spans="1:4" ht="12.75" customHeight="1" outlineLevel="1" x14ac:dyDescent="0.35">
      <c r="A365" s="76" t="s">
        <v>353</v>
      </c>
      <c r="B365" s="99" t="s">
        <v>1957</v>
      </c>
      <c r="C365" s="76" t="s">
        <v>1958</v>
      </c>
      <c r="D365" s="142"/>
    </row>
    <row r="366" spans="1:4" ht="12.75" customHeight="1" outlineLevel="1" x14ac:dyDescent="0.35">
      <c r="A366" s="76" t="s">
        <v>353</v>
      </c>
      <c r="B366" s="99" t="s">
        <v>1959</v>
      </c>
      <c r="C366" s="76" t="s">
        <v>1960</v>
      </c>
      <c r="D366" s="142"/>
    </row>
    <row r="367" spans="1:4" ht="12.75" customHeight="1" outlineLevel="1" x14ac:dyDescent="0.35">
      <c r="A367" s="76" t="s">
        <v>353</v>
      </c>
      <c r="B367" s="99" t="s">
        <v>1961</v>
      </c>
      <c r="C367" s="76" t="s">
        <v>1962</v>
      </c>
      <c r="D367" s="142"/>
    </row>
    <row r="368" spans="1:4" ht="12.75" customHeight="1" outlineLevel="1" x14ac:dyDescent="0.35">
      <c r="A368" s="76" t="s">
        <v>353</v>
      </c>
      <c r="B368" s="99" t="s">
        <v>1963</v>
      </c>
      <c r="C368" s="76" t="s">
        <v>1964</v>
      </c>
      <c r="D368" s="142"/>
    </row>
    <row r="369" spans="1:4" ht="12.75" customHeight="1" outlineLevel="1" x14ac:dyDescent="0.35">
      <c r="A369" s="76" t="s">
        <v>353</v>
      </c>
      <c r="B369" s="99" t="s">
        <v>1965</v>
      </c>
      <c r="C369" s="76" t="s">
        <v>1966</v>
      </c>
      <c r="D369" s="142"/>
    </row>
    <row r="370" spans="1:4" ht="12.75" customHeight="1" outlineLevel="1" x14ac:dyDescent="0.35">
      <c r="A370" s="76" t="s">
        <v>353</v>
      </c>
      <c r="B370" s="99" t="s">
        <v>1967</v>
      </c>
      <c r="C370" s="76" t="s">
        <v>1968</v>
      </c>
      <c r="D370" s="142"/>
    </row>
    <row r="371" spans="1:4" ht="12.75" customHeight="1" outlineLevel="1" x14ac:dyDescent="0.35">
      <c r="A371" s="76" t="s">
        <v>353</v>
      </c>
      <c r="B371" s="99" t="s">
        <v>1969</v>
      </c>
      <c r="C371" s="76" t="s">
        <v>1970</v>
      </c>
      <c r="D371" s="142"/>
    </row>
    <row r="372" spans="1:4" ht="12.75" customHeight="1" outlineLevel="1" x14ac:dyDescent="0.35">
      <c r="A372" s="76" t="s">
        <v>353</v>
      </c>
      <c r="B372" s="99" t="s">
        <v>1971</v>
      </c>
      <c r="C372" s="76" t="s">
        <v>1972</v>
      </c>
      <c r="D372" s="142"/>
    </row>
    <row r="373" spans="1:4" ht="12.75" customHeight="1" outlineLevel="1" x14ac:dyDescent="0.35">
      <c r="A373" s="76" t="s">
        <v>353</v>
      </c>
      <c r="B373" s="99" t="s">
        <v>1973</v>
      </c>
      <c r="C373" s="76" t="s">
        <v>1974</v>
      </c>
      <c r="D373" s="142"/>
    </row>
    <row r="374" spans="1:4" ht="12.75" customHeight="1" outlineLevel="1" x14ac:dyDescent="0.35">
      <c r="A374" s="76" t="s">
        <v>353</v>
      </c>
      <c r="B374" s="99" t="s">
        <v>1975</v>
      </c>
      <c r="C374" s="76" t="s">
        <v>1976</v>
      </c>
      <c r="D374" s="142"/>
    </row>
    <row r="375" spans="1:4" ht="12.75" customHeight="1" outlineLevel="1" x14ac:dyDescent="0.35">
      <c r="A375" s="76" t="s">
        <v>353</v>
      </c>
      <c r="B375" s="99" t="s">
        <v>1977</v>
      </c>
      <c r="C375" s="76" t="s">
        <v>1978</v>
      </c>
      <c r="D375" s="142"/>
    </row>
    <row r="376" spans="1:4" ht="12.75" customHeight="1" outlineLevel="1" x14ac:dyDescent="0.35">
      <c r="A376" s="76" t="s">
        <v>353</v>
      </c>
      <c r="B376" s="99" t="s">
        <v>1979</v>
      </c>
      <c r="C376" s="76" t="s">
        <v>1980</v>
      </c>
      <c r="D376" s="142"/>
    </row>
    <row r="377" spans="1:4" ht="12.75" customHeight="1" outlineLevel="1" x14ac:dyDescent="0.35">
      <c r="A377" s="76" t="s">
        <v>353</v>
      </c>
      <c r="B377" s="99" t="s">
        <v>1981</v>
      </c>
      <c r="C377" s="76" t="s">
        <v>1982</v>
      </c>
      <c r="D377" s="142"/>
    </row>
    <row r="378" spans="1:4" ht="12.75" customHeight="1" outlineLevel="1" x14ac:dyDescent="0.35">
      <c r="A378" s="76" t="s">
        <v>353</v>
      </c>
      <c r="B378" s="99" t="s">
        <v>1983</v>
      </c>
      <c r="C378" s="76" t="s">
        <v>1984</v>
      </c>
      <c r="D378" s="142"/>
    </row>
    <row r="379" spans="1:4" ht="12.75" customHeight="1" outlineLevel="1" x14ac:dyDescent="0.35">
      <c r="A379" s="76" t="s">
        <v>353</v>
      </c>
      <c r="B379" s="99" t="s">
        <v>1985</v>
      </c>
      <c r="C379" s="76" t="s">
        <v>1986</v>
      </c>
      <c r="D379" s="142"/>
    </row>
    <row r="380" spans="1:4" ht="12.75" customHeight="1" outlineLevel="1" x14ac:dyDescent="0.35">
      <c r="A380" s="76" t="s">
        <v>353</v>
      </c>
      <c r="B380" s="99" t="s">
        <v>1987</v>
      </c>
      <c r="C380" s="76" t="s">
        <v>1988</v>
      </c>
      <c r="D380" s="142"/>
    </row>
    <row r="381" spans="1:4" ht="12.75" customHeight="1" outlineLevel="1" x14ac:dyDescent="0.35">
      <c r="A381" s="76" t="s">
        <v>353</v>
      </c>
      <c r="B381" s="99" t="s">
        <v>1989</v>
      </c>
      <c r="C381" s="76" t="s">
        <v>1990</v>
      </c>
      <c r="D381" s="142"/>
    </row>
    <row r="382" spans="1:4" ht="12.75" customHeight="1" outlineLevel="1" x14ac:dyDescent="0.35">
      <c r="A382" s="76" t="s">
        <v>353</v>
      </c>
      <c r="B382" s="99" t="s">
        <v>1991</v>
      </c>
      <c r="C382" s="76" t="s">
        <v>1992</v>
      </c>
      <c r="D382" s="142"/>
    </row>
    <row r="383" spans="1:4" ht="12.75" customHeight="1" outlineLevel="1" x14ac:dyDescent="0.35">
      <c r="A383" s="76" t="s">
        <v>353</v>
      </c>
      <c r="B383" s="99" t="s">
        <v>1993</v>
      </c>
      <c r="C383" s="76" t="s">
        <v>1994</v>
      </c>
      <c r="D383" s="142"/>
    </row>
    <row r="384" spans="1:4" ht="12.75" customHeight="1" outlineLevel="1" x14ac:dyDescent="0.35">
      <c r="A384" s="76" t="s">
        <v>353</v>
      </c>
      <c r="B384" s="99" t="s">
        <v>1995</v>
      </c>
      <c r="C384" s="76" t="s">
        <v>1996</v>
      </c>
      <c r="D384" s="142"/>
    </row>
    <row r="385" spans="1:1220" ht="12.75" customHeight="1" outlineLevel="1" x14ac:dyDescent="0.35">
      <c r="A385" s="76" t="s">
        <v>353</v>
      </c>
      <c r="B385" s="99" t="s">
        <v>1997</v>
      </c>
      <c r="C385" s="76" t="s">
        <v>1998</v>
      </c>
      <c r="D385" s="142"/>
    </row>
    <row r="386" spans="1:1220" ht="12.75" customHeight="1" outlineLevel="1" x14ac:dyDescent="0.35">
      <c r="A386" s="76" t="s">
        <v>353</v>
      </c>
      <c r="B386" s="99" t="s">
        <v>1999</v>
      </c>
      <c r="C386" s="76" t="s">
        <v>2000</v>
      </c>
      <c r="D386" s="142"/>
    </row>
    <row r="387" spans="1:1220" ht="12.75" customHeight="1" outlineLevel="1" x14ac:dyDescent="0.35">
      <c r="A387" s="76" t="s">
        <v>353</v>
      </c>
      <c r="B387" s="99" t="s">
        <v>2001</v>
      </c>
      <c r="C387" s="76" t="s">
        <v>2002</v>
      </c>
      <c r="D387" s="142"/>
    </row>
    <row r="388" spans="1:1220" ht="12.75" customHeight="1" outlineLevel="1" x14ac:dyDescent="0.35">
      <c r="A388" s="76" t="s">
        <v>353</v>
      </c>
      <c r="B388" s="99" t="s">
        <v>2003</v>
      </c>
      <c r="C388" s="76" t="s">
        <v>2004</v>
      </c>
      <c r="D388" s="142"/>
    </row>
    <row r="389" spans="1:1220" ht="12.75" customHeight="1" outlineLevel="1" x14ac:dyDescent="0.35">
      <c r="A389" s="76" t="s">
        <v>353</v>
      </c>
      <c r="B389" s="99" t="s">
        <v>2005</v>
      </c>
      <c r="C389" s="76" t="s">
        <v>2006</v>
      </c>
      <c r="D389" s="142"/>
    </row>
    <row r="390" spans="1:1220" ht="12.75" customHeight="1" outlineLevel="1" x14ac:dyDescent="0.35">
      <c r="A390" s="76" t="s">
        <v>353</v>
      </c>
      <c r="B390" s="99" t="s">
        <v>2007</v>
      </c>
      <c r="C390" s="76" t="s">
        <v>2008</v>
      </c>
      <c r="D390" s="142"/>
    </row>
    <row r="391" spans="1:1220" ht="12.75" customHeight="1" outlineLevel="1" x14ac:dyDescent="0.35">
      <c r="A391" s="76" t="s">
        <v>353</v>
      </c>
      <c r="B391" s="99" t="s">
        <v>2009</v>
      </c>
      <c r="C391" s="76" t="s">
        <v>2010</v>
      </c>
      <c r="D391" s="142"/>
    </row>
    <row r="392" spans="1:1220" s="69" customFormat="1" ht="12.75" customHeight="1" x14ac:dyDescent="0.35">
      <c r="A392" s="113" t="s">
        <v>353</v>
      </c>
      <c r="B392" s="257" t="s">
        <v>2011</v>
      </c>
      <c r="C392" s="113" t="s">
        <v>2012</v>
      </c>
      <c r="D392" s="143" t="s">
        <v>2013</v>
      </c>
      <c r="E392" s="113"/>
    </row>
    <row r="393" spans="1:1220" s="69" customFormat="1" ht="12.75" customHeight="1" collapsed="1" x14ac:dyDescent="0.35">
      <c r="A393" s="77" t="s">
        <v>100</v>
      </c>
      <c r="B393" s="98"/>
      <c r="C393" s="77" t="s">
        <v>2014</v>
      </c>
      <c r="D393" s="141" t="s">
        <v>2015</v>
      </c>
      <c r="E393" s="113"/>
    </row>
    <row r="394" spans="1:1220" ht="12.75" customHeight="1" x14ac:dyDescent="0.35">
      <c r="A394" s="208" t="s">
        <v>416</v>
      </c>
      <c r="B394" s="99" t="s">
        <v>1602</v>
      </c>
      <c r="C394" s="208" t="s">
        <v>2016</v>
      </c>
      <c r="D394" s="209" t="s">
        <v>2017</v>
      </c>
    </row>
    <row r="395" spans="1:1220" ht="12.75" customHeight="1" x14ac:dyDescent="0.35">
      <c r="A395" s="208" t="s">
        <v>416</v>
      </c>
      <c r="B395" s="99" t="s">
        <v>1615</v>
      </c>
      <c r="C395" s="208" t="s">
        <v>2018</v>
      </c>
      <c r="D395" s="209" t="s">
        <v>2019</v>
      </c>
    </row>
    <row r="396" spans="1:1220" ht="12.75" customHeight="1" x14ac:dyDescent="0.35">
      <c r="A396" s="208" t="s">
        <v>416</v>
      </c>
      <c r="B396" s="99" t="s">
        <v>2020</v>
      </c>
      <c r="C396" s="208" t="s">
        <v>2021</v>
      </c>
      <c r="D396" s="209" t="s">
        <v>2022</v>
      </c>
    </row>
    <row r="397" spans="1:1220" ht="12.75" customHeight="1" x14ac:dyDescent="0.35">
      <c r="A397" s="208" t="s">
        <v>416</v>
      </c>
      <c r="B397" s="99" t="s">
        <v>1778</v>
      </c>
      <c r="C397" s="76" t="s">
        <v>2023</v>
      </c>
      <c r="D397" s="209" t="s">
        <v>2024</v>
      </c>
    </row>
    <row r="398" spans="1:1220" s="9" customFormat="1" ht="12.75" customHeight="1" x14ac:dyDescent="0.35">
      <c r="A398" s="208" t="s">
        <v>416</v>
      </c>
      <c r="B398" s="99" t="s">
        <v>1894</v>
      </c>
      <c r="C398" s="76" t="s">
        <v>2025</v>
      </c>
      <c r="D398" s="209" t="s">
        <v>2026</v>
      </c>
      <c r="E398" s="76"/>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c r="IM398" s="5"/>
      <c r="IN398" s="5"/>
      <c r="IO398" s="5"/>
      <c r="IP398" s="5"/>
      <c r="IQ398" s="5"/>
      <c r="IR398" s="5"/>
      <c r="IS398" s="5"/>
      <c r="IT398" s="5"/>
      <c r="IU398" s="5"/>
      <c r="IV398" s="5"/>
      <c r="IW398" s="5"/>
      <c r="IX398" s="5"/>
      <c r="IY398" s="5"/>
      <c r="IZ398" s="5"/>
      <c r="JA398" s="5"/>
      <c r="JB398" s="5"/>
      <c r="JC398" s="5"/>
      <c r="JD398" s="5"/>
      <c r="JE398" s="5"/>
      <c r="JF398" s="5"/>
      <c r="JG398" s="5"/>
      <c r="JH398" s="5"/>
      <c r="JI398" s="5"/>
      <c r="JJ398" s="5"/>
      <c r="JK398" s="5"/>
      <c r="JL398" s="5"/>
      <c r="JM398" s="5"/>
      <c r="JN398" s="5"/>
      <c r="JO398" s="5"/>
      <c r="JP398" s="5"/>
      <c r="JQ398" s="5"/>
      <c r="JR398" s="5"/>
      <c r="JS398" s="5"/>
      <c r="JT398" s="5"/>
      <c r="JU398" s="5"/>
      <c r="JV398" s="5"/>
      <c r="JW398" s="5"/>
      <c r="JX398" s="5"/>
      <c r="JY398" s="5"/>
      <c r="JZ398" s="5"/>
      <c r="KA398" s="5"/>
      <c r="KB398" s="5"/>
      <c r="KC398" s="5"/>
      <c r="KD398" s="5"/>
      <c r="KE398" s="5"/>
      <c r="KF398" s="5"/>
      <c r="KG398" s="5"/>
      <c r="KH398" s="5"/>
      <c r="KI398" s="5"/>
      <c r="KJ398" s="5"/>
      <c r="KK398" s="5"/>
      <c r="KL398" s="5"/>
      <c r="KM398" s="5"/>
      <c r="KN398" s="5"/>
      <c r="KO398" s="5"/>
      <c r="KP398" s="5"/>
      <c r="KQ398" s="5"/>
      <c r="KR398" s="5"/>
      <c r="KS398" s="5"/>
      <c r="KT398" s="5"/>
      <c r="KU398" s="5"/>
      <c r="KV398" s="5"/>
      <c r="KW398" s="5"/>
      <c r="KX398" s="5"/>
      <c r="KY398" s="5"/>
      <c r="KZ398" s="5"/>
      <c r="LA398" s="5"/>
      <c r="LB398" s="5"/>
      <c r="LC398" s="5"/>
      <c r="LD398" s="5"/>
      <c r="LE398" s="5"/>
      <c r="LF398" s="5"/>
      <c r="LG398" s="5"/>
      <c r="LH398" s="5"/>
      <c r="LI398" s="5"/>
      <c r="LJ398" s="5"/>
      <c r="LK398" s="5"/>
      <c r="LL398" s="5"/>
      <c r="LM398" s="5"/>
      <c r="LN398" s="5"/>
      <c r="LO398" s="5"/>
      <c r="LP398" s="5"/>
      <c r="LQ398" s="5"/>
      <c r="LR398" s="5"/>
      <c r="LS398" s="5"/>
      <c r="LT398" s="5"/>
      <c r="LU398" s="5"/>
      <c r="LV398" s="5"/>
      <c r="LW398" s="5"/>
      <c r="LX398" s="5"/>
      <c r="LY398" s="5"/>
      <c r="LZ398" s="5"/>
      <c r="MA398" s="5"/>
      <c r="MB398" s="5"/>
      <c r="MC398" s="5"/>
      <c r="MD398" s="5"/>
      <c r="ME398" s="5"/>
      <c r="MF398" s="5"/>
      <c r="MG398" s="5"/>
      <c r="MH398" s="5"/>
      <c r="MI398" s="5"/>
      <c r="MJ398" s="5"/>
      <c r="MK398" s="5"/>
      <c r="ML398" s="5"/>
      <c r="MM398" s="5"/>
      <c r="MN398" s="5"/>
      <c r="MO398" s="5"/>
      <c r="MP398" s="5"/>
      <c r="MQ398" s="5"/>
      <c r="MR398" s="5"/>
      <c r="MS398" s="5"/>
      <c r="MT398" s="5"/>
      <c r="MU398" s="5"/>
      <c r="MV398" s="5"/>
      <c r="MW398" s="5"/>
      <c r="MX398" s="5"/>
      <c r="MY398" s="5"/>
      <c r="MZ398" s="5"/>
      <c r="NA398" s="5"/>
      <c r="NB398" s="5"/>
      <c r="NC398" s="5"/>
      <c r="ND398" s="5"/>
      <c r="NE398" s="5"/>
      <c r="NF398" s="5"/>
      <c r="NG398" s="5"/>
      <c r="NH398" s="5"/>
      <c r="NI398" s="5"/>
      <c r="NJ398" s="5"/>
      <c r="NK398" s="5"/>
      <c r="NL398" s="5"/>
      <c r="NM398" s="5"/>
      <c r="NN398" s="5"/>
      <c r="NO398" s="5"/>
      <c r="NP398" s="5"/>
      <c r="NQ398" s="5"/>
      <c r="NR398" s="5"/>
      <c r="NS398" s="5"/>
      <c r="NT398" s="5"/>
      <c r="NU398" s="5"/>
      <c r="NV398" s="5"/>
      <c r="NW398" s="5"/>
      <c r="NX398" s="5"/>
      <c r="NY398" s="5"/>
      <c r="NZ398" s="5"/>
      <c r="OA398" s="5"/>
      <c r="OB398" s="5"/>
      <c r="OC398" s="5"/>
      <c r="OD398" s="5"/>
      <c r="OE398" s="5"/>
      <c r="OF398" s="5"/>
      <c r="OG398" s="5"/>
      <c r="OH398" s="5"/>
      <c r="OI398" s="5"/>
      <c r="OJ398" s="5"/>
      <c r="OK398" s="5"/>
      <c r="OL398" s="5"/>
      <c r="OM398" s="5"/>
      <c r="ON398" s="5"/>
      <c r="OO398" s="5"/>
      <c r="OP398" s="5"/>
      <c r="OQ398" s="5"/>
      <c r="OR398" s="5"/>
      <c r="OS398" s="5"/>
      <c r="OT398" s="5"/>
      <c r="OU398" s="5"/>
      <c r="OV398" s="5"/>
      <c r="OW398" s="5"/>
      <c r="OX398" s="5"/>
      <c r="OY398" s="5"/>
      <c r="OZ398" s="5"/>
      <c r="PA398" s="5"/>
      <c r="PB398" s="5"/>
      <c r="PC398" s="5"/>
      <c r="PD398" s="5"/>
      <c r="PE398" s="5"/>
      <c r="PF398" s="5"/>
      <c r="PG398" s="5"/>
      <c r="PH398" s="5"/>
      <c r="PI398" s="5"/>
      <c r="PJ398" s="5"/>
      <c r="PK398" s="5"/>
      <c r="PL398" s="5"/>
      <c r="PM398" s="5"/>
      <c r="PN398" s="5"/>
      <c r="PO398" s="5"/>
      <c r="PP398" s="5"/>
      <c r="PQ398" s="5"/>
      <c r="PR398" s="5"/>
      <c r="PS398" s="5"/>
      <c r="PT398" s="5"/>
      <c r="PU398" s="5"/>
      <c r="PV398" s="5"/>
      <c r="PW398" s="5"/>
      <c r="PX398" s="5"/>
      <c r="PY398" s="5"/>
      <c r="PZ398" s="5"/>
      <c r="QA398" s="5"/>
      <c r="QB398" s="5"/>
      <c r="QC398" s="5"/>
      <c r="QD398" s="5"/>
      <c r="QE398" s="5"/>
      <c r="QF398" s="5"/>
      <c r="QG398" s="5"/>
      <c r="QH398" s="5"/>
      <c r="QI398" s="5"/>
      <c r="QJ398" s="5"/>
      <c r="QK398" s="5"/>
      <c r="QL398" s="5"/>
      <c r="QM398" s="5"/>
      <c r="QN398" s="5"/>
      <c r="QO398" s="5"/>
      <c r="QP398" s="5"/>
      <c r="QQ398" s="5"/>
      <c r="QR398" s="5"/>
      <c r="QS398" s="5"/>
      <c r="QT398" s="5"/>
      <c r="QU398" s="5"/>
      <c r="QV398" s="5"/>
      <c r="QW398" s="5"/>
      <c r="QX398" s="5"/>
      <c r="QY398" s="5"/>
      <c r="QZ398" s="5"/>
      <c r="RA398" s="5"/>
      <c r="RB398" s="5"/>
      <c r="RC398" s="5"/>
      <c r="RD398" s="5"/>
      <c r="RE398" s="5"/>
      <c r="RF398" s="5"/>
      <c r="RG398" s="5"/>
      <c r="RH398" s="5"/>
      <c r="RI398" s="5"/>
      <c r="RJ398" s="5"/>
      <c r="RK398" s="5"/>
      <c r="RL398" s="5"/>
      <c r="RM398" s="5"/>
      <c r="RN398" s="5"/>
      <c r="RO398" s="5"/>
      <c r="RP398" s="5"/>
      <c r="RQ398" s="5"/>
      <c r="RR398" s="5"/>
      <c r="RS398" s="5"/>
      <c r="RT398" s="5"/>
      <c r="RU398" s="5"/>
      <c r="RV398" s="5"/>
      <c r="RW398" s="5"/>
      <c r="RX398" s="5"/>
      <c r="RY398" s="5"/>
      <c r="RZ398" s="5"/>
      <c r="SA398" s="5"/>
      <c r="SB398" s="5"/>
      <c r="SC398" s="5"/>
      <c r="SD398" s="5"/>
      <c r="SE398" s="5"/>
      <c r="SF398" s="5"/>
      <c r="SG398" s="5"/>
      <c r="SH398" s="5"/>
      <c r="SI398" s="5"/>
      <c r="SJ398" s="5"/>
      <c r="SK398" s="5"/>
      <c r="SL398" s="5"/>
      <c r="SM398" s="5"/>
      <c r="SN398" s="5"/>
      <c r="SO398" s="5"/>
      <c r="SP398" s="5"/>
      <c r="SQ398" s="5"/>
      <c r="SR398" s="5"/>
      <c r="SS398" s="5"/>
      <c r="ST398" s="5"/>
      <c r="SU398" s="5"/>
      <c r="SV398" s="5"/>
      <c r="SW398" s="5"/>
      <c r="SX398" s="5"/>
      <c r="SY398" s="5"/>
      <c r="SZ398" s="5"/>
      <c r="TA398" s="5"/>
      <c r="TB398" s="5"/>
      <c r="TC398" s="5"/>
      <c r="TD398" s="5"/>
      <c r="TE398" s="5"/>
      <c r="TF398" s="5"/>
      <c r="TG398" s="5"/>
      <c r="TH398" s="5"/>
      <c r="TI398" s="5"/>
      <c r="TJ398" s="5"/>
      <c r="TK398" s="5"/>
      <c r="TL398" s="5"/>
      <c r="TM398" s="5"/>
      <c r="TN398" s="5"/>
      <c r="TO398" s="5"/>
      <c r="TP398" s="5"/>
      <c r="TQ398" s="5"/>
      <c r="TR398" s="5"/>
      <c r="TS398" s="5"/>
      <c r="TT398" s="5"/>
      <c r="TU398" s="5"/>
      <c r="TV398" s="5"/>
      <c r="TW398" s="5"/>
      <c r="TX398" s="5"/>
      <c r="TY398" s="5"/>
      <c r="TZ398" s="5"/>
      <c r="UA398" s="5"/>
      <c r="UB398" s="5"/>
      <c r="UC398" s="5"/>
      <c r="UD398" s="5"/>
      <c r="UE398" s="5"/>
      <c r="UF398" s="5"/>
      <c r="UG398" s="5"/>
      <c r="UH398" s="5"/>
      <c r="UI398" s="5"/>
      <c r="UJ398" s="5"/>
      <c r="UK398" s="5"/>
      <c r="UL398" s="5"/>
      <c r="UM398" s="5"/>
      <c r="UN398" s="5"/>
      <c r="UO398" s="5"/>
      <c r="UP398" s="5"/>
      <c r="UQ398" s="5"/>
      <c r="UR398" s="5"/>
      <c r="US398" s="5"/>
      <c r="UT398" s="5"/>
      <c r="UU398" s="5"/>
      <c r="UV398" s="5"/>
      <c r="UW398" s="5"/>
      <c r="UX398" s="5"/>
      <c r="UY398" s="5"/>
      <c r="UZ398" s="5"/>
      <c r="VA398" s="5"/>
      <c r="VB398" s="5"/>
      <c r="VC398" s="5"/>
      <c r="VD398" s="5"/>
      <c r="VE398" s="5"/>
      <c r="VF398" s="5"/>
      <c r="VG398" s="5"/>
      <c r="VH398" s="5"/>
      <c r="VI398" s="5"/>
      <c r="VJ398" s="5"/>
      <c r="VK398" s="5"/>
      <c r="VL398" s="5"/>
      <c r="VM398" s="5"/>
      <c r="VN398" s="5"/>
      <c r="VO398" s="5"/>
      <c r="VP398" s="5"/>
      <c r="VQ398" s="5"/>
      <c r="VR398" s="5"/>
      <c r="VS398" s="5"/>
      <c r="VT398" s="5"/>
      <c r="VU398" s="5"/>
      <c r="VV398" s="5"/>
      <c r="VW398" s="5"/>
      <c r="VX398" s="5"/>
      <c r="VY398" s="5"/>
      <c r="VZ398" s="5"/>
      <c r="WA398" s="5"/>
      <c r="WB398" s="5"/>
      <c r="WC398" s="5"/>
      <c r="WD398" s="5"/>
      <c r="WE398" s="5"/>
      <c r="WF398" s="5"/>
      <c r="WG398" s="5"/>
      <c r="WH398" s="5"/>
      <c r="WI398" s="5"/>
      <c r="WJ398" s="5"/>
      <c r="WK398" s="5"/>
      <c r="WL398" s="5"/>
      <c r="WM398" s="5"/>
      <c r="WN398" s="5"/>
      <c r="WO398" s="5"/>
      <c r="WP398" s="5"/>
      <c r="WQ398" s="5"/>
      <c r="WR398" s="5"/>
      <c r="WS398" s="5"/>
      <c r="WT398" s="5"/>
      <c r="WU398" s="5"/>
      <c r="WV398" s="5"/>
      <c r="WW398" s="5"/>
      <c r="WX398" s="5"/>
      <c r="WY398" s="5"/>
      <c r="WZ398" s="5"/>
      <c r="XA398" s="5"/>
      <c r="XB398" s="5"/>
      <c r="XC398" s="5"/>
      <c r="XD398" s="5"/>
      <c r="XE398" s="5"/>
      <c r="XF398" s="5"/>
      <c r="XG398" s="5"/>
      <c r="XH398" s="5"/>
      <c r="XI398" s="5"/>
      <c r="XJ398" s="5"/>
      <c r="XK398" s="5"/>
      <c r="XL398" s="5"/>
      <c r="XM398" s="5"/>
      <c r="XN398" s="5"/>
      <c r="XO398" s="5"/>
      <c r="XP398" s="5"/>
      <c r="XQ398" s="5"/>
      <c r="XR398" s="5"/>
      <c r="XS398" s="5"/>
      <c r="XT398" s="5"/>
      <c r="XU398" s="5"/>
      <c r="XV398" s="5"/>
      <c r="XW398" s="5"/>
      <c r="XX398" s="5"/>
      <c r="XY398" s="5"/>
      <c r="XZ398" s="5"/>
      <c r="YA398" s="5"/>
      <c r="YB398" s="5"/>
      <c r="YC398" s="5"/>
      <c r="YD398" s="5"/>
      <c r="YE398" s="5"/>
      <c r="YF398" s="5"/>
      <c r="YG398" s="5"/>
      <c r="YH398" s="5"/>
      <c r="YI398" s="5"/>
      <c r="YJ398" s="5"/>
      <c r="YK398" s="5"/>
      <c r="YL398" s="5"/>
      <c r="YM398" s="5"/>
      <c r="YN398" s="5"/>
      <c r="YO398" s="5"/>
      <c r="YP398" s="5"/>
      <c r="YQ398" s="5"/>
      <c r="YR398" s="5"/>
      <c r="YS398" s="5"/>
      <c r="YT398" s="5"/>
      <c r="YU398" s="5"/>
      <c r="YV398" s="5"/>
      <c r="YW398" s="5"/>
      <c r="YX398" s="5"/>
      <c r="YY398" s="5"/>
      <c r="YZ398" s="5"/>
      <c r="ZA398" s="5"/>
      <c r="ZB398" s="5"/>
      <c r="ZC398" s="5"/>
      <c r="ZD398" s="5"/>
      <c r="ZE398" s="5"/>
      <c r="ZF398" s="5"/>
      <c r="ZG398" s="5"/>
      <c r="ZH398" s="5"/>
      <c r="ZI398" s="5"/>
      <c r="ZJ398" s="5"/>
      <c r="ZK398" s="5"/>
      <c r="ZL398" s="5"/>
      <c r="ZM398" s="5"/>
      <c r="ZN398" s="5"/>
      <c r="ZO398" s="5"/>
      <c r="ZP398" s="5"/>
      <c r="ZQ398" s="5"/>
      <c r="ZR398" s="5"/>
      <c r="ZS398" s="5"/>
      <c r="ZT398" s="5"/>
      <c r="ZU398" s="5"/>
      <c r="ZV398" s="5"/>
      <c r="ZW398" s="5"/>
      <c r="ZX398" s="5"/>
      <c r="ZY398" s="5"/>
      <c r="ZZ398" s="5"/>
      <c r="AAA398" s="5"/>
      <c r="AAB398" s="5"/>
      <c r="AAC398" s="5"/>
      <c r="AAD398" s="5"/>
      <c r="AAE398" s="5"/>
      <c r="AAF398" s="5"/>
      <c r="AAG398" s="5"/>
      <c r="AAH398" s="5"/>
      <c r="AAI398" s="5"/>
      <c r="AAJ398" s="5"/>
      <c r="AAK398" s="5"/>
      <c r="AAL398" s="5"/>
      <c r="AAM398" s="5"/>
      <c r="AAN398" s="5"/>
      <c r="AAO398" s="5"/>
      <c r="AAP398" s="5"/>
      <c r="AAQ398" s="5"/>
      <c r="AAR398" s="5"/>
      <c r="AAS398" s="5"/>
      <c r="AAT398" s="5"/>
      <c r="AAU398" s="5"/>
      <c r="AAV398" s="5"/>
      <c r="AAW398" s="5"/>
      <c r="AAX398" s="5"/>
      <c r="AAY398" s="5"/>
      <c r="AAZ398" s="5"/>
      <c r="ABA398" s="5"/>
      <c r="ABB398" s="5"/>
      <c r="ABC398" s="5"/>
      <c r="ABD398" s="5"/>
      <c r="ABE398" s="5"/>
      <c r="ABF398" s="5"/>
      <c r="ABG398" s="5"/>
      <c r="ABH398" s="5"/>
      <c r="ABI398" s="5"/>
      <c r="ABJ398" s="5"/>
      <c r="ABK398" s="5"/>
      <c r="ABL398" s="5"/>
      <c r="ABM398" s="5"/>
      <c r="ABN398" s="5"/>
      <c r="ABO398" s="5"/>
      <c r="ABP398" s="5"/>
      <c r="ABQ398" s="5"/>
      <c r="ABR398" s="5"/>
      <c r="ABS398" s="5"/>
      <c r="ABT398" s="5"/>
      <c r="ABU398" s="5"/>
      <c r="ABV398" s="5"/>
      <c r="ABW398" s="5"/>
      <c r="ABX398" s="5"/>
      <c r="ABY398" s="5"/>
      <c r="ABZ398" s="5"/>
      <c r="ACA398" s="5"/>
      <c r="ACB398" s="5"/>
      <c r="ACC398" s="5"/>
      <c r="ACD398" s="5"/>
      <c r="ACE398" s="5"/>
      <c r="ACF398" s="5"/>
      <c r="ACG398" s="5"/>
      <c r="ACH398" s="5"/>
      <c r="ACI398" s="5"/>
      <c r="ACJ398" s="5"/>
      <c r="ACK398" s="5"/>
      <c r="ACL398" s="5"/>
      <c r="ACM398" s="5"/>
      <c r="ACN398" s="5"/>
      <c r="ACO398" s="5"/>
      <c r="ACP398" s="5"/>
      <c r="ACQ398" s="5"/>
      <c r="ACR398" s="5"/>
      <c r="ACS398" s="5"/>
      <c r="ACT398" s="5"/>
      <c r="ACU398" s="5"/>
      <c r="ACV398" s="5"/>
      <c r="ACW398" s="5"/>
      <c r="ACX398" s="5"/>
      <c r="ACY398" s="5"/>
      <c r="ACZ398" s="5"/>
      <c r="ADA398" s="5"/>
      <c r="ADB398" s="5"/>
      <c r="ADC398" s="5"/>
      <c r="ADD398" s="5"/>
      <c r="ADE398" s="5"/>
      <c r="ADF398" s="5"/>
      <c r="ADG398" s="5"/>
      <c r="ADH398" s="5"/>
      <c r="ADI398" s="5"/>
      <c r="ADJ398" s="5"/>
      <c r="ADK398" s="5"/>
      <c r="ADL398" s="5"/>
      <c r="ADM398" s="5"/>
      <c r="ADN398" s="5"/>
      <c r="ADO398" s="5"/>
      <c r="ADP398" s="5"/>
      <c r="ADQ398" s="5"/>
      <c r="ADR398" s="5"/>
      <c r="ADS398" s="5"/>
      <c r="ADT398" s="5"/>
      <c r="ADU398" s="5"/>
      <c r="ADV398" s="5"/>
      <c r="ADW398" s="5"/>
      <c r="ADX398" s="5"/>
      <c r="ADY398" s="5"/>
      <c r="ADZ398" s="5"/>
      <c r="AEA398" s="5"/>
      <c r="AEB398" s="5"/>
      <c r="AEC398" s="5"/>
      <c r="AED398" s="5"/>
      <c r="AEE398" s="5"/>
      <c r="AEF398" s="5"/>
      <c r="AEG398" s="5"/>
      <c r="AEH398" s="5"/>
      <c r="AEI398" s="5"/>
      <c r="AEJ398" s="5"/>
      <c r="AEK398" s="5"/>
      <c r="AEL398" s="5"/>
      <c r="AEM398" s="5"/>
      <c r="AEN398" s="5"/>
      <c r="AEO398" s="5"/>
      <c r="AEP398" s="5"/>
      <c r="AEQ398" s="5"/>
      <c r="AER398" s="5"/>
      <c r="AES398" s="5"/>
      <c r="AET398" s="5"/>
      <c r="AEU398" s="5"/>
      <c r="AEV398" s="5"/>
      <c r="AEW398" s="5"/>
      <c r="AEX398" s="5"/>
      <c r="AEY398" s="5"/>
      <c r="AEZ398" s="5"/>
      <c r="AFA398" s="5"/>
      <c r="AFB398" s="5"/>
      <c r="AFC398" s="5"/>
      <c r="AFD398" s="5"/>
      <c r="AFE398" s="5"/>
      <c r="AFF398" s="5"/>
      <c r="AFG398" s="5"/>
      <c r="AFH398" s="5"/>
      <c r="AFI398" s="5"/>
      <c r="AFJ398" s="5"/>
      <c r="AFK398" s="5"/>
      <c r="AFL398" s="5"/>
      <c r="AFM398" s="5"/>
      <c r="AFN398" s="5"/>
      <c r="AFO398" s="5"/>
      <c r="AFP398" s="5"/>
      <c r="AFQ398" s="5"/>
      <c r="AFR398" s="5"/>
      <c r="AFS398" s="5"/>
      <c r="AFT398" s="5"/>
      <c r="AFU398" s="5"/>
      <c r="AFV398" s="5"/>
      <c r="AFW398" s="5"/>
      <c r="AFX398" s="5"/>
      <c r="AFY398" s="5"/>
      <c r="AFZ398" s="5"/>
      <c r="AGA398" s="5"/>
      <c r="AGB398" s="5"/>
      <c r="AGC398" s="5"/>
      <c r="AGD398" s="5"/>
      <c r="AGE398" s="5"/>
      <c r="AGF398" s="5"/>
      <c r="AGG398" s="5"/>
      <c r="AGH398" s="5"/>
      <c r="AGI398" s="5"/>
      <c r="AGJ398" s="5"/>
      <c r="AGK398" s="5"/>
      <c r="AGL398" s="5"/>
      <c r="AGM398" s="5"/>
      <c r="AGN398" s="5"/>
      <c r="AGO398" s="5"/>
      <c r="AGP398" s="5"/>
      <c r="AGQ398" s="5"/>
      <c r="AGR398" s="5"/>
      <c r="AGS398" s="5"/>
      <c r="AGT398" s="5"/>
      <c r="AGU398" s="5"/>
      <c r="AGV398" s="5"/>
      <c r="AGW398" s="5"/>
      <c r="AGX398" s="5"/>
      <c r="AGY398" s="5"/>
      <c r="AGZ398" s="5"/>
      <c r="AHA398" s="5"/>
      <c r="AHB398" s="5"/>
      <c r="AHC398" s="5"/>
      <c r="AHD398" s="5"/>
      <c r="AHE398" s="5"/>
      <c r="AHF398" s="5"/>
      <c r="AHG398" s="5"/>
      <c r="AHH398" s="5"/>
      <c r="AHI398" s="5"/>
      <c r="AHJ398" s="5"/>
      <c r="AHK398" s="5"/>
      <c r="AHL398" s="5"/>
      <c r="AHM398" s="5"/>
      <c r="AHN398" s="5"/>
      <c r="AHO398" s="5"/>
      <c r="AHP398" s="5"/>
      <c r="AHQ398" s="5"/>
      <c r="AHR398" s="5"/>
      <c r="AHS398" s="5"/>
      <c r="AHT398" s="5"/>
      <c r="AHU398" s="5"/>
      <c r="AHV398" s="5"/>
      <c r="AHW398" s="5"/>
      <c r="AHX398" s="5"/>
      <c r="AHY398" s="5"/>
      <c r="AHZ398" s="5"/>
      <c r="AIA398" s="5"/>
      <c r="AIB398" s="5"/>
      <c r="AIC398" s="5"/>
      <c r="AID398" s="5"/>
      <c r="AIE398" s="5"/>
      <c r="AIF398" s="5"/>
      <c r="AIG398" s="5"/>
      <c r="AIH398" s="5"/>
      <c r="AII398" s="5"/>
      <c r="AIJ398" s="5"/>
      <c r="AIK398" s="5"/>
      <c r="AIL398" s="5"/>
      <c r="AIM398" s="5"/>
      <c r="AIN398" s="5"/>
      <c r="AIO398" s="5"/>
      <c r="AIP398" s="5"/>
      <c r="AIQ398" s="5"/>
      <c r="AIR398" s="5"/>
      <c r="AIS398" s="5"/>
      <c r="AIT398" s="5"/>
      <c r="AIU398" s="5"/>
      <c r="AIV398" s="5"/>
      <c r="AIW398" s="5"/>
      <c r="AIX398" s="5"/>
      <c r="AIY398" s="5"/>
      <c r="AIZ398" s="5"/>
      <c r="AJA398" s="5"/>
      <c r="AJB398" s="5"/>
      <c r="AJC398" s="5"/>
      <c r="AJD398" s="5"/>
      <c r="AJE398" s="5"/>
      <c r="AJF398" s="5"/>
      <c r="AJG398" s="5"/>
      <c r="AJH398" s="5"/>
      <c r="AJI398" s="5"/>
      <c r="AJJ398" s="5"/>
      <c r="AJK398" s="5"/>
      <c r="AJL398" s="5"/>
      <c r="AJM398" s="5"/>
      <c r="AJN398" s="5"/>
      <c r="AJO398" s="5"/>
      <c r="AJP398" s="5"/>
      <c r="AJQ398" s="5"/>
      <c r="AJR398" s="5"/>
      <c r="AJS398" s="5"/>
      <c r="AJT398" s="5"/>
      <c r="AJU398" s="5"/>
      <c r="AJV398" s="5"/>
      <c r="AJW398" s="5"/>
      <c r="AJX398" s="5"/>
      <c r="AJY398" s="5"/>
      <c r="AJZ398" s="5"/>
      <c r="AKA398" s="5"/>
      <c r="AKB398" s="5"/>
      <c r="AKC398" s="5"/>
      <c r="AKD398" s="5"/>
      <c r="AKE398" s="5"/>
      <c r="AKF398" s="5"/>
      <c r="AKG398" s="5"/>
      <c r="AKH398" s="5"/>
      <c r="AKI398" s="5"/>
      <c r="AKJ398" s="5"/>
      <c r="AKK398" s="5"/>
      <c r="AKL398" s="5"/>
      <c r="AKM398" s="5"/>
      <c r="AKN398" s="5"/>
      <c r="AKO398" s="5"/>
      <c r="AKP398" s="5"/>
      <c r="AKQ398" s="5"/>
      <c r="AKR398" s="5"/>
      <c r="AKS398" s="5"/>
      <c r="AKT398" s="5"/>
      <c r="AKU398" s="5"/>
      <c r="AKV398" s="5"/>
      <c r="AKW398" s="5"/>
      <c r="AKX398" s="5"/>
      <c r="AKY398" s="5"/>
      <c r="AKZ398" s="5"/>
      <c r="ALA398" s="5"/>
      <c r="ALB398" s="5"/>
      <c r="ALC398" s="5"/>
      <c r="ALD398" s="5"/>
      <c r="ALE398" s="5"/>
      <c r="ALF398" s="5"/>
      <c r="ALG398" s="5"/>
      <c r="ALH398" s="5"/>
      <c r="ALI398" s="5"/>
      <c r="ALJ398" s="5"/>
      <c r="ALK398" s="5"/>
      <c r="ALL398" s="5"/>
      <c r="ALM398" s="5"/>
      <c r="ALN398" s="5"/>
      <c r="ALO398" s="5"/>
      <c r="ALP398" s="5"/>
      <c r="ALQ398" s="5"/>
      <c r="ALR398" s="5"/>
      <c r="ALS398" s="5"/>
      <c r="ALT398" s="5"/>
      <c r="ALU398" s="5"/>
      <c r="ALV398" s="5"/>
      <c r="ALW398" s="5"/>
      <c r="ALX398" s="5"/>
      <c r="ALY398" s="5"/>
      <c r="ALZ398" s="5"/>
      <c r="AMA398" s="5"/>
      <c r="AMB398" s="5"/>
      <c r="AMC398" s="5"/>
      <c r="AMD398" s="5"/>
      <c r="AME398" s="5"/>
      <c r="AMF398" s="5"/>
      <c r="AMG398" s="5"/>
      <c r="AMH398" s="5"/>
      <c r="AMI398" s="5"/>
      <c r="AMJ398" s="5"/>
      <c r="AMK398" s="5"/>
      <c r="AML398" s="5"/>
      <c r="AMM398" s="5"/>
      <c r="AMN398" s="5"/>
      <c r="AMO398" s="5"/>
      <c r="AMP398" s="5"/>
      <c r="AMQ398" s="5"/>
      <c r="AMR398" s="5"/>
      <c r="AMS398" s="5"/>
      <c r="AMT398" s="5"/>
      <c r="AMU398" s="5"/>
      <c r="AMV398" s="5"/>
      <c r="AMW398" s="5"/>
      <c r="AMX398" s="5"/>
      <c r="AMY398" s="5"/>
      <c r="AMZ398" s="5"/>
      <c r="ANA398" s="5"/>
      <c r="ANB398" s="5"/>
      <c r="ANC398" s="5"/>
      <c r="AND398" s="5"/>
      <c r="ANE398" s="5"/>
      <c r="ANF398" s="5"/>
      <c r="ANG398" s="5"/>
      <c r="ANH398" s="5"/>
      <c r="ANI398" s="5"/>
      <c r="ANJ398" s="5"/>
      <c r="ANK398" s="5"/>
      <c r="ANL398" s="5"/>
      <c r="ANM398" s="5"/>
      <c r="ANN398" s="5"/>
      <c r="ANO398" s="5"/>
      <c r="ANP398" s="5"/>
      <c r="ANQ398" s="5"/>
      <c r="ANR398" s="5"/>
      <c r="ANS398" s="5"/>
      <c r="ANT398" s="5"/>
      <c r="ANU398" s="5"/>
      <c r="ANV398" s="5"/>
      <c r="ANW398" s="5"/>
      <c r="ANX398" s="5"/>
      <c r="ANY398" s="5"/>
      <c r="ANZ398" s="5"/>
      <c r="AOA398" s="5"/>
      <c r="AOB398" s="5"/>
      <c r="AOC398" s="5"/>
      <c r="AOD398" s="5"/>
      <c r="AOE398" s="5"/>
      <c r="AOF398" s="5"/>
      <c r="AOG398" s="5"/>
      <c r="AOH398" s="5"/>
      <c r="AOI398" s="5"/>
      <c r="AOJ398" s="5"/>
      <c r="AOK398" s="5"/>
      <c r="AOL398" s="5"/>
      <c r="AOM398" s="5"/>
      <c r="AON398" s="5"/>
      <c r="AOO398" s="5"/>
      <c r="AOP398" s="5"/>
      <c r="AOQ398" s="5"/>
      <c r="AOR398" s="5"/>
      <c r="AOS398" s="5"/>
      <c r="AOT398" s="5"/>
      <c r="AOU398" s="5"/>
      <c r="AOV398" s="5"/>
      <c r="AOW398" s="5"/>
      <c r="AOX398" s="5"/>
      <c r="AOY398" s="5"/>
      <c r="AOZ398" s="5"/>
      <c r="APA398" s="5"/>
      <c r="APB398" s="5"/>
      <c r="APC398" s="5"/>
      <c r="APD398" s="5"/>
      <c r="APE398" s="5"/>
      <c r="APF398" s="5"/>
      <c r="APG398" s="5"/>
      <c r="APH398" s="5"/>
      <c r="API398" s="5"/>
      <c r="APJ398" s="5"/>
      <c r="APK398" s="5"/>
      <c r="APL398" s="5"/>
      <c r="APM398" s="5"/>
      <c r="APN398" s="5"/>
      <c r="APO398" s="5"/>
      <c r="APP398" s="5"/>
      <c r="APQ398" s="5"/>
      <c r="APR398" s="5"/>
      <c r="APS398" s="5"/>
      <c r="APT398" s="5"/>
      <c r="APU398" s="5"/>
      <c r="APV398" s="5"/>
      <c r="APW398" s="5"/>
      <c r="APX398" s="5"/>
      <c r="APY398" s="5"/>
      <c r="APZ398" s="5"/>
      <c r="AQA398" s="5"/>
      <c r="AQB398" s="5"/>
      <c r="AQC398" s="5"/>
      <c r="AQD398" s="5"/>
      <c r="AQE398" s="5"/>
      <c r="AQF398" s="5"/>
      <c r="AQG398" s="5"/>
      <c r="AQH398" s="5"/>
      <c r="AQI398" s="5"/>
      <c r="AQJ398" s="5"/>
      <c r="AQK398" s="5"/>
      <c r="AQL398" s="5"/>
      <c r="AQM398" s="5"/>
      <c r="AQN398" s="5"/>
      <c r="AQO398" s="5"/>
      <c r="AQP398" s="5"/>
      <c r="AQQ398" s="5"/>
      <c r="AQR398" s="5"/>
      <c r="AQS398" s="5"/>
      <c r="AQT398" s="5"/>
      <c r="AQU398" s="5"/>
      <c r="AQV398" s="5"/>
      <c r="AQW398" s="5"/>
      <c r="AQX398" s="5"/>
      <c r="AQY398" s="5"/>
      <c r="AQZ398" s="5"/>
      <c r="ARA398" s="5"/>
      <c r="ARB398" s="5"/>
      <c r="ARC398" s="5"/>
      <c r="ARD398" s="5"/>
      <c r="ARE398" s="5"/>
      <c r="ARF398" s="5"/>
      <c r="ARG398" s="5"/>
      <c r="ARH398" s="5"/>
      <c r="ARI398" s="5"/>
      <c r="ARJ398" s="5"/>
      <c r="ARK398" s="5"/>
      <c r="ARL398" s="5"/>
      <c r="ARM398" s="5"/>
      <c r="ARN398" s="5"/>
      <c r="ARO398" s="5"/>
      <c r="ARP398" s="5"/>
      <c r="ARQ398" s="5"/>
      <c r="ARR398" s="5"/>
      <c r="ARS398" s="5"/>
      <c r="ART398" s="5"/>
      <c r="ARU398" s="5"/>
      <c r="ARV398" s="5"/>
      <c r="ARW398" s="5"/>
      <c r="ARX398" s="5"/>
      <c r="ARY398" s="5"/>
      <c r="ARZ398" s="5"/>
      <c r="ASA398" s="5"/>
      <c r="ASB398" s="5"/>
      <c r="ASC398" s="5"/>
      <c r="ASD398" s="5"/>
      <c r="ASE398" s="5"/>
      <c r="ASF398" s="5"/>
      <c r="ASG398" s="5"/>
      <c r="ASH398" s="5"/>
      <c r="ASI398" s="5"/>
      <c r="ASJ398" s="5"/>
      <c r="ASK398" s="5"/>
      <c r="ASL398" s="5"/>
      <c r="ASM398" s="5"/>
      <c r="ASN398" s="5"/>
      <c r="ASO398" s="5"/>
      <c r="ASP398" s="5"/>
      <c r="ASQ398" s="5"/>
      <c r="ASR398" s="5"/>
      <c r="ASS398" s="5"/>
      <c r="AST398" s="5"/>
      <c r="ASU398" s="5"/>
      <c r="ASV398" s="5"/>
      <c r="ASW398" s="5"/>
      <c r="ASX398" s="5"/>
      <c r="ASY398" s="5"/>
      <c r="ASZ398" s="5"/>
      <c r="ATA398" s="5"/>
      <c r="ATB398" s="5"/>
      <c r="ATC398" s="5"/>
      <c r="ATD398" s="5"/>
      <c r="ATE398" s="5"/>
      <c r="ATF398" s="5"/>
      <c r="ATG398" s="5"/>
      <c r="ATH398" s="5"/>
      <c r="ATI398" s="5"/>
      <c r="ATJ398" s="5"/>
      <c r="ATK398" s="5"/>
      <c r="ATL398" s="5"/>
      <c r="ATM398" s="5"/>
      <c r="ATN398" s="5"/>
      <c r="ATO398" s="5"/>
      <c r="ATP398" s="5"/>
      <c r="ATQ398" s="5"/>
      <c r="ATR398" s="5"/>
      <c r="ATS398" s="5"/>
      <c r="ATT398" s="5"/>
      <c r="ATU398" s="5"/>
      <c r="ATV398" s="5"/>
      <c r="ATW398" s="5"/>
      <c r="ATX398" s="5"/>
    </row>
    <row r="399" spans="1:1220" ht="12.75" customHeight="1" x14ac:dyDescent="0.35">
      <c r="A399" s="76" t="s">
        <v>106</v>
      </c>
      <c r="B399" s="99" t="s">
        <v>1512</v>
      </c>
      <c r="C399" s="76" t="s">
        <v>2027</v>
      </c>
      <c r="D399" s="142" t="s">
        <v>2028</v>
      </c>
    </row>
    <row r="400" spans="1:1220" ht="12.75" customHeight="1" x14ac:dyDescent="0.35">
      <c r="A400" s="76" t="s">
        <v>106</v>
      </c>
      <c r="B400" s="99" t="s">
        <v>2029</v>
      </c>
      <c r="C400" s="76" t="s">
        <v>2030</v>
      </c>
      <c r="D400" s="142" t="s">
        <v>2031</v>
      </c>
    </row>
    <row r="401" spans="1:1220" ht="12.75" customHeight="1" x14ac:dyDescent="0.35">
      <c r="A401" s="208" t="s">
        <v>106</v>
      </c>
      <c r="B401" s="99" t="s">
        <v>1407</v>
      </c>
      <c r="C401" s="76" t="s">
        <v>2032</v>
      </c>
      <c r="D401" s="209" t="s">
        <v>2033</v>
      </c>
    </row>
    <row r="402" spans="1:1220" ht="12.75" customHeight="1" x14ac:dyDescent="0.35">
      <c r="A402" s="208" t="s">
        <v>106</v>
      </c>
      <c r="B402" s="99" t="s">
        <v>1422</v>
      </c>
      <c r="C402" s="76" t="s">
        <v>2034</v>
      </c>
      <c r="D402" s="209" t="s">
        <v>2035</v>
      </c>
    </row>
    <row r="403" spans="1:1220" s="9" customFormat="1" ht="12.75" customHeight="1" x14ac:dyDescent="0.35">
      <c r="A403" s="208" t="s">
        <v>106</v>
      </c>
      <c r="B403" s="99" t="s">
        <v>2036</v>
      </c>
      <c r="C403" s="76" t="s">
        <v>2037</v>
      </c>
      <c r="D403" s="209" t="s">
        <v>2038</v>
      </c>
      <c r="E403" s="76"/>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c r="HJ403" s="5"/>
      <c r="HK403" s="5"/>
      <c r="HL403" s="5"/>
      <c r="HM403" s="5"/>
      <c r="HN403" s="5"/>
      <c r="HO403" s="5"/>
      <c r="HP403" s="5"/>
      <c r="HQ403" s="5"/>
      <c r="HR403" s="5"/>
      <c r="HS403" s="5"/>
      <c r="HT403" s="5"/>
      <c r="HU403" s="5"/>
      <c r="HV403" s="5"/>
      <c r="HW403" s="5"/>
      <c r="HX403" s="5"/>
      <c r="HY403" s="5"/>
      <c r="HZ403" s="5"/>
      <c r="IA403" s="5"/>
      <c r="IB403" s="5"/>
      <c r="IC403" s="5"/>
      <c r="ID403" s="5"/>
      <c r="IE403" s="5"/>
      <c r="IF403" s="5"/>
      <c r="IG403" s="5"/>
      <c r="IH403" s="5"/>
      <c r="II403" s="5"/>
      <c r="IJ403" s="5"/>
      <c r="IK403" s="5"/>
      <c r="IL403" s="5"/>
      <c r="IM403" s="5"/>
      <c r="IN403" s="5"/>
      <c r="IO403" s="5"/>
      <c r="IP403" s="5"/>
      <c r="IQ403" s="5"/>
      <c r="IR403" s="5"/>
      <c r="IS403" s="5"/>
      <c r="IT403" s="5"/>
      <c r="IU403" s="5"/>
      <c r="IV403" s="5"/>
      <c r="IW403" s="5"/>
      <c r="IX403" s="5"/>
      <c r="IY403" s="5"/>
      <c r="IZ403" s="5"/>
      <c r="JA403" s="5"/>
      <c r="JB403" s="5"/>
      <c r="JC403" s="5"/>
      <c r="JD403" s="5"/>
      <c r="JE403" s="5"/>
      <c r="JF403" s="5"/>
      <c r="JG403" s="5"/>
      <c r="JH403" s="5"/>
      <c r="JI403" s="5"/>
      <c r="JJ403" s="5"/>
      <c r="JK403" s="5"/>
      <c r="JL403" s="5"/>
      <c r="JM403" s="5"/>
      <c r="JN403" s="5"/>
      <c r="JO403" s="5"/>
      <c r="JP403" s="5"/>
      <c r="JQ403" s="5"/>
      <c r="JR403" s="5"/>
      <c r="JS403" s="5"/>
      <c r="JT403" s="5"/>
      <c r="JU403" s="5"/>
      <c r="JV403" s="5"/>
      <c r="JW403" s="5"/>
      <c r="JX403" s="5"/>
      <c r="JY403" s="5"/>
      <c r="JZ403" s="5"/>
      <c r="KA403" s="5"/>
      <c r="KB403" s="5"/>
      <c r="KC403" s="5"/>
      <c r="KD403" s="5"/>
      <c r="KE403" s="5"/>
      <c r="KF403" s="5"/>
      <c r="KG403" s="5"/>
      <c r="KH403" s="5"/>
      <c r="KI403" s="5"/>
      <c r="KJ403" s="5"/>
      <c r="KK403" s="5"/>
      <c r="KL403" s="5"/>
      <c r="KM403" s="5"/>
      <c r="KN403" s="5"/>
      <c r="KO403" s="5"/>
      <c r="KP403" s="5"/>
      <c r="KQ403" s="5"/>
      <c r="KR403" s="5"/>
      <c r="KS403" s="5"/>
      <c r="KT403" s="5"/>
      <c r="KU403" s="5"/>
      <c r="KV403" s="5"/>
      <c r="KW403" s="5"/>
      <c r="KX403" s="5"/>
      <c r="KY403" s="5"/>
      <c r="KZ403" s="5"/>
      <c r="LA403" s="5"/>
      <c r="LB403" s="5"/>
      <c r="LC403" s="5"/>
      <c r="LD403" s="5"/>
      <c r="LE403" s="5"/>
      <c r="LF403" s="5"/>
      <c r="LG403" s="5"/>
      <c r="LH403" s="5"/>
      <c r="LI403" s="5"/>
      <c r="LJ403" s="5"/>
      <c r="LK403" s="5"/>
      <c r="LL403" s="5"/>
      <c r="LM403" s="5"/>
      <c r="LN403" s="5"/>
      <c r="LO403" s="5"/>
      <c r="LP403" s="5"/>
      <c r="LQ403" s="5"/>
      <c r="LR403" s="5"/>
      <c r="LS403" s="5"/>
      <c r="LT403" s="5"/>
      <c r="LU403" s="5"/>
      <c r="LV403" s="5"/>
      <c r="LW403" s="5"/>
      <c r="LX403" s="5"/>
      <c r="LY403" s="5"/>
      <c r="LZ403" s="5"/>
      <c r="MA403" s="5"/>
      <c r="MB403" s="5"/>
      <c r="MC403" s="5"/>
      <c r="MD403" s="5"/>
      <c r="ME403" s="5"/>
      <c r="MF403" s="5"/>
      <c r="MG403" s="5"/>
      <c r="MH403" s="5"/>
      <c r="MI403" s="5"/>
      <c r="MJ403" s="5"/>
      <c r="MK403" s="5"/>
      <c r="ML403" s="5"/>
      <c r="MM403" s="5"/>
      <c r="MN403" s="5"/>
      <c r="MO403" s="5"/>
      <c r="MP403" s="5"/>
      <c r="MQ403" s="5"/>
      <c r="MR403" s="5"/>
      <c r="MS403" s="5"/>
      <c r="MT403" s="5"/>
      <c r="MU403" s="5"/>
      <c r="MV403" s="5"/>
      <c r="MW403" s="5"/>
      <c r="MX403" s="5"/>
      <c r="MY403" s="5"/>
      <c r="MZ403" s="5"/>
      <c r="NA403" s="5"/>
      <c r="NB403" s="5"/>
      <c r="NC403" s="5"/>
      <c r="ND403" s="5"/>
      <c r="NE403" s="5"/>
      <c r="NF403" s="5"/>
      <c r="NG403" s="5"/>
      <c r="NH403" s="5"/>
      <c r="NI403" s="5"/>
      <c r="NJ403" s="5"/>
      <c r="NK403" s="5"/>
      <c r="NL403" s="5"/>
      <c r="NM403" s="5"/>
      <c r="NN403" s="5"/>
      <c r="NO403" s="5"/>
      <c r="NP403" s="5"/>
      <c r="NQ403" s="5"/>
      <c r="NR403" s="5"/>
      <c r="NS403" s="5"/>
      <c r="NT403" s="5"/>
      <c r="NU403" s="5"/>
      <c r="NV403" s="5"/>
      <c r="NW403" s="5"/>
      <c r="NX403" s="5"/>
      <c r="NY403" s="5"/>
      <c r="NZ403" s="5"/>
      <c r="OA403" s="5"/>
      <c r="OB403" s="5"/>
      <c r="OC403" s="5"/>
      <c r="OD403" s="5"/>
      <c r="OE403" s="5"/>
      <c r="OF403" s="5"/>
      <c r="OG403" s="5"/>
      <c r="OH403" s="5"/>
      <c r="OI403" s="5"/>
      <c r="OJ403" s="5"/>
      <c r="OK403" s="5"/>
      <c r="OL403" s="5"/>
      <c r="OM403" s="5"/>
      <c r="ON403" s="5"/>
      <c r="OO403" s="5"/>
      <c r="OP403" s="5"/>
      <c r="OQ403" s="5"/>
      <c r="OR403" s="5"/>
      <c r="OS403" s="5"/>
      <c r="OT403" s="5"/>
      <c r="OU403" s="5"/>
      <c r="OV403" s="5"/>
      <c r="OW403" s="5"/>
      <c r="OX403" s="5"/>
      <c r="OY403" s="5"/>
      <c r="OZ403" s="5"/>
      <c r="PA403" s="5"/>
      <c r="PB403" s="5"/>
      <c r="PC403" s="5"/>
      <c r="PD403" s="5"/>
      <c r="PE403" s="5"/>
      <c r="PF403" s="5"/>
      <c r="PG403" s="5"/>
      <c r="PH403" s="5"/>
      <c r="PI403" s="5"/>
      <c r="PJ403" s="5"/>
      <c r="PK403" s="5"/>
      <c r="PL403" s="5"/>
      <c r="PM403" s="5"/>
      <c r="PN403" s="5"/>
      <c r="PO403" s="5"/>
      <c r="PP403" s="5"/>
      <c r="PQ403" s="5"/>
      <c r="PR403" s="5"/>
      <c r="PS403" s="5"/>
      <c r="PT403" s="5"/>
      <c r="PU403" s="5"/>
      <c r="PV403" s="5"/>
      <c r="PW403" s="5"/>
      <c r="PX403" s="5"/>
      <c r="PY403" s="5"/>
      <c r="PZ403" s="5"/>
      <c r="QA403" s="5"/>
      <c r="QB403" s="5"/>
      <c r="QC403" s="5"/>
      <c r="QD403" s="5"/>
      <c r="QE403" s="5"/>
      <c r="QF403" s="5"/>
      <c r="QG403" s="5"/>
      <c r="QH403" s="5"/>
      <c r="QI403" s="5"/>
      <c r="QJ403" s="5"/>
      <c r="QK403" s="5"/>
      <c r="QL403" s="5"/>
      <c r="QM403" s="5"/>
      <c r="QN403" s="5"/>
      <c r="QO403" s="5"/>
      <c r="QP403" s="5"/>
      <c r="QQ403" s="5"/>
      <c r="QR403" s="5"/>
      <c r="QS403" s="5"/>
      <c r="QT403" s="5"/>
      <c r="QU403" s="5"/>
      <c r="QV403" s="5"/>
      <c r="QW403" s="5"/>
      <c r="QX403" s="5"/>
      <c r="QY403" s="5"/>
      <c r="QZ403" s="5"/>
      <c r="RA403" s="5"/>
      <c r="RB403" s="5"/>
      <c r="RC403" s="5"/>
      <c r="RD403" s="5"/>
      <c r="RE403" s="5"/>
      <c r="RF403" s="5"/>
      <c r="RG403" s="5"/>
      <c r="RH403" s="5"/>
      <c r="RI403" s="5"/>
      <c r="RJ403" s="5"/>
      <c r="RK403" s="5"/>
      <c r="RL403" s="5"/>
      <c r="RM403" s="5"/>
      <c r="RN403" s="5"/>
      <c r="RO403" s="5"/>
      <c r="RP403" s="5"/>
      <c r="RQ403" s="5"/>
      <c r="RR403" s="5"/>
      <c r="RS403" s="5"/>
      <c r="RT403" s="5"/>
      <c r="RU403" s="5"/>
      <c r="RV403" s="5"/>
      <c r="RW403" s="5"/>
      <c r="RX403" s="5"/>
      <c r="RY403" s="5"/>
      <c r="RZ403" s="5"/>
      <c r="SA403" s="5"/>
      <c r="SB403" s="5"/>
      <c r="SC403" s="5"/>
      <c r="SD403" s="5"/>
      <c r="SE403" s="5"/>
      <c r="SF403" s="5"/>
      <c r="SG403" s="5"/>
      <c r="SH403" s="5"/>
      <c r="SI403" s="5"/>
      <c r="SJ403" s="5"/>
      <c r="SK403" s="5"/>
      <c r="SL403" s="5"/>
      <c r="SM403" s="5"/>
      <c r="SN403" s="5"/>
      <c r="SO403" s="5"/>
      <c r="SP403" s="5"/>
      <c r="SQ403" s="5"/>
      <c r="SR403" s="5"/>
      <c r="SS403" s="5"/>
      <c r="ST403" s="5"/>
      <c r="SU403" s="5"/>
      <c r="SV403" s="5"/>
      <c r="SW403" s="5"/>
      <c r="SX403" s="5"/>
      <c r="SY403" s="5"/>
      <c r="SZ403" s="5"/>
      <c r="TA403" s="5"/>
      <c r="TB403" s="5"/>
      <c r="TC403" s="5"/>
      <c r="TD403" s="5"/>
      <c r="TE403" s="5"/>
      <c r="TF403" s="5"/>
      <c r="TG403" s="5"/>
      <c r="TH403" s="5"/>
      <c r="TI403" s="5"/>
      <c r="TJ403" s="5"/>
      <c r="TK403" s="5"/>
      <c r="TL403" s="5"/>
      <c r="TM403" s="5"/>
      <c r="TN403" s="5"/>
      <c r="TO403" s="5"/>
      <c r="TP403" s="5"/>
      <c r="TQ403" s="5"/>
      <c r="TR403" s="5"/>
      <c r="TS403" s="5"/>
      <c r="TT403" s="5"/>
      <c r="TU403" s="5"/>
      <c r="TV403" s="5"/>
      <c r="TW403" s="5"/>
      <c r="TX403" s="5"/>
      <c r="TY403" s="5"/>
      <c r="TZ403" s="5"/>
      <c r="UA403" s="5"/>
      <c r="UB403" s="5"/>
      <c r="UC403" s="5"/>
      <c r="UD403" s="5"/>
      <c r="UE403" s="5"/>
      <c r="UF403" s="5"/>
      <c r="UG403" s="5"/>
      <c r="UH403" s="5"/>
      <c r="UI403" s="5"/>
      <c r="UJ403" s="5"/>
      <c r="UK403" s="5"/>
      <c r="UL403" s="5"/>
      <c r="UM403" s="5"/>
      <c r="UN403" s="5"/>
      <c r="UO403" s="5"/>
      <c r="UP403" s="5"/>
      <c r="UQ403" s="5"/>
      <c r="UR403" s="5"/>
      <c r="US403" s="5"/>
      <c r="UT403" s="5"/>
      <c r="UU403" s="5"/>
      <c r="UV403" s="5"/>
      <c r="UW403" s="5"/>
      <c r="UX403" s="5"/>
      <c r="UY403" s="5"/>
      <c r="UZ403" s="5"/>
      <c r="VA403" s="5"/>
      <c r="VB403" s="5"/>
      <c r="VC403" s="5"/>
      <c r="VD403" s="5"/>
      <c r="VE403" s="5"/>
      <c r="VF403" s="5"/>
      <c r="VG403" s="5"/>
      <c r="VH403" s="5"/>
      <c r="VI403" s="5"/>
      <c r="VJ403" s="5"/>
      <c r="VK403" s="5"/>
      <c r="VL403" s="5"/>
      <c r="VM403" s="5"/>
      <c r="VN403" s="5"/>
      <c r="VO403" s="5"/>
      <c r="VP403" s="5"/>
      <c r="VQ403" s="5"/>
      <c r="VR403" s="5"/>
      <c r="VS403" s="5"/>
      <c r="VT403" s="5"/>
      <c r="VU403" s="5"/>
      <c r="VV403" s="5"/>
      <c r="VW403" s="5"/>
      <c r="VX403" s="5"/>
      <c r="VY403" s="5"/>
      <c r="VZ403" s="5"/>
      <c r="WA403" s="5"/>
      <c r="WB403" s="5"/>
      <c r="WC403" s="5"/>
      <c r="WD403" s="5"/>
      <c r="WE403" s="5"/>
      <c r="WF403" s="5"/>
      <c r="WG403" s="5"/>
      <c r="WH403" s="5"/>
      <c r="WI403" s="5"/>
      <c r="WJ403" s="5"/>
      <c r="WK403" s="5"/>
      <c r="WL403" s="5"/>
      <c r="WM403" s="5"/>
      <c r="WN403" s="5"/>
      <c r="WO403" s="5"/>
      <c r="WP403" s="5"/>
      <c r="WQ403" s="5"/>
      <c r="WR403" s="5"/>
      <c r="WS403" s="5"/>
      <c r="WT403" s="5"/>
      <c r="WU403" s="5"/>
      <c r="WV403" s="5"/>
      <c r="WW403" s="5"/>
      <c r="WX403" s="5"/>
      <c r="WY403" s="5"/>
      <c r="WZ403" s="5"/>
      <c r="XA403" s="5"/>
      <c r="XB403" s="5"/>
      <c r="XC403" s="5"/>
      <c r="XD403" s="5"/>
      <c r="XE403" s="5"/>
      <c r="XF403" s="5"/>
      <c r="XG403" s="5"/>
      <c r="XH403" s="5"/>
      <c r="XI403" s="5"/>
      <c r="XJ403" s="5"/>
      <c r="XK403" s="5"/>
      <c r="XL403" s="5"/>
      <c r="XM403" s="5"/>
      <c r="XN403" s="5"/>
      <c r="XO403" s="5"/>
      <c r="XP403" s="5"/>
      <c r="XQ403" s="5"/>
      <c r="XR403" s="5"/>
      <c r="XS403" s="5"/>
      <c r="XT403" s="5"/>
      <c r="XU403" s="5"/>
      <c r="XV403" s="5"/>
      <c r="XW403" s="5"/>
      <c r="XX403" s="5"/>
      <c r="XY403" s="5"/>
      <c r="XZ403" s="5"/>
      <c r="YA403" s="5"/>
      <c r="YB403" s="5"/>
      <c r="YC403" s="5"/>
      <c r="YD403" s="5"/>
      <c r="YE403" s="5"/>
      <c r="YF403" s="5"/>
      <c r="YG403" s="5"/>
      <c r="YH403" s="5"/>
      <c r="YI403" s="5"/>
      <c r="YJ403" s="5"/>
      <c r="YK403" s="5"/>
      <c r="YL403" s="5"/>
      <c r="YM403" s="5"/>
      <c r="YN403" s="5"/>
      <c r="YO403" s="5"/>
      <c r="YP403" s="5"/>
      <c r="YQ403" s="5"/>
      <c r="YR403" s="5"/>
      <c r="YS403" s="5"/>
      <c r="YT403" s="5"/>
      <c r="YU403" s="5"/>
      <c r="YV403" s="5"/>
      <c r="YW403" s="5"/>
      <c r="YX403" s="5"/>
      <c r="YY403" s="5"/>
      <c r="YZ403" s="5"/>
      <c r="ZA403" s="5"/>
      <c r="ZB403" s="5"/>
      <c r="ZC403" s="5"/>
      <c r="ZD403" s="5"/>
      <c r="ZE403" s="5"/>
      <c r="ZF403" s="5"/>
      <c r="ZG403" s="5"/>
      <c r="ZH403" s="5"/>
      <c r="ZI403" s="5"/>
      <c r="ZJ403" s="5"/>
      <c r="ZK403" s="5"/>
      <c r="ZL403" s="5"/>
      <c r="ZM403" s="5"/>
      <c r="ZN403" s="5"/>
      <c r="ZO403" s="5"/>
      <c r="ZP403" s="5"/>
      <c r="ZQ403" s="5"/>
      <c r="ZR403" s="5"/>
      <c r="ZS403" s="5"/>
      <c r="ZT403" s="5"/>
      <c r="ZU403" s="5"/>
      <c r="ZV403" s="5"/>
      <c r="ZW403" s="5"/>
      <c r="ZX403" s="5"/>
      <c r="ZY403" s="5"/>
      <c r="ZZ403" s="5"/>
      <c r="AAA403" s="5"/>
      <c r="AAB403" s="5"/>
      <c r="AAC403" s="5"/>
      <c r="AAD403" s="5"/>
      <c r="AAE403" s="5"/>
      <c r="AAF403" s="5"/>
      <c r="AAG403" s="5"/>
      <c r="AAH403" s="5"/>
      <c r="AAI403" s="5"/>
      <c r="AAJ403" s="5"/>
      <c r="AAK403" s="5"/>
      <c r="AAL403" s="5"/>
      <c r="AAM403" s="5"/>
      <c r="AAN403" s="5"/>
      <c r="AAO403" s="5"/>
      <c r="AAP403" s="5"/>
      <c r="AAQ403" s="5"/>
      <c r="AAR403" s="5"/>
      <c r="AAS403" s="5"/>
      <c r="AAT403" s="5"/>
      <c r="AAU403" s="5"/>
      <c r="AAV403" s="5"/>
      <c r="AAW403" s="5"/>
      <c r="AAX403" s="5"/>
      <c r="AAY403" s="5"/>
      <c r="AAZ403" s="5"/>
      <c r="ABA403" s="5"/>
      <c r="ABB403" s="5"/>
      <c r="ABC403" s="5"/>
      <c r="ABD403" s="5"/>
      <c r="ABE403" s="5"/>
      <c r="ABF403" s="5"/>
      <c r="ABG403" s="5"/>
      <c r="ABH403" s="5"/>
      <c r="ABI403" s="5"/>
      <c r="ABJ403" s="5"/>
      <c r="ABK403" s="5"/>
      <c r="ABL403" s="5"/>
      <c r="ABM403" s="5"/>
      <c r="ABN403" s="5"/>
      <c r="ABO403" s="5"/>
      <c r="ABP403" s="5"/>
      <c r="ABQ403" s="5"/>
      <c r="ABR403" s="5"/>
      <c r="ABS403" s="5"/>
      <c r="ABT403" s="5"/>
      <c r="ABU403" s="5"/>
      <c r="ABV403" s="5"/>
      <c r="ABW403" s="5"/>
      <c r="ABX403" s="5"/>
      <c r="ABY403" s="5"/>
      <c r="ABZ403" s="5"/>
      <c r="ACA403" s="5"/>
      <c r="ACB403" s="5"/>
      <c r="ACC403" s="5"/>
      <c r="ACD403" s="5"/>
      <c r="ACE403" s="5"/>
      <c r="ACF403" s="5"/>
      <c r="ACG403" s="5"/>
      <c r="ACH403" s="5"/>
      <c r="ACI403" s="5"/>
      <c r="ACJ403" s="5"/>
      <c r="ACK403" s="5"/>
      <c r="ACL403" s="5"/>
      <c r="ACM403" s="5"/>
      <c r="ACN403" s="5"/>
      <c r="ACO403" s="5"/>
      <c r="ACP403" s="5"/>
      <c r="ACQ403" s="5"/>
      <c r="ACR403" s="5"/>
      <c r="ACS403" s="5"/>
      <c r="ACT403" s="5"/>
      <c r="ACU403" s="5"/>
      <c r="ACV403" s="5"/>
      <c r="ACW403" s="5"/>
      <c r="ACX403" s="5"/>
      <c r="ACY403" s="5"/>
      <c r="ACZ403" s="5"/>
      <c r="ADA403" s="5"/>
      <c r="ADB403" s="5"/>
      <c r="ADC403" s="5"/>
      <c r="ADD403" s="5"/>
      <c r="ADE403" s="5"/>
      <c r="ADF403" s="5"/>
      <c r="ADG403" s="5"/>
      <c r="ADH403" s="5"/>
      <c r="ADI403" s="5"/>
      <c r="ADJ403" s="5"/>
      <c r="ADK403" s="5"/>
      <c r="ADL403" s="5"/>
      <c r="ADM403" s="5"/>
      <c r="ADN403" s="5"/>
      <c r="ADO403" s="5"/>
      <c r="ADP403" s="5"/>
      <c r="ADQ403" s="5"/>
      <c r="ADR403" s="5"/>
      <c r="ADS403" s="5"/>
      <c r="ADT403" s="5"/>
      <c r="ADU403" s="5"/>
      <c r="ADV403" s="5"/>
      <c r="ADW403" s="5"/>
      <c r="ADX403" s="5"/>
      <c r="ADY403" s="5"/>
      <c r="ADZ403" s="5"/>
      <c r="AEA403" s="5"/>
      <c r="AEB403" s="5"/>
      <c r="AEC403" s="5"/>
      <c r="AED403" s="5"/>
      <c r="AEE403" s="5"/>
      <c r="AEF403" s="5"/>
      <c r="AEG403" s="5"/>
      <c r="AEH403" s="5"/>
      <c r="AEI403" s="5"/>
      <c r="AEJ403" s="5"/>
      <c r="AEK403" s="5"/>
      <c r="AEL403" s="5"/>
      <c r="AEM403" s="5"/>
      <c r="AEN403" s="5"/>
      <c r="AEO403" s="5"/>
      <c r="AEP403" s="5"/>
      <c r="AEQ403" s="5"/>
      <c r="AER403" s="5"/>
      <c r="AES403" s="5"/>
      <c r="AET403" s="5"/>
      <c r="AEU403" s="5"/>
      <c r="AEV403" s="5"/>
      <c r="AEW403" s="5"/>
      <c r="AEX403" s="5"/>
      <c r="AEY403" s="5"/>
      <c r="AEZ403" s="5"/>
      <c r="AFA403" s="5"/>
      <c r="AFB403" s="5"/>
      <c r="AFC403" s="5"/>
      <c r="AFD403" s="5"/>
      <c r="AFE403" s="5"/>
      <c r="AFF403" s="5"/>
      <c r="AFG403" s="5"/>
      <c r="AFH403" s="5"/>
      <c r="AFI403" s="5"/>
      <c r="AFJ403" s="5"/>
      <c r="AFK403" s="5"/>
      <c r="AFL403" s="5"/>
      <c r="AFM403" s="5"/>
      <c r="AFN403" s="5"/>
      <c r="AFO403" s="5"/>
      <c r="AFP403" s="5"/>
      <c r="AFQ403" s="5"/>
      <c r="AFR403" s="5"/>
      <c r="AFS403" s="5"/>
      <c r="AFT403" s="5"/>
      <c r="AFU403" s="5"/>
      <c r="AFV403" s="5"/>
      <c r="AFW403" s="5"/>
      <c r="AFX403" s="5"/>
      <c r="AFY403" s="5"/>
      <c r="AFZ403" s="5"/>
      <c r="AGA403" s="5"/>
      <c r="AGB403" s="5"/>
      <c r="AGC403" s="5"/>
      <c r="AGD403" s="5"/>
      <c r="AGE403" s="5"/>
      <c r="AGF403" s="5"/>
      <c r="AGG403" s="5"/>
      <c r="AGH403" s="5"/>
      <c r="AGI403" s="5"/>
      <c r="AGJ403" s="5"/>
      <c r="AGK403" s="5"/>
      <c r="AGL403" s="5"/>
      <c r="AGM403" s="5"/>
      <c r="AGN403" s="5"/>
      <c r="AGO403" s="5"/>
      <c r="AGP403" s="5"/>
      <c r="AGQ403" s="5"/>
      <c r="AGR403" s="5"/>
      <c r="AGS403" s="5"/>
      <c r="AGT403" s="5"/>
      <c r="AGU403" s="5"/>
      <c r="AGV403" s="5"/>
      <c r="AGW403" s="5"/>
      <c r="AGX403" s="5"/>
      <c r="AGY403" s="5"/>
      <c r="AGZ403" s="5"/>
      <c r="AHA403" s="5"/>
      <c r="AHB403" s="5"/>
      <c r="AHC403" s="5"/>
      <c r="AHD403" s="5"/>
      <c r="AHE403" s="5"/>
      <c r="AHF403" s="5"/>
      <c r="AHG403" s="5"/>
      <c r="AHH403" s="5"/>
      <c r="AHI403" s="5"/>
      <c r="AHJ403" s="5"/>
      <c r="AHK403" s="5"/>
      <c r="AHL403" s="5"/>
      <c r="AHM403" s="5"/>
      <c r="AHN403" s="5"/>
      <c r="AHO403" s="5"/>
      <c r="AHP403" s="5"/>
      <c r="AHQ403" s="5"/>
      <c r="AHR403" s="5"/>
      <c r="AHS403" s="5"/>
      <c r="AHT403" s="5"/>
      <c r="AHU403" s="5"/>
      <c r="AHV403" s="5"/>
      <c r="AHW403" s="5"/>
      <c r="AHX403" s="5"/>
      <c r="AHY403" s="5"/>
      <c r="AHZ403" s="5"/>
      <c r="AIA403" s="5"/>
      <c r="AIB403" s="5"/>
      <c r="AIC403" s="5"/>
      <c r="AID403" s="5"/>
      <c r="AIE403" s="5"/>
      <c r="AIF403" s="5"/>
      <c r="AIG403" s="5"/>
      <c r="AIH403" s="5"/>
      <c r="AII403" s="5"/>
      <c r="AIJ403" s="5"/>
      <c r="AIK403" s="5"/>
      <c r="AIL403" s="5"/>
      <c r="AIM403" s="5"/>
      <c r="AIN403" s="5"/>
      <c r="AIO403" s="5"/>
      <c r="AIP403" s="5"/>
      <c r="AIQ403" s="5"/>
      <c r="AIR403" s="5"/>
      <c r="AIS403" s="5"/>
      <c r="AIT403" s="5"/>
      <c r="AIU403" s="5"/>
      <c r="AIV403" s="5"/>
      <c r="AIW403" s="5"/>
      <c r="AIX403" s="5"/>
      <c r="AIY403" s="5"/>
      <c r="AIZ403" s="5"/>
      <c r="AJA403" s="5"/>
      <c r="AJB403" s="5"/>
      <c r="AJC403" s="5"/>
      <c r="AJD403" s="5"/>
      <c r="AJE403" s="5"/>
      <c r="AJF403" s="5"/>
      <c r="AJG403" s="5"/>
      <c r="AJH403" s="5"/>
      <c r="AJI403" s="5"/>
      <c r="AJJ403" s="5"/>
      <c r="AJK403" s="5"/>
      <c r="AJL403" s="5"/>
      <c r="AJM403" s="5"/>
      <c r="AJN403" s="5"/>
      <c r="AJO403" s="5"/>
      <c r="AJP403" s="5"/>
      <c r="AJQ403" s="5"/>
      <c r="AJR403" s="5"/>
      <c r="AJS403" s="5"/>
      <c r="AJT403" s="5"/>
      <c r="AJU403" s="5"/>
      <c r="AJV403" s="5"/>
      <c r="AJW403" s="5"/>
      <c r="AJX403" s="5"/>
      <c r="AJY403" s="5"/>
      <c r="AJZ403" s="5"/>
      <c r="AKA403" s="5"/>
      <c r="AKB403" s="5"/>
      <c r="AKC403" s="5"/>
      <c r="AKD403" s="5"/>
      <c r="AKE403" s="5"/>
      <c r="AKF403" s="5"/>
      <c r="AKG403" s="5"/>
      <c r="AKH403" s="5"/>
      <c r="AKI403" s="5"/>
      <c r="AKJ403" s="5"/>
      <c r="AKK403" s="5"/>
      <c r="AKL403" s="5"/>
      <c r="AKM403" s="5"/>
      <c r="AKN403" s="5"/>
      <c r="AKO403" s="5"/>
      <c r="AKP403" s="5"/>
      <c r="AKQ403" s="5"/>
      <c r="AKR403" s="5"/>
      <c r="AKS403" s="5"/>
      <c r="AKT403" s="5"/>
      <c r="AKU403" s="5"/>
      <c r="AKV403" s="5"/>
      <c r="AKW403" s="5"/>
      <c r="AKX403" s="5"/>
      <c r="AKY403" s="5"/>
      <c r="AKZ403" s="5"/>
      <c r="ALA403" s="5"/>
      <c r="ALB403" s="5"/>
      <c r="ALC403" s="5"/>
      <c r="ALD403" s="5"/>
      <c r="ALE403" s="5"/>
      <c r="ALF403" s="5"/>
      <c r="ALG403" s="5"/>
      <c r="ALH403" s="5"/>
      <c r="ALI403" s="5"/>
      <c r="ALJ403" s="5"/>
      <c r="ALK403" s="5"/>
      <c r="ALL403" s="5"/>
      <c r="ALM403" s="5"/>
      <c r="ALN403" s="5"/>
      <c r="ALO403" s="5"/>
      <c r="ALP403" s="5"/>
      <c r="ALQ403" s="5"/>
      <c r="ALR403" s="5"/>
      <c r="ALS403" s="5"/>
      <c r="ALT403" s="5"/>
      <c r="ALU403" s="5"/>
      <c r="ALV403" s="5"/>
      <c r="ALW403" s="5"/>
      <c r="ALX403" s="5"/>
      <c r="ALY403" s="5"/>
      <c r="ALZ403" s="5"/>
      <c r="AMA403" s="5"/>
      <c r="AMB403" s="5"/>
      <c r="AMC403" s="5"/>
      <c r="AMD403" s="5"/>
      <c r="AME403" s="5"/>
      <c r="AMF403" s="5"/>
      <c r="AMG403" s="5"/>
      <c r="AMH403" s="5"/>
      <c r="AMI403" s="5"/>
      <c r="AMJ403" s="5"/>
      <c r="AMK403" s="5"/>
      <c r="AML403" s="5"/>
      <c r="AMM403" s="5"/>
      <c r="AMN403" s="5"/>
      <c r="AMO403" s="5"/>
      <c r="AMP403" s="5"/>
      <c r="AMQ403" s="5"/>
      <c r="AMR403" s="5"/>
      <c r="AMS403" s="5"/>
      <c r="AMT403" s="5"/>
      <c r="AMU403" s="5"/>
      <c r="AMV403" s="5"/>
      <c r="AMW403" s="5"/>
      <c r="AMX403" s="5"/>
      <c r="AMY403" s="5"/>
      <c r="AMZ403" s="5"/>
      <c r="ANA403" s="5"/>
      <c r="ANB403" s="5"/>
      <c r="ANC403" s="5"/>
      <c r="AND403" s="5"/>
      <c r="ANE403" s="5"/>
      <c r="ANF403" s="5"/>
      <c r="ANG403" s="5"/>
      <c r="ANH403" s="5"/>
      <c r="ANI403" s="5"/>
      <c r="ANJ403" s="5"/>
      <c r="ANK403" s="5"/>
      <c r="ANL403" s="5"/>
      <c r="ANM403" s="5"/>
      <c r="ANN403" s="5"/>
      <c r="ANO403" s="5"/>
      <c r="ANP403" s="5"/>
      <c r="ANQ403" s="5"/>
      <c r="ANR403" s="5"/>
      <c r="ANS403" s="5"/>
      <c r="ANT403" s="5"/>
      <c r="ANU403" s="5"/>
      <c r="ANV403" s="5"/>
      <c r="ANW403" s="5"/>
      <c r="ANX403" s="5"/>
      <c r="ANY403" s="5"/>
      <c r="ANZ403" s="5"/>
      <c r="AOA403" s="5"/>
      <c r="AOB403" s="5"/>
      <c r="AOC403" s="5"/>
      <c r="AOD403" s="5"/>
      <c r="AOE403" s="5"/>
      <c r="AOF403" s="5"/>
      <c r="AOG403" s="5"/>
      <c r="AOH403" s="5"/>
      <c r="AOI403" s="5"/>
      <c r="AOJ403" s="5"/>
      <c r="AOK403" s="5"/>
      <c r="AOL403" s="5"/>
      <c r="AOM403" s="5"/>
      <c r="AON403" s="5"/>
      <c r="AOO403" s="5"/>
      <c r="AOP403" s="5"/>
      <c r="AOQ403" s="5"/>
      <c r="AOR403" s="5"/>
      <c r="AOS403" s="5"/>
      <c r="AOT403" s="5"/>
      <c r="AOU403" s="5"/>
      <c r="AOV403" s="5"/>
      <c r="AOW403" s="5"/>
      <c r="AOX403" s="5"/>
      <c r="AOY403" s="5"/>
      <c r="AOZ403" s="5"/>
      <c r="APA403" s="5"/>
      <c r="APB403" s="5"/>
      <c r="APC403" s="5"/>
      <c r="APD403" s="5"/>
      <c r="APE403" s="5"/>
      <c r="APF403" s="5"/>
      <c r="APG403" s="5"/>
      <c r="APH403" s="5"/>
      <c r="API403" s="5"/>
      <c r="APJ403" s="5"/>
      <c r="APK403" s="5"/>
      <c r="APL403" s="5"/>
      <c r="APM403" s="5"/>
      <c r="APN403" s="5"/>
      <c r="APO403" s="5"/>
      <c r="APP403" s="5"/>
      <c r="APQ403" s="5"/>
      <c r="APR403" s="5"/>
      <c r="APS403" s="5"/>
      <c r="APT403" s="5"/>
      <c r="APU403" s="5"/>
      <c r="APV403" s="5"/>
      <c r="APW403" s="5"/>
      <c r="APX403" s="5"/>
      <c r="APY403" s="5"/>
      <c r="APZ403" s="5"/>
      <c r="AQA403" s="5"/>
      <c r="AQB403" s="5"/>
      <c r="AQC403" s="5"/>
      <c r="AQD403" s="5"/>
      <c r="AQE403" s="5"/>
      <c r="AQF403" s="5"/>
      <c r="AQG403" s="5"/>
      <c r="AQH403" s="5"/>
      <c r="AQI403" s="5"/>
      <c r="AQJ403" s="5"/>
      <c r="AQK403" s="5"/>
      <c r="AQL403" s="5"/>
      <c r="AQM403" s="5"/>
      <c r="AQN403" s="5"/>
      <c r="AQO403" s="5"/>
      <c r="AQP403" s="5"/>
      <c r="AQQ403" s="5"/>
      <c r="AQR403" s="5"/>
      <c r="AQS403" s="5"/>
      <c r="AQT403" s="5"/>
      <c r="AQU403" s="5"/>
      <c r="AQV403" s="5"/>
      <c r="AQW403" s="5"/>
      <c r="AQX403" s="5"/>
      <c r="AQY403" s="5"/>
      <c r="AQZ403" s="5"/>
      <c r="ARA403" s="5"/>
      <c r="ARB403" s="5"/>
      <c r="ARC403" s="5"/>
      <c r="ARD403" s="5"/>
      <c r="ARE403" s="5"/>
      <c r="ARF403" s="5"/>
      <c r="ARG403" s="5"/>
      <c r="ARH403" s="5"/>
      <c r="ARI403" s="5"/>
      <c r="ARJ403" s="5"/>
      <c r="ARK403" s="5"/>
      <c r="ARL403" s="5"/>
      <c r="ARM403" s="5"/>
      <c r="ARN403" s="5"/>
      <c r="ARO403" s="5"/>
      <c r="ARP403" s="5"/>
      <c r="ARQ403" s="5"/>
      <c r="ARR403" s="5"/>
      <c r="ARS403" s="5"/>
      <c r="ART403" s="5"/>
      <c r="ARU403" s="5"/>
      <c r="ARV403" s="5"/>
      <c r="ARW403" s="5"/>
      <c r="ARX403" s="5"/>
      <c r="ARY403" s="5"/>
      <c r="ARZ403" s="5"/>
      <c r="ASA403" s="5"/>
      <c r="ASB403" s="5"/>
      <c r="ASC403" s="5"/>
      <c r="ASD403" s="5"/>
      <c r="ASE403" s="5"/>
      <c r="ASF403" s="5"/>
      <c r="ASG403" s="5"/>
      <c r="ASH403" s="5"/>
      <c r="ASI403" s="5"/>
      <c r="ASJ403" s="5"/>
      <c r="ASK403" s="5"/>
      <c r="ASL403" s="5"/>
      <c r="ASM403" s="5"/>
      <c r="ASN403" s="5"/>
      <c r="ASO403" s="5"/>
      <c r="ASP403" s="5"/>
      <c r="ASQ403" s="5"/>
      <c r="ASR403" s="5"/>
      <c r="ASS403" s="5"/>
      <c r="AST403" s="5"/>
      <c r="ASU403" s="5"/>
      <c r="ASV403" s="5"/>
      <c r="ASW403" s="5"/>
      <c r="ASX403" s="5"/>
      <c r="ASY403" s="5"/>
      <c r="ASZ403" s="5"/>
      <c r="ATA403" s="5"/>
      <c r="ATB403" s="5"/>
      <c r="ATC403" s="5"/>
      <c r="ATD403" s="5"/>
      <c r="ATE403" s="5"/>
      <c r="ATF403" s="5"/>
      <c r="ATG403" s="5"/>
      <c r="ATH403" s="5"/>
      <c r="ATI403" s="5"/>
      <c r="ATJ403" s="5"/>
      <c r="ATK403" s="5"/>
      <c r="ATL403" s="5"/>
      <c r="ATM403" s="5"/>
      <c r="ATN403" s="5"/>
      <c r="ATO403" s="5"/>
      <c r="ATP403" s="5"/>
      <c r="ATQ403" s="5"/>
      <c r="ATR403" s="5"/>
      <c r="ATS403" s="5"/>
      <c r="ATT403" s="5"/>
      <c r="ATU403" s="5"/>
      <c r="ATV403" s="5"/>
      <c r="ATW403" s="5"/>
      <c r="ATX403" s="5"/>
    </row>
    <row r="404" spans="1:1220" ht="12.75" customHeight="1" x14ac:dyDescent="0.35">
      <c r="A404" s="76" t="s">
        <v>1075</v>
      </c>
      <c r="B404" s="99" t="s">
        <v>2039</v>
      </c>
      <c r="C404" s="76" t="s">
        <v>2040</v>
      </c>
      <c r="D404" s="142" t="s">
        <v>2041</v>
      </c>
    </row>
    <row r="405" spans="1:1220" ht="12.75" customHeight="1" x14ac:dyDescent="0.35">
      <c r="A405" s="76" t="s">
        <v>1075</v>
      </c>
      <c r="B405" s="99" t="s">
        <v>2042</v>
      </c>
      <c r="C405" s="76" t="s">
        <v>2043</v>
      </c>
      <c r="D405" s="142" t="s">
        <v>2044</v>
      </c>
    </row>
    <row r="406" spans="1:1220" ht="12.75" customHeight="1" x14ac:dyDescent="0.35">
      <c r="A406" s="76" t="s">
        <v>1075</v>
      </c>
      <c r="B406" s="99" t="s">
        <v>2045</v>
      </c>
      <c r="C406" s="76" t="s">
        <v>2046</v>
      </c>
      <c r="D406" s="142" t="s">
        <v>2047</v>
      </c>
    </row>
    <row r="407" spans="1:1220" ht="12.75" customHeight="1" x14ac:dyDescent="0.35">
      <c r="A407" s="76" t="s">
        <v>1075</v>
      </c>
      <c r="B407" s="99" t="s">
        <v>2048</v>
      </c>
      <c r="C407" s="76" t="s">
        <v>2049</v>
      </c>
      <c r="D407" s="142" t="s">
        <v>2050</v>
      </c>
    </row>
    <row r="408" spans="1:1220" ht="12.75" customHeight="1" x14ac:dyDescent="0.35">
      <c r="A408" s="76" t="s">
        <v>1075</v>
      </c>
      <c r="B408" s="99" t="s">
        <v>2051</v>
      </c>
      <c r="C408" s="76" t="s">
        <v>2052</v>
      </c>
      <c r="D408" s="142" t="s">
        <v>2053</v>
      </c>
    </row>
    <row r="409" spans="1:1220" ht="12.75" customHeight="1" x14ac:dyDescent="0.35">
      <c r="A409" s="76" t="s">
        <v>1075</v>
      </c>
      <c r="B409" s="99" t="s">
        <v>2054</v>
      </c>
      <c r="C409" s="76" t="s">
        <v>2055</v>
      </c>
      <c r="D409" s="142" t="s">
        <v>2056</v>
      </c>
    </row>
    <row r="410" spans="1:1220" ht="12.75" customHeight="1" x14ac:dyDescent="0.35">
      <c r="A410" s="76" t="s">
        <v>518</v>
      </c>
      <c r="B410" s="99" t="s">
        <v>2057</v>
      </c>
      <c r="C410" s="76" t="s">
        <v>2058</v>
      </c>
      <c r="D410" s="142" t="s">
        <v>2059</v>
      </c>
    </row>
    <row r="411" spans="1:1220" ht="12.75" customHeight="1" x14ac:dyDescent="0.35">
      <c r="A411" s="76" t="s">
        <v>518</v>
      </c>
      <c r="B411" s="99" t="s">
        <v>1820</v>
      </c>
      <c r="C411" s="76" t="s">
        <v>2060</v>
      </c>
      <c r="D411" s="142" t="s">
        <v>2061</v>
      </c>
    </row>
    <row r="412" spans="1:1220" s="17" customFormat="1" ht="12.75" customHeight="1" x14ac:dyDescent="0.35">
      <c r="A412" s="76" t="s">
        <v>518</v>
      </c>
      <c r="B412" s="99" t="s">
        <v>1407</v>
      </c>
      <c r="C412" s="76" t="s">
        <v>2062</v>
      </c>
      <c r="D412" s="142" t="s">
        <v>2063</v>
      </c>
      <c r="E412" s="76"/>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c r="IM412" s="5"/>
      <c r="IN412" s="5"/>
      <c r="IO412" s="5"/>
      <c r="IP412" s="5"/>
      <c r="IQ412" s="5"/>
      <c r="IR412" s="5"/>
      <c r="IS412" s="5"/>
      <c r="IT412" s="5"/>
      <c r="IU412" s="5"/>
      <c r="IV412" s="5"/>
      <c r="IW412" s="5"/>
      <c r="IX412" s="5"/>
      <c r="IY412" s="5"/>
      <c r="IZ412" s="5"/>
      <c r="JA412" s="5"/>
      <c r="JB412" s="5"/>
      <c r="JC412" s="5"/>
      <c r="JD412" s="5"/>
      <c r="JE412" s="5"/>
      <c r="JF412" s="5"/>
      <c r="JG412" s="5"/>
      <c r="JH412" s="5"/>
      <c r="JI412" s="5"/>
      <c r="JJ412" s="5"/>
      <c r="JK412" s="5"/>
      <c r="JL412" s="5"/>
      <c r="JM412" s="5"/>
      <c r="JN412" s="5"/>
      <c r="JO412" s="5"/>
      <c r="JP412" s="5"/>
      <c r="JQ412" s="5"/>
      <c r="JR412" s="5"/>
      <c r="JS412" s="5"/>
      <c r="JT412" s="5"/>
      <c r="JU412" s="5"/>
      <c r="JV412" s="5"/>
      <c r="JW412" s="5"/>
      <c r="JX412" s="5"/>
      <c r="JY412" s="5"/>
      <c r="JZ412" s="5"/>
      <c r="KA412" s="5"/>
      <c r="KB412" s="5"/>
      <c r="KC412" s="5"/>
      <c r="KD412" s="5"/>
      <c r="KE412" s="5"/>
      <c r="KF412" s="5"/>
      <c r="KG412" s="5"/>
      <c r="KH412" s="5"/>
      <c r="KI412" s="5"/>
      <c r="KJ412" s="5"/>
      <c r="KK412" s="5"/>
      <c r="KL412" s="5"/>
      <c r="KM412" s="5"/>
      <c r="KN412" s="5"/>
      <c r="KO412" s="5"/>
      <c r="KP412" s="5"/>
      <c r="KQ412" s="5"/>
      <c r="KR412" s="5"/>
      <c r="KS412" s="5"/>
      <c r="KT412" s="5"/>
      <c r="KU412" s="5"/>
      <c r="KV412" s="5"/>
      <c r="KW412" s="5"/>
      <c r="KX412" s="5"/>
      <c r="KY412" s="5"/>
      <c r="KZ412" s="5"/>
      <c r="LA412" s="5"/>
      <c r="LB412" s="5"/>
      <c r="LC412" s="5"/>
      <c r="LD412" s="5"/>
      <c r="LE412" s="5"/>
      <c r="LF412" s="5"/>
      <c r="LG412" s="5"/>
      <c r="LH412" s="5"/>
      <c r="LI412" s="5"/>
      <c r="LJ412" s="5"/>
      <c r="LK412" s="5"/>
      <c r="LL412" s="5"/>
      <c r="LM412" s="5"/>
      <c r="LN412" s="5"/>
      <c r="LO412" s="5"/>
      <c r="LP412" s="5"/>
      <c r="LQ412" s="5"/>
      <c r="LR412" s="5"/>
      <c r="LS412" s="5"/>
      <c r="LT412" s="5"/>
      <c r="LU412" s="5"/>
      <c r="LV412" s="5"/>
      <c r="LW412" s="5"/>
      <c r="LX412" s="5"/>
      <c r="LY412" s="5"/>
      <c r="LZ412" s="5"/>
      <c r="MA412" s="5"/>
      <c r="MB412" s="5"/>
      <c r="MC412" s="5"/>
      <c r="MD412" s="5"/>
      <c r="ME412" s="5"/>
      <c r="MF412" s="5"/>
      <c r="MG412" s="5"/>
      <c r="MH412" s="5"/>
      <c r="MI412" s="5"/>
      <c r="MJ412" s="5"/>
      <c r="MK412" s="5"/>
      <c r="ML412" s="5"/>
      <c r="MM412" s="5"/>
      <c r="MN412" s="5"/>
      <c r="MO412" s="5"/>
      <c r="MP412" s="5"/>
      <c r="MQ412" s="5"/>
      <c r="MR412" s="5"/>
      <c r="MS412" s="5"/>
      <c r="MT412" s="5"/>
      <c r="MU412" s="5"/>
      <c r="MV412" s="5"/>
      <c r="MW412" s="5"/>
      <c r="MX412" s="5"/>
      <c r="MY412" s="5"/>
      <c r="MZ412" s="5"/>
      <c r="NA412" s="5"/>
      <c r="NB412" s="5"/>
      <c r="NC412" s="5"/>
      <c r="ND412" s="5"/>
      <c r="NE412" s="5"/>
      <c r="NF412" s="5"/>
      <c r="NG412" s="5"/>
      <c r="NH412" s="5"/>
      <c r="NI412" s="5"/>
      <c r="NJ412" s="5"/>
      <c r="NK412" s="5"/>
      <c r="NL412" s="5"/>
      <c r="NM412" s="5"/>
      <c r="NN412" s="5"/>
      <c r="NO412" s="5"/>
      <c r="NP412" s="5"/>
      <c r="NQ412" s="5"/>
      <c r="NR412" s="5"/>
      <c r="NS412" s="5"/>
      <c r="NT412" s="5"/>
      <c r="NU412" s="5"/>
      <c r="NV412" s="5"/>
      <c r="NW412" s="5"/>
      <c r="NX412" s="5"/>
      <c r="NY412" s="5"/>
      <c r="NZ412" s="5"/>
      <c r="OA412" s="5"/>
      <c r="OB412" s="5"/>
      <c r="OC412" s="5"/>
      <c r="OD412" s="5"/>
      <c r="OE412" s="5"/>
      <c r="OF412" s="5"/>
      <c r="OG412" s="5"/>
      <c r="OH412" s="5"/>
      <c r="OI412" s="5"/>
      <c r="OJ412" s="5"/>
      <c r="OK412" s="5"/>
      <c r="OL412" s="5"/>
      <c r="OM412" s="5"/>
      <c r="ON412" s="5"/>
      <c r="OO412" s="5"/>
      <c r="OP412" s="5"/>
      <c r="OQ412" s="5"/>
      <c r="OR412" s="5"/>
      <c r="OS412" s="5"/>
      <c r="OT412" s="5"/>
      <c r="OU412" s="5"/>
      <c r="OV412" s="5"/>
      <c r="OW412" s="5"/>
      <c r="OX412" s="5"/>
      <c r="OY412" s="5"/>
      <c r="OZ412" s="5"/>
      <c r="PA412" s="5"/>
      <c r="PB412" s="5"/>
      <c r="PC412" s="5"/>
      <c r="PD412" s="5"/>
      <c r="PE412" s="5"/>
      <c r="PF412" s="5"/>
      <c r="PG412" s="5"/>
      <c r="PH412" s="5"/>
      <c r="PI412" s="5"/>
      <c r="PJ412" s="5"/>
      <c r="PK412" s="5"/>
      <c r="PL412" s="5"/>
      <c r="PM412" s="5"/>
      <c r="PN412" s="5"/>
      <c r="PO412" s="5"/>
      <c r="PP412" s="5"/>
      <c r="PQ412" s="5"/>
      <c r="PR412" s="5"/>
      <c r="PS412" s="5"/>
      <c r="PT412" s="5"/>
      <c r="PU412" s="5"/>
      <c r="PV412" s="5"/>
      <c r="PW412" s="5"/>
      <c r="PX412" s="5"/>
      <c r="PY412" s="5"/>
      <c r="PZ412" s="5"/>
      <c r="QA412" s="5"/>
      <c r="QB412" s="5"/>
      <c r="QC412" s="5"/>
      <c r="QD412" s="5"/>
      <c r="QE412" s="5"/>
      <c r="QF412" s="5"/>
      <c r="QG412" s="5"/>
      <c r="QH412" s="5"/>
      <c r="QI412" s="5"/>
      <c r="QJ412" s="5"/>
      <c r="QK412" s="5"/>
      <c r="QL412" s="5"/>
      <c r="QM412" s="5"/>
      <c r="QN412" s="5"/>
      <c r="QO412" s="5"/>
      <c r="QP412" s="5"/>
      <c r="QQ412" s="5"/>
      <c r="QR412" s="5"/>
      <c r="QS412" s="5"/>
      <c r="QT412" s="5"/>
      <c r="QU412" s="5"/>
      <c r="QV412" s="5"/>
      <c r="QW412" s="5"/>
      <c r="QX412" s="5"/>
      <c r="QY412" s="5"/>
      <c r="QZ412" s="5"/>
      <c r="RA412" s="5"/>
      <c r="RB412" s="5"/>
      <c r="RC412" s="5"/>
      <c r="RD412" s="5"/>
      <c r="RE412" s="5"/>
      <c r="RF412" s="5"/>
      <c r="RG412" s="5"/>
      <c r="RH412" s="5"/>
      <c r="RI412" s="5"/>
      <c r="RJ412" s="5"/>
      <c r="RK412" s="5"/>
      <c r="RL412" s="5"/>
      <c r="RM412" s="5"/>
      <c r="RN412" s="5"/>
      <c r="RO412" s="5"/>
      <c r="RP412" s="5"/>
      <c r="RQ412" s="5"/>
      <c r="RR412" s="5"/>
      <c r="RS412" s="5"/>
      <c r="RT412" s="5"/>
      <c r="RU412" s="5"/>
      <c r="RV412" s="5"/>
      <c r="RW412" s="5"/>
      <c r="RX412" s="5"/>
      <c r="RY412" s="5"/>
      <c r="RZ412" s="5"/>
      <c r="SA412" s="5"/>
      <c r="SB412" s="5"/>
      <c r="SC412" s="5"/>
      <c r="SD412" s="5"/>
      <c r="SE412" s="5"/>
      <c r="SF412" s="5"/>
      <c r="SG412" s="5"/>
      <c r="SH412" s="5"/>
      <c r="SI412" s="5"/>
      <c r="SJ412" s="5"/>
      <c r="SK412" s="5"/>
      <c r="SL412" s="5"/>
      <c r="SM412" s="5"/>
      <c r="SN412" s="5"/>
      <c r="SO412" s="5"/>
      <c r="SP412" s="5"/>
      <c r="SQ412" s="5"/>
      <c r="SR412" s="5"/>
      <c r="SS412" s="5"/>
      <c r="ST412" s="5"/>
      <c r="SU412" s="5"/>
      <c r="SV412" s="5"/>
      <c r="SW412" s="5"/>
      <c r="SX412" s="5"/>
      <c r="SY412" s="5"/>
      <c r="SZ412" s="5"/>
      <c r="TA412" s="5"/>
      <c r="TB412" s="5"/>
      <c r="TC412" s="5"/>
      <c r="TD412" s="5"/>
      <c r="TE412" s="5"/>
      <c r="TF412" s="5"/>
      <c r="TG412" s="5"/>
      <c r="TH412" s="5"/>
      <c r="TI412" s="5"/>
      <c r="TJ412" s="5"/>
      <c r="TK412" s="5"/>
      <c r="TL412" s="5"/>
      <c r="TM412" s="5"/>
      <c r="TN412" s="5"/>
      <c r="TO412" s="5"/>
      <c r="TP412" s="5"/>
      <c r="TQ412" s="5"/>
      <c r="TR412" s="5"/>
      <c r="TS412" s="5"/>
      <c r="TT412" s="5"/>
      <c r="TU412" s="5"/>
      <c r="TV412" s="5"/>
      <c r="TW412" s="5"/>
      <c r="TX412" s="5"/>
      <c r="TY412" s="5"/>
      <c r="TZ412" s="5"/>
      <c r="UA412" s="5"/>
      <c r="UB412" s="5"/>
      <c r="UC412" s="5"/>
      <c r="UD412" s="5"/>
      <c r="UE412" s="5"/>
      <c r="UF412" s="5"/>
      <c r="UG412" s="5"/>
      <c r="UH412" s="5"/>
      <c r="UI412" s="5"/>
      <c r="UJ412" s="5"/>
      <c r="UK412" s="5"/>
      <c r="UL412" s="5"/>
      <c r="UM412" s="5"/>
      <c r="UN412" s="5"/>
      <c r="UO412" s="5"/>
      <c r="UP412" s="5"/>
      <c r="UQ412" s="5"/>
      <c r="UR412" s="5"/>
      <c r="US412" s="5"/>
      <c r="UT412" s="5"/>
      <c r="UU412" s="5"/>
      <c r="UV412" s="5"/>
      <c r="UW412" s="5"/>
      <c r="UX412" s="5"/>
      <c r="UY412" s="5"/>
      <c r="UZ412" s="5"/>
      <c r="VA412" s="5"/>
      <c r="VB412" s="5"/>
      <c r="VC412" s="5"/>
      <c r="VD412" s="5"/>
      <c r="VE412" s="5"/>
      <c r="VF412" s="5"/>
      <c r="VG412" s="5"/>
      <c r="VH412" s="5"/>
      <c r="VI412" s="5"/>
      <c r="VJ412" s="5"/>
      <c r="VK412" s="5"/>
      <c r="VL412" s="5"/>
      <c r="VM412" s="5"/>
      <c r="VN412" s="5"/>
      <c r="VO412" s="5"/>
      <c r="VP412" s="5"/>
      <c r="VQ412" s="5"/>
      <c r="VR412" s="5"/>
      <c r="VS412" s="5"/>
      <c r="VT412" s="5"/>
      <c r="VU412" s="5"/>
      <c r="VV412" s="5"/>
      <c r="VW412" s="5"/>
      <c r="VX412" s="5"/>
      <c r="VY412" s="5"/>
      <c r="VZ412" s="5"/>
      <c r="WA412" s="5"/>
      <c r="WB412" s="5"/>
      <c r="WC412" s="5"/>
      <c r="WD412" s="5"/>
      <c r="WE412" s="5"/>
      <c r="WF412" s="5"/>
      <c r="WG412" s="5"/>
      <c r="WH412" s="5"/>
      <c r="WI412" s="5"/>
      <c r="WJ412" s="5"/>
      <c r="WK412" s="5"/>
      <c r="WL412" s="5"/>
      <c r="WM412" s="5"/>
      <c r="WN412" s="5"/>
      <c r="WO412" s="5"/>
      <c r="WP412" s="5"/>
      <c r="WQ412" s="5"/>
      <c r="WR412" s="5"/>
      <c r="WS412" s="5"/>
      <c r="WT412" s="5"/>
      <c r="WU412" s="5"/>
      <c r="WV412" s="5"/>
      <c r="WW412" s="5"/>
      <c r="WX412" s="5"/>
      <c r="WY412" s="5"/>
      <c r="WZ412" s="5"/>
      <c r="XA412" s="5"/>
      <c r="XB412" s="5"/>
      <c r="XC412" s="5"/>
      <c r="XD412" s="5"/>
      <c r="XE412" s="5"/>
      <c r="XF412" s="5"/>
      <c r="XG412" s="5"/>
      <c r="XH412" s="5"/>
      <c r="XI412" s="5"/>
      <c r="XJ412" s="5"/>
      <c r="XK412" s="5"/>
      <c r="XL412" s="5"/>
      <c r="XM412" s="5"/>
      <c r="XN412" s="5"/>
      <c r="XO412" s="5"/>
      <c r="XP412" s="5"/>
      <c r="XQ412" s="5"/>
      <c r="XR412" s="5"/>
      <c r="XS412" s="5"/>
      <c r="XT412" s="5"/>
      <c r="XU412" s="5"/>
      <c r="XV412" s="5"/>
      <c r="XW412" s="5"/>
      <c r="XX412" s="5"/>
      <c r="XY412" s="5"/>
      <c r="XZ412" s="5"/>
      <c r="YA412" s="5"/>
      <c r="YB412" s="5"/>
      <c r="YC412" s="5"/>
      <c r="YD412" s="5"/>
      <c r="YE412" s="5"/>
      <c r="YF412" s="5"/>
      <c r="YG412" s="5"/>
      <c r="YH412" s="5"/>
      <c r="YI412" s="5"/>
      <c r="YJ412" s="5"/>
      <c r="YK412" s="5"/>
      <c r="YL412" s="5"/>
      <c r="YM412" s="5"/>
      <c r="YN412" s="5"/>
      <c r="YO412" s="5"/>
      <c r="YP412" s="5"/>
      <c r="YQ412" s="5"/>
      <c r="YR412" s="5"/>
      <c r="YS412" s="5"/>
      <c r="YT412" s="5"/>
      <c r="YU412" s="5"/>
      <c r="YV412" s="5"/>
      <c r="YW412" s="5"/>
      <c r="YX412" s="5"/>
      <c r="YY412" s="5"/>
      <c r="YZ412" s="5"/>
      <c r="ZA412" s="5"/>
      <c r="ZB412" s="5"/>
      <c r="ZC412" s="5"/>
      <c r="ZD412" s="5"/>
      <c r="ZE412" s="5"/>
      <c r="ZF412" s="5"/>
      <c r="ZG412" s="5"/>
      <c r="ZH412" s="5"/>
      <c r="ZI412" s="5"/>
      <c r="ZJ412" s="5"/>
      <c r="ZK412" s="5"/>
      <c r="ZL412" s="5"/>
      <c r="ZM412" s="5"/>
      <c r="ZN412" s="5"/>
      <c r="ZO412" s="5"/>
      <c r="ZP412" s="5"/>
      <c r="ZQ412" s="5"/>
      <c r="ZR412" s="5"/>
      <c r="ZS412" s="5"/>
      <c r="ZT412" s="5"/>
      <c r="ZU412" s="5"/>
      <c r="ZV412" s="5"/>
      <c r="ZW412" s="5"/>
      <c r="ZX412" s="5"/>
      <c r="ZY412" s="5"/>
      <c r="ZZ412" s="5"/>
      <c r="AAA412" s="5"/>
      <c r="AAB412" s="5"/>
      <c r="AAC412" s="5"/>
      <c r="AAD412" s="5"/>
      <c r="AAE412" s="5"/>
      <c r="AAF412" s="5"/>
      <c r="AAG412" s="5"/>
      <c r="AAH412" s="5"/>
      <c r="AAI412" s="5"/>
      <c r="AAJ412" s="5"/>
      <c r="AAK412" s="5"/>
      <c r="AAL412" s="5"/>
      <c r="AAM412" s="5"/>
      <c r="AAN412" s="5"/>
      <c r="AAO412" s="5"/>
      <c r="AAP412" s="5"/>
      <c r="AAQ412" s="5"/>
      <c r="AAR412" s="5"/>
      <c r="AAS412" s="5"/>
      <c r="AAT412" s="5"/>
      <c r="AAU412" s="5"/>
      <c r="AAV412" s="5"/>
      <c r="AAW412" s="5"/>
      <c r="AAX412" s="5"/>
      <c r="AAY412" s="5"/>
      <c r="AAZ412" s="5"/>
      <c r="ABA412" s="5"/>
      <c r="ABB412" s="5"/>
      <c r="ABC412" s="5"/>
      <c r="ABD412" s="5"/>
      <c r="ABE412" s="5"/>
      <c r="ABF412" s="5"/>
      <c r="ABG412" s="5"/>
      <c r="ABH412" s="5"/>
      <c r="ABI412" s="5"/>
      <c r="ABJ412" s="5"/>
      <c r="ABK412" s="5"/>
      <c r="ABL412" s="5"/>
      <c r="ABM412" s="5"/>
      <c r="ABN412" s="5"/>
      <c r="ABO412" s="5"/>
      <c r="ABP412" s="5"/>
      <c r="ABQ412" s="5"/>
      <c r="ABR412" s="5"/>
      <c r="ABS412" s="5"/>
      <c r="ABT412" s="5"/>
      <c r="ABU412" s="5"/>
      <c r="ABV412" s="5"/>
      <c r="ABW412" s="5"/>
      <c r="ABX412" s="5"/>
      <c r="ABY412" s="5"/>
      <c r="ABZ412" s="5"/>
      <c r="ACA412" s="5"/>
      <c r="ACB412" s="5"/>
      <c r="ACC412" s="5"/>
      <c r="ACD412" s="5"/>
      <c r="ACE412" s="5"/>
      <c r="ACF412" s="5"/>
      <c r="ACG412" s="5"/>
      <c r="ACH412" s="5"/>
      <c r="ACI412" s="5"/>
      <c r="ACJ412" s="5"/>
      <c r="ACK412" s="5"/>
      <c r="ACL412" s="5"/>
      <c r="ACM412" s="5"/>
      <c r="ACN412" s="5"/>
      <c r="ACO412" s="5"/>
      <c r="ACP412" s="5"/>
      <c r="ACQ412" s="5"/>
      <c r="ACR412" s="5"/>
      <c r="ACS412" s="5"/>
      <c r="ACT412" s="5"/>
      <c r="ACU412" s="5"/>
      <c r="ACV412" s="5"/>
      <c r="ACW412" s="5"/>
      <c r="ACX412" s="5"/>
      <c r="ACY412" s="5"/>
      <c r="ACZ412" s="5"/>
      <c r="ADA412" s="5"/>
      <c r="ADB412" s="5"/>
      <c r="ADC412" s="5"/>
      <c r="ADD412" s="5"/>
      <c r="ADE412" s="5"/>
      <c r="ADF412" s="5"/>
      <c r="ADG412" s="5"/>
      <c r="ADH412" s="5"/>
      <c r="ADI412" s="5"/>
      <c r="ADJ412" s="5"/>
      <c r="ADK412" s="5"/>
      <c r="ADL412" s="5"/>
      <c r="ADM412" s="5"/>
      <c r="ADN412" s="5"/>
      <c r="ADO412" s="5"/>
      <c r="ADP412" s="5"/>
      <c r="ADQ412" s="5"/>
      <c r="ADR412" s="5"/>
      <c r="ADS412" s="5"/>
      <c r="ADT412" s="5"/>
      <c r="ADU412" s="5"/>
      <c r="ADV412" s="5"/>
      <c r="ADW412" s="5"/>
      <c r="ADX412" s="5"/>
      <c r="ADY412" s="5"/>
      <c r="ADZ412" s="5"/>
      <c r="AEA412" s="5"/>
      <c r="AEB412" s="5"/>
      <c r="AEC412" s="5"/>
      <c r="AED412" s="5"/>
      <c r="AEE412" s="5"/>
      <c r="AEF412" s="5"/>
      <c r="AEG412" s="5"/>
      <c r="AEH412" s="5"/>
      <c r="AEI412" s="5"/>
      <c r="AEJ412" s="5"/>
      <c r="AEK412" s="5"/>
      <c r="AEL412" s="5"/>
      <c r="AEM412" s="5"/>
      <c r="AEN412" s="5"/>
      <c r="AEO412" s="5"/>
      <c r="AEP412" s="5"/>
      <c r="AEQ412" s="5"/>
      <c r="AER412" s="5"/>
      <c r="AES412" s="5"/>
      <c r="AET412" s="5"/>
      <c r="AEU412" s="5"/>
      <c r="AEV412" s="5"/>
      <c r="AEW412" s="5"/>
      <c r="AEX412" s="5"/>
      <c r="AEY412" s="5"/>
      <c r="AEZ412" s="5"/>
      <c r="AFA412" s="5"/>
      <c r="AFB412" s="5"/>
      <c r="AFC412" s="5"/>
      <c r="AFD412" s="5"/>
      <c r="AFE412" s="5"/>
      <c r="AFF412" s="5"/>
      <c r="AFG412" s="5"/>
      <c r="AFH412" s="5"/>
      <c r="AFI412" s="5"/>
      <c r="AFJ412" s="5"/>
      <c r="AFK412" s="5"/>
      <c r="AFL412" s="5"/>
      <c r="AFM412" s="5"/>
      <c r="AFN412" s="5"/>
      <c r="AFO412" s="5"/>
      <c r="AFP412" s="5"/>
      <c r="AFQ412" s="5"/>
      <c r="AFR412" s="5"/>
      <c r="AFS412" s="5"/>
      <c r="AFT412" s="5"/>
      <c r="AFU412" s="5"/>
      <c r="AFV412" s="5"/>
      <c r="AFW412" s="5"/>
      <c r="AFX412" s="5"/>
      <c r="AFY412" s="5"/>
      <c r="AFZ412" s="5"/>
      <c r="AGA412" s="5"/>
      <c r="AGB412" s="5"/>
      <c r="AGC412" s="5"/>
      <c r="AGD412" s="5"/>
      <c r="AGE412" s="5"/>
      <c r="AGF412" s="5"/>
      <c r="AGG412" s="5"/>
      <c r="AGH412" s="5"/>
      <c r="AGI412" s="5"/>
      <c r="AGJ412" s="5"/>
      <c r="AGK412" s="5"/>
      <c r="AGL412" s="5"/>
      <c r="AGM412" s="5"/>
      <c r="AGN412" s="5"/>
      <c r="AGO412" s="5"/>
      <c r="AGP412" s="5"/>
      <c r="AGQ412" s="5"/>
      <c r="AGR412" s="5"/>
      <c r="AGS412" s="5"/>
      <c r="AGT412" s="5"/>
      <c r="AGU412" s="5"/>
      <c r="AGV412" s="5"/>
      <c r="AGW412" s="5"/>
      <c r="AGX412" s="5"/>
      <c r="AGY412" s="5"/>
      <c r="AGZ412" s="5"/>
      <c r="AHA412" s="5"/>
      <c r="AHB412" s="5"/>
      <c r="AHC412" s="5"/>
      <c r="AHD412" s="5"/>
      <c r="AHE412" s="5"/>
      <c r="AHF412" s="5"/>
      <c r="AHG412" s="5"/>
      <c r="AHH412" s="5"/>
      <c r="AHI412" s="5"/>
      <c r="AHJ412" s="5"/>
      <c r="AHK412" s="5"/>
      <c r="AHL412" s="5"/>
      <c r="AHM412" s="5"/>
      <c r="AHN412" s="5"/>
      <c r="AHO412" s="5"/>
      <c r="AHP412" s="5"/>
      <c r="AHQ412" s="5"/>
      <c r="AHR412" s="5"/>
      <c r="AHS412" s="5"/>
      <c r="AHT412" s="5"/>
      <c r="AHU412" s="5"/>
      <c r="AHV412" s="5"/>
      <c r="AHW412" s="5"/>
      <c r="AHX412" s="5"/>
      <c r="AHY412" s="5"/>
      <c r="AHZ412" s="5"/>
      <c r="AIA412" s="5"/>
      <c r="AIB412" s="5"/>
      <c r="AIC412" s="5"/>
      <c r="AID412" s="5"/>
      <c r="AIE412" s="5"/>
      <c r="AIF412" s="5"/>
      <c r="AIG412" s="5"/>
      <c r="AIH412" s="5"/>
      <c r="AII412" s="5"/>
      <c r="AIJ412" s="5"/>
      <c r="AIK412" s="5"/>
      <c r="AIL412" s="5"/>
      <c r="AIM412" s="5"/>
      <c r="AIN412" s="5"/>
      <c r="AIO412" s="5"/>
      <c r="AIP412" s="5"/>
      <c r="AIQ412" s="5"/>
      <c r="AIR412" s="5"/>
      <c r="AIS412" s="5"/>
      <c r="AIT412" s="5"/>
      <c r="AIU412" s="5"/>
      <c r="AIV412" s="5"/>
      <c r="AIW412" s="5"/>
      <c r="AIX412" s="5"/>
      <c r="AIY412" s="5"/>
      <c r="AIZ412" s="5"/>
      <c r="AJA412" s="5"/>
      <c r="AJB412" s="5"/>
      <c r="AJC412" s="5"/>
      <c r="AJD412" s="5"/>
      <c r="AJE412" s="5"/>
      <c r="AJF412" s="5"/>
      <c r="AJG412" s="5"/>
      <c r="AJH412" s="5"/>
      <c r="AJI412" s="5"/>
      <c r="AJJ412" s="5"/>
      <c r="AJK412" s="5"/>
      <c r="AJL412" s="5"/>
      <c r="AJM412" s="5"/>
      <c r="AJN412" s="5"/>
      <c r="AJO412" s="5"/>
      <c r="AJP412" s="5"/>
      <c r="AJQ412" s="5"/>
      <c r="AJR412" s="5"/>
      <c r="AJS412" s="5"/>
      <c r="AJT412" s="5"/>
      <c r="AJU412" s="5"/>
      <c r="AJV412" s="5"/>
      <c r="AJW412" s="5"/>
      <c r="AJX412" s="5"/>
      <c r="AJY412" s="5"/>
      <c r="AJZ412" s="5"/>
      <c r="AKA412" s="5"/>
      <c r="AKB412" s="5"/>
      <c r="AKC412" s="5"/>
      <c r="AKD412" s="5"/>
      <c r="AKE412" s="5"/>
      <c r="AKF412" s="5"/>
      <c r="AKG412" s="5"/>
      <c r="AKH412" s="5"/>
      <c r="AKI412" s="5"/>
      <c r="AKJ412" s="5"/>
      <c r="AKK412" s="5"/>
      <c r="AKL412" s="5"/>
      <c r="AKM412" s="5"/>
      <c r="AKN412" s="5"/>
      <c r="AKO412" s="5"/>
      <c r="AKP412" s="5"/>
      <c r="AKQ412" s="5"/>
      <c r="AKR412" s="5"/>
      <c r="AKS412" s="5"/>
      <c r="AKT412" s="5"/>
      <c r="AKU412" s="5"/>
      <c r="AKV412" s="5"/>
      <c r="AKW412" s="5"/>
      <c r="AKX412" s="5"/>
      <c r="AKY412" s="5"/>
      <c r="AKZ412" s="5"/>
      <c r="ALA412" s="5"/>
      <c r="ALB412" s="5"/>
      <c r="ALC412" s="5"/>
      <c r="ALD412" s="5"/>
      <c r="ALE412" s="5"/>
      <c r="ALF412" s="5"/>
      <c r="ALG412" s="5"/>
      <c r="ALH412" s="5"/>
      <c r="ALI412" s="5"/>
      <c r="ALJ412" s="5"/>
      <c r="ALK412" s="5"/>
      <c r="ALL412" s="5"/>
      <c r="ALM412" s="5"/>
      <c r="ALN412" s="5"/>
      <c r="ALO412" s="5"/>
      <c r="ALP412" s="5"/>
      <c r="ALQ412" s="5"/>
      <c r="ALR412" s="5"/>
      <c r="ALS412" s="5"/>
      <c r="ALT412" s="5"/>
      <c r="ALU412" s="5"/>
      <c r="ALV412" s="5"/>
      <c r="ALW412" s="5"/>
      <c r="ALX412" s="5"/>
      <c r="ALY412" s="5"/>
      <c r="ALZ412" s="5"/>
      <c r="AMA412" s="5"/>
      <c r="AMB412" s="5"/>
      <c r="AMC412" s="5"/>
      <c r="AMD412" s="5"/>
      <c r="AME412" s="5"/>
      <c r="AMF412" s="5"/>
      <c r="AMG412" s="5"/>
      <c r="AMH412" s="5"/>
      <c r="AMI412" s="5"/>
      <c r="AMJ412" s="5"/>
      <c r="AMK412" s="5"/>
      <c r="AML412" s="5"/>
      <c r="AMM412" s="5"/>
      <c r="AMN412" s="5"/>
      <c r="AMO412" s="5"/>
      <c r="AMP412" s="5"/>
      <c r="AMQ412" s="5"/>
      <c r="AMR412" s="5"/>
      <c r="AMS412" s="5"/>
      <c r="AMT412" s="5"/>
      <c r="AMU412" s="5"/>
      <c r="AMV412" s="5"/>
      <c r="AMW412" s="5"/>
      <c r="AMX412" s="5"/>
      <c r="AMY412" s="5"/>
      <c r="AMZ412" s="5"/>
      <c r="ANA412" s="5"/>
      <c r="ANB412" s="5"/>
      <c r="ANC412" s="5"/>
      <c r="AND412" s="5"/>
      <c r="ANE412" s="5"/>
      <c r="ANF412" s="5"/>
      <c r="ANG412" s="5"/>
      <c r="ANH412" s="5"/>
      <c r="ANI412" s="5"/>
      <c r="ANJ412" s="5"/>
      <c r="ANK412" s="5"/>
      <c r="ANL412" s="5"/>
      <c r="ANM412" s="5"/>
      <c r="ANN412" s="5"/>
      <c r="ANO412" s="5"/>
      <c r="ANP412" s="5"/>
      <c r="ANQ412" s="5"/>
      <c r="ANR412" s="5"/>
      <c r="ANS412" s="5"/>
      <c r="ANT412" s="5"/>
      <c r="ANU412" s="5"/>
      <c r="ANV412" s="5"/>
      <c r="ANW412" s="5"/>
      <c r="ANX412" s="5"/>
      <c r="ANY412" s="5"/>
      <c r="ANZ412" s="5"/>
      <c r="AOA412" s="5"/>
      <c r="AOB412" s="5"/>
      <c r="AOC412" s="5"/>
      <c r="AOD412" s="5"/>
      <c r="AOE412" s="5"/>
      <c r="AOF412" s="5"/>
      <c r="AOG412" s="5"/>
      <c r="AOH412" s="5"/>
      <c r="AOI412" s="5"/>
      <c r="AOJ412" s="5"/>
      <c r="AOK412" s="5"/>
      <c r="AOL412" s="5"/>
      <c r="AOM412" s="5"/>
      <c r="AON412" s="5"/>
      <c r="AOO412" s="5"/>
      <c r="AOP412" s="5"/>
      <c r="AOQ412" s="5"/>
      <c r="AOR412" s="5"/>
      <c r="AOS412" s="5"/>
      <c r="AOT412" s="5"/>
      <c r="AOU412" s="5"/>
      <c r="AOV412" s="5"/>
      <c r="AOW412" s="5"/>
      <c r="AOX412" s="5"/>
      <c r="AOY412" s="5"/>
      <c r="AOZ412" s="5"/>
      <c r="APA412" s="5"/>
      <c r="APB412" s="5"/>
      <c r="APC412" s="5"/>
      <c r="APD412" s="5"/>
      <c r="APE412" s="5"/>
      <c r="APF412" s="5"/>
      <c r="APG412" s="5"/>
      <c r="APH412" s="5"/>
      <c r="API412" s="5"/>
      <c r="APJ412" s="5"/>
      <c r="APK412" s="5"/>
      <c r="APL412" s="5"/>
      <c r="APM412" s="5"/>
      <c r="APN412" s="5"/>
      <c r="APO412" s="5"/>
      <c r="APP412" s="5"/>
      <c r="APQ412" s="5"/>
      <c r="APR412" s="5"/>
      <c r="APS412" s="5"/>
      <c r="APT412" s="5"/>
      <c r="APU412" s="5"/>
      <c r="APV412" s="5"/>
      <c r="APW412" s="5"/>
      <c r="APX412" s="5"/>
      <c r="APY412" s="5"/>
      <c r="APZ412" s="5"/>
      <c r="AQA412" s="5"/>
      <c r="AQB412" s="5"/>
      <c r="AQC412" s="5"/>
      <c r="AQD412" s="5"/>
      <c r="AQE412" s="5"/>
      <c r="AQF412" s="5"/>
      <c r="AQG412" s="5"/>
      <c r="AQH412" s="5"/>
      <c r="AQI412" s="5"/>
      <c r="AQJ412" s="5"/>
      <c r="AQK412" s="5"/>
      <c r="AQL412" s="5"/>
      <c r="AQM412" s="5"/>
      <c r="AQN412" s="5"/>
      <c r="AQO412" s="5"/>
      <c r="AQP412" s="5"/>
      <c r="AQQ412" s="5"/>
      <c r="AQR412" s="5"/>
      <c r="AQS412" s="5"/>
      <c r="AQT412" s="5"/>
      <c r="AQU412" s="5"/>
      <c r="AQV412" s="5"/>
      <c r="AQW412" s="5"/>
      <c r="AQX412" s="5"/>
      <c r="AQY412" s="5"/>
      <c r="AQZ412" s="5"/>
      <c r="ARA412" s="5"/>
      <c r="ARB412" s="5"/>
      <c r="ARC412" s="5"/>
      <c r="ARD412" s="5"/>
      <c r="ARE412" s="5"/>
      <c r="ARF412" s="5"/>
      <c r="ARG412" s="5"/>
      <c r="ARH412" s="5"/>
      <c r="ARI412" s="5"/>
      <c r="ARJ412" s="5"/>
      <c r="ARK412" s="5"/>
      <c r="ARL412" s="5"/>
      <c r="ARM412" s="5"/>
      <c r="ARN412" s="5"/>
      <c r="ARO412" s="5"/>
      <c r="ARP412" s="5"/>
      <c r="ARQ412" s="5"/>
      <c r="ARR412" s="5"/>
      <c r="ARS412" s="5"/>
      <c r="ART412" s="5"/>
      <c r="ARU412" s="5"/>
      <c r="ARV412" s="5"/>
      <c r="ARW412" s="5"/>
      <c r="ARX412" s="5"/>
      <c r="ARY412" s="5"/>
      <c r="ARZ412" s="5"/>
      <c r="ASA412" s="5"/>
      <c r="ASB412" s="5"/>
      <c r="ASC412" s="5"/>
      <c r="ASD412" s="5"/>
      <c r="ASE412" s="5"/>
      <c r="ASF412" s="5"/>
      <c r="ASG412" s="5"/>
      <c r="ASH412" s="5"/>
      <c r="ASI412" s="5"/>
      <c r="ASJ412" s="5"/>
      <c r="ASK412" s="5"/>
      <c r="ASL412" s="5"/>
      <c r="ASM412" s="5"/>
      <c r="ASN412" s="5"/>
      <c r="ASO412" s="5"/>
      <c r="ASP412" s="5"/>
      <c r="ASQ412" s="5"/>
      <c r="ASR412" s="5"/>
      <c r="ASS412" s="5"/>
      <c r="AST412" s="5"/>
      <c r="ASU412" s="5"/>
      <c r="ASV412" s="5"/>
      <c r="ASW412" s="5"/>
      <c r="ASX412" s="5"/>
      <c r="ASY412" s="5"/>
      <c r="ASZ412" s="5"/>
      <c r="ATA412" s="5"/>
      <c r="ATB412" s="5"/>
      <c r="ATC412" s="5"/>
      <c r="ATD412" s="5"/>
      <c r="ATE412" s="5"/>
      <c r="ATF412" s="5"/>
      <c r="ATG412" s="5"/>
      <c r="ATH412" s="5"/>
      <c r="ATI412" s="5"/>
      <c r="ATJ412" s="5"/>
      <c r="ATK412" s="5"/>
      <c r="ATL412" s="5"/>
      <c r="ATM412" s="5"/>
      <c r="ATN412" s="5"/>
      <c r="ATO412" s="5"/>
      <c r="ATP412" s="5"/>
      <c r="ATQ412" s="5"/>
      <c r="ATR412" s="5"/>
      <c r="ATS412" s="5"/>
      <c r="ATT412" s="5"/>
      <c r="ATU412" s="5"/>
      <c r="ATV412" s="5"/>
      <c r="ATW412" s="5"/>
      <c r="ATX412" s="5"/>
    </row>
    <row r="413" spans="1:1220" s="17" customFormat="1" ht="12.75" customHeight="1" x14ac:dyDescent="0.35">
      <c r="A413" s="76" t="s">
        <v>518</v>
      </c>
      <c r="B413" s="99" t="s">
        <v>2064</v>
      </c>
      <c r="C413" s="76" t="s">
        <v>2065</v>
      </c>
      <c r="D413" s="142" t="s">
        <v>2066</v>
      </c>
      <c r="E413" s="76"/>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c r="IM413" s="5"/>
      <c r="IN413" s="5"/>
      <c r="IO413" s="5"/>
      <c r="IP413" s="5"/>
      <c r="IQ413" s="5"/>
      <c r="IR413" s="5"/>
      <c r="IS413" s="5"/>
      <c r="IT413" s="5"/>
      <c r="IU413" s="5"/>
      <c r="IV413" s="5"/>
      <c r="IW413" s="5"/>
      <c r="IX413" s="5"/>
      <c r="IY413" s="5"/>
      <c r="IZ413" s="5"/>
      <c r="JA413" s="5"/>
      <c r="JB413" s="5"/>
      <c r="JC413" s="5"/>
      <c r="JD413" s="5"/>
      <c r="JE413" s="5"/>
      <c r="JF413" s="5"/>
      <c r="JG413" s="5"/>
      <c r="JH413" s="5"/>
      <c r="JI413" s="5"/>
      <c r="JJ413" s="5"/>
      <c r="JK413" s="5"/>
      <c r="JL413" s="5"/>
      <c r="JM413" s="5"/>
      <c r="JN413" s="5"/>
      <c r="JO413" s="5"/>
      <c r="JP413" s="5"/>
      <c r="JQ413" s="5"/>
      <c r="JR413" s="5"/>
      <c r="JS413" s="5"/>
      <c r="JT413" s="5"/>
      <c r="JU413" s="5"/>
      <c r="JV413" s="5"/>
      <c r="JW413" s="5"/>
      <c r="JX413" s="5"/>
      <c r="JY413" s="5"/>
      <c r="JZ413" s="5"/>
      <c r="KA413" s="5"/>
      <c r="KB413" s="5"/>
      <c r="KC413" s="5"/>
      <c r="KD413" s="5"/>
      <c r="KE413" s="5"/>
      <c r="KF413" s="5"/>
      <c r="KG413" s="5"/>
      <c r="KH413" s="5"/>
      <c r="KI413" s="5"/>
      <c r="KJ413" s="5"/>
      <c r="KK413" s="5"/>
      <c r="KL413" s="5"/>
      <c r="KM413" s="5"/>
      <c r="KN413" s="5"/>
      <c r="KO413" s="5"/>
      <c r="KP413" s="5"/>
      <c r="KQ413" s="5"/>
      <c r="KR413" s="5"/>
      <c r="KS413" s="5"/>
      <c r="KT413" s="5"/>
      <c r="KU413" s="5"/>
      <c r="KV413" s="5"/>
      <c r="KW413" s="5"/>
      <c r="KX413" s="5"/>
      <c r="KY413" s="5"/>
      <c r="KZ413" s="5"/>
      <c r="LA413" s="5"/>
      <c r="LB413" s="5"/>
      <c r="LC413" s="5"/>
      <c r="LD413" s="5"/>
      <c r="LE413" s="5"/>
      <c r="LF413" s="5"/>
      <c r="LG413" s="5"/>
      <c r="LH413" s="5"/>
      <c r="LI413" s="5"/>
      <c r="LJ413" s="5"/>
      <c r="LK413" s="5"/>
      <c r="LL413" s="5"/>
      <c r="LM413" s="5"/>
      <c r="LN413" s="5"/>
      <c r="LO413" s="5"/>
      <c r="LP413" s="5"/>
      <c r="LQ413" s="5"/>
      <c r="LR413" s="5"/>
      <c r="LS413" s="5"/>
      <c r="LT413" s="5"/>
      <c r="LU413" s="5"/>
      <c r="LV413" s="5"/>
      <c r="LW413" s="5"/>
      <c r="LX413" s="5"/>
      <c r="LY413" s="5"/>
      <c r="LZ413" s="5"/>
      <c r="MA413" s="5"/>
      <c r="MB413" s="5"/>
      <c r="MC413" s="5"/>
      <c r="MD413" s="5"/>
      <c r="ME413" s="5"/>
      <c r="MF413" s="5"/>
      <c r="MG413" s="5"/>
      <c r="MH413" s="5"/>
      <c r="MI413" s="5"/>
      <c r="MJ413" s="5"/>
      <c r="MK413" s="5"/>
      <c r="ML413" s="5"/>
      <c r="MM413" s="5"/>
      <c r="MN413" s="5"/>
      <c r="MO413" s="5"/>
      <c r="MP413" s="5"/>
      <c r="MQ413" s="5"/>
      <c r="MR413" s="5"/>
      <c r="MS413" s="5"/>
      <c r="MT413" s="5"/>
      <c r="MU413" s="5"/>
      <c r="MV413" s="5"/>
      <c r="MW413" s="5"/>
      <c r="MX413" s="5"/>
      <c r="MY413" s="5"/>
      <c r="MZ413" s="5"/>
      <c r="NA413" s="5"/>
      <c r="NB413" s="5"/>
      <c r="NC413" s="5"/>
      <c r="ND413" s="5"/>
      <c r="NE413" s="5"/>
      <c r="NF413" s="5"/>
      <c r="NG413" s="5"/>
      <c r="NH413" s="5"/>
      <c r="NI413" s="5"/>
      <c r="NJ413" s="5"/>
      <c r="NK413" s="5"/>
      <c r="NL413" s="5"/>
      <c r="NM413" s="5"/>
      <c r="NN413" s="5"/>
      <c r="NO413" s="5"/>
      <c r="NP413" s="5"/>
      <c r="NQ413" s="5"/>
      <c r="NR413" s="5"/>
      <c r="NS413" s="5"/>
      <c r="NT413" s="5"/>
      <c r="NU413" s="5"/>
      <c r="NV413" s="5"/>
      <c r="NW413" s="5"/>
      <c r="NX413" s="5"/>
      <c r="NY413" s="5"/>
      <c r="NZ413" s="5"/>
      <c r="OA413" s="5"/>
      <c r="OB413" s="5"/>
      <c r="OC413" s="5"/>
      <c r="OD413" s="5"/>
      <c r="OE413" s="5"/>
      <c r="OF413" s="5"/>
      <c r="OG413" s="5"/>
      <c r="OH413" s="5"/>
      <c r="OI413" s="5"/>
      <c r="OJ413" s="5"/>
      <c r="OK413" s="5"/>
      <c r="OL413" s="5"/>
      <c r="OM413" s="5"/>
      <c r="ON413" s="5"/>
      <c r="OO413" s="5"/>
      <c r="OP413" s="5"/>
      <c r="OQ413" s="5"/>
      <c r="OR413" s="5"/>
      <c r="OS413" s="5"/>
      <c r="OT413" s="5"/>
      <c r="OU413" s="5"/>
      <c r="OV413" s="5"/>
      <c r="OW413" s="5"/>
      <c r="OX413" s="5"/>
      <c r="OY413" s="5"/>
      <c r="OZ413" s="5"/>
      <c r="PA413" s="5"/>
      <c r="PB413" s="5"/>
      <c r="PC413" s="5"/>
      <c r="PD413" s="5"/>
      <c r="PE413" s="5"/>
      <c r="PF413" s="5"/>
      <c r="PG413" s="5"/>
      <c r="PH413" s="5"/>
      <c r="PI413" s="5"/>
      <c r="PJ413" s="5"/>
      <c r="PK413" s="5"/>
      <c r="PL413" s="5"/>
      <c r="PM413" s="5"/>
      <c r="PN413" s="5"/>
      <c r="PO413" s="5"/>
      <c r="PP413" s="5"/>
      <c r="PQ413" s="5"/>
      <c r="PR413" s="5"/>
      <c r="PS413" s="5"/>
      <c r="PT413" s="5"/>
      <c r="PU413" s="5"/>
      <c r="PV413" s="5"/>
      <c r="PW413" s="5"/>
      <c r="PX413" s="5"/>
      <c r="PY413" s="5"/>
      <c r="PZ413" s="5"/>
      <c r="QA413" s="5"/>
      <c r="QB413" s="5"/>
      <c r="QC413" s="5"/>
      <c r="QD413" s="5"/>
      <c r="QE413" s="5"/>
      <c r="QF413" s="5"/>
      <c r="QG413" s="5"/>
      <c r="QH413" s="5"/>
      <c r="QI413" s="5"/>
      <c r="QJ413" s="5"/>
      <c r="QK413" s="5"/>
      <c r="QL413" s="5"/>
      <c r="QM413" s="5"/>
      <c r="QN413" s="5"/>
      <c r="QO413" s="5"/>
      <c r="QP413" s="5"/>
      <c r="QQ413" s="5"/>
      <c r="QR413" s="5"/>
      <c r="QS413" s="5"/>
      <c r="QT413" s="5"/>
      <c r="QU413" s="5"/>
      <c r="QV413" s="5"/>
      <c r="QW413" s="5"/>
      <c r="QX413" s="5"/>
      <c r="QY413" s="5"/>
      <c r="QZ413" s="5"/>
      <c r="RA413" s="5"/>
      <c r="RB413" s="5"/>
      <c r="RC413" s="5"/>
      <c r="RD413" s="5"/>
      <c r="RE413" s="5"/>
      <c r="RF413" s="5"/>
      <c r="RG413" s="5"/>
      <c r="RH413" s="5"/>
      <c r="RI413" s="5"/>
      <c r="RJ413" s="5"/>
      <c r="RK413" s="5"/>
      <c r="RL413" s="5"/>
      <c r="RM413" s="5"/>
      <c r="RN413" s="5"/>
      <c r="RO413" s="5"/>
      <c r="RP413" s="5"/>
      <c r="RQ413" s="5"/>
      <c r="RR413" s="5"/>
      <c r="RS413" s="5"/>
      <c r="RT413" s="5"/>
      <c r="RU413" s="5"/>
      <c r="RV413" s="5"/>
      <c r="RW413" s="5"/>
      <c r="RX413" s="5"/>
      <c r="RY413" s="5"/>
      <c r="RZ413" s="5"/>
      <c r="SA413" s="5"/>
      <c r="SB413" s="5"/>
      <c r="SC413" s="5"/>
      <c r="SD413" s="5"/>
      <c r="SE413" s="5"/>
      <c r="SF413" s="5"/>
      <c r="SG413" s="5"/>
      <c r="SH413" s="5"/>
      <c r="SI413" s="5"/>
      <c r="SJ413" s="5"/>
      <c r="SK413" s="5"/>
      <c r="SL413" s="5"/>
      <c r="SM413" s="5"/>
      <c r="SN413" s="5"/>
      <c r="SO413" s="5"/>
      <c r="SP413" s="5"/>
      <c r="SQ413" s="5"/>
      <c r="SR413" s="5"/>
      <c r="SS413" s="5"/>
      <c r="ST413" s="5"/>
      <c r="SU413" s="5"/>
      <c r="SV413" s="5"/>
      <c r="SW413" s="5"/>
      <c r="SX413" s="5"/>
      <c r="SY413" s="5"/>
      <c r="SZ413" s="5"/>
      <c r="TA413" s="5"/>
      <c r="TB413" s="5"/>
      <c r="TC413" s="5"/>
      <c r="TD413" s="5"/>
      <c r="TE413" s="5"/>
      <c r="TF413" s="5"/>
      <c r="TG413" s="5"/>
      <c r="TH413" s="5"/>
      <c r="TI413" s="5"/>
      <c r="TJ413" s="5"/>
      <c r="TK413" s="5"/>
      <c r="TL413" s="5"/>
      <c r="TM413" s="5"/>
      <c r="TN413" s="5"/>
      <c r="TO413" s="5"/>
      <c r="TP413" s="5"/>
      <c r="TQ413" s="5"/>
      <c r="TR413" s="5"/>
      <c r="TS413" s="5"/>
      <c r="TT413" s="5"/>
      <c r="TU413" s="5"/>
      <c r="TV413" s="5"/>
      <c r="TW413" s="5"/>
      <c r="TX413" s="5"/>
      <c r="TY413" s="5"/>
      <c r="TZ413" s="5"/>
      <c r="UA413" s="5"/>
      <c r="UB413" s="5"/>
      <c r="UC413" s="5"/>
      <c r="UD413" s="5"/>
      <c r="UE413" s="5"/>
      <c r="UF413" s="5"/>
      <c r="UG413" s="5"/>
      <c r="UH413" s="5"/>
      <c r="UI413" s="5"/>
      <c r="UJ413" s="5"/>
      <c r="UK413" s="5"/>
      <c r="UL413" s="5"/>
      <c r="UM413" s="5"/>
      <c r="UN413" s="5"/>
      <c r="UO413" s="5"/>
      <c r="UP413" s="5"/>
      <c r="UQ413" s="5"/>
      <c r="UR413" s="5"/>
      <c r="US413" s="5"/>
      <c r="UT413" s="5"/>
      <c r="UU413" s="5"/>
      <c r="UV413" s="5"/>
      <c r="UW413" s="5"/>
      <c r="UX413" s="5"/>
      <c r="UY413" s="5"/>
      <c r="UZ413" s="5"/>
      <c r="VA413" s="5"/>
      <c r="VB413" s="5"/>
      <c r="VC413" s="5"/>
      <c r="VD413" s="5"/>
      <c r="VE413" s="5"/>
      <c r="VF413" s="5"/>
      <c r="VG413" s="5"/>
      <c r="VH413" s="5"/>
      <c r="VI413" s="5"/>
      <c r="VJ413" s="5"/>
      <c r="VK413" s="5"/>
      <c r="VL413" s="5"/>
      <c r="VM413" s="5"/>
      <c r="VN413" s="5"/>
      <c r="VO413" s="5"/>
      <c r="VP413" s="5"/>
      <c r="VQ413" s="5"/>
      <c r="VR413" s="5"/>
      <c r="VS413" s="5"/>
      <c r="VT413" s="5"/>
      <c r="VU413" s="5"/>
      <c r="VV413" s="5"/>
      <c r="VW413" s="5"/>
      <c r="VX413" s="5"/>
      <c r="VY413" s="5"/>
      <c r="VZ413" s="5"/>
      <c r="WA413" s="5"/>
      <c r="WB413" s="5"/>
      <c r="WC413" s="5"/>
      <c r="WD413" s="5"/>
      <c r="WE413" s="5"/>
      <c r="WF413" s="5"/>
      <c r="WG413" s="5"/>
      <c r="WH413" s="5"/>
      <c r="WI413" s="5"/>
      <c r="WJ413" s="5"/>
      <c r="WK413" s="5"/>
      <c r="WL413" s="5"/>
      <c r="WM413" s="5"/>
      <c r="WN413" s="5"/>
      <c r="WO413" s="5"/>
      <c r="WP413" s="5"/>
      <c r="WQ413" s="5"/>
      <c r="WR413" s="5"/>
      <c r="WS413" s="5"/>
      <c r="WT413" s="5"/>
      <c r="WU413" s="5"/>
      <c r="WV413" s="5"/>
      <c r="WW413" s="5"/>
      <c r="WX413" s="5"/>
      <c r="WY413" s="5"/>
      <c r="WZ413" s="5"/>
      <c r="XA413" s="5"/>
      <c r="XB413" s="5"/>
      <c r="XC413" s="5"/>
      <c r="XD413" s="5"/>
      <c r="XE413" s="5"/>
      <c r="XF413" s="5"/>
      <c r="XG413" s="5"/>
      <c r="XH413" s="5"/>
      <c r="XI413" s="5"/>
      <c r="XJ413" s="5"/>
      <c r="XK413" s="5"/>
      <c r="XL413" s="5"/>
      <c r="XM413" s="5"/>
      <c r="XN413" s="5"/>
      <c r="XO413" s="5"/>
      <c r="XP413" s="5"/>
      <c r="XQ413" s="5"/>
      <c r="XR413" s="5"/>
      <c r="XS413" s="5"/>
      <c r="XT413" s="5"/>
      <c r="XU413" s="5"/>
      <c r="XV413" s="5"/>
      <c r="XW413" s="5"/>
      <c r="XX413" s="5"/>
      <c r="XY413" s="5"/>
      <c r="XZ413" s="5"/>
      <c r="YA413" s="5"/>
      <c r="YB413" s="5"/>
      <c r="YC413" s="5"/>
      <c r="YD413" s="5"/>
      <c r="YE413" s="5"/>
      <c r="YF413" s="5"/>
      <c r="YG413" s="5"/>
      <c r="YH413" s="5"/>
      <c r="YI413" s="5"/>
      <c r="YJ413" s="5"/>
      <c r="YK413" s="5"/>
      <c r="YL413" s="5"/>
      <c r="YM413" s="5"/>
      <c r="YN413" s="5"/>
      <c r="YO413" s="5"/>
      <c r="YP413" s="5"/>
      <c r="YQ413" s="5"/>
      <c r="YR413" s="5"/>
      <c r="YS413" s="5"/>
      <c r="YT413" s="5"/>
      <c r="YU413" s="5"/>
      <c r="YV413" s="5"/>
      <c r="YW413" s="5"/>
      <c r="YX413" s="5"/>
      <c r="YY413" s="5"/>
      <c r="YZ413" s="5"/>
      <c r="ZA413" s="5"/>
      <c r="ZB413" s="5"/>
      <c r="ZC413" s="5"/>
      <c r="ZD413" s="5"/>
      <c r="ZE413" s="5"/>
      <c r="ZF413" s="5"/>
      <c r="ZG413" s="5"/>
      <c r="ZH413" s="5"/>
      <c r="ZI413" s="5"/>
      <c r="ZJ413" s="5"/>
      <c r="ZK413" s="5"/>
      <c r="ZL413" s="5"/>
      <c r="ZM413" s="5"/>
      <c r="ZN413" s="5"/>
      <c r="ZO413" s="5"/>
      <c r="ZP413" s="5"/>
      <c r="ZQ413" s="5"/>
      <c r="ZR413" s="5"/>
      <c r="ZS413" s="5"/>
      <c r="ZT413" s="5"/>
      <c r="ZU413" s="5"/>
      <c r="ZV413" s="5"/>
      <c r="ZW413" s="5"/>
      <c r="ZX413" s="5"/>
      <c r="ZY413" s="5"/>
      <c r="ZZ413" s="5"/>
      <c r="AAA413" s="5"/>
      <c r="AAB413" s="5"/>
      <c r="AAC413" s="5"/>
      <c r="AAD413" s="5"/>
      <c r="AAE413" s="5"/>
      <c r="AAF413" s="5"/>
      <c r="AAG413" s="5"/>
      <c r="AAH413" s="5"/>
      <c r="AAI413" s="5"/>
      <c r="AAJ413" s="5"/>
      <c r="AAK413" s="5"/>
      <c r="AAL413" s="5"/>
      <c r="AAM413" s="5"/>
      <c r="AAN413" s="5"/>
      <c r="AAO413" s="5"/>
      <c r="AAP413" s="5"/>
      <c r="AAQ413" s="5"/>
      <c r="AAR413" s="5"/>
      <c r="AAS413" s="5"/>
      <c r="AAT413" s="5"/>
      <c r="AAU413" s="5"/>
      <c r="AAV413" s="5"/>
      <c r="AAW413" s="5"/>
      <c r="AAX413" s="5"/>
      <c r="AAY413" s="5"/>
      <c r="AAZ413" s="5"/>
      <c r="ABA413" s="5"/>
      <c r="ABB413" s="5"/>
      <c r="ABC413" s="5"/>
      <c r="ABD413" s="5"/>
      <c r="ABE413" s="5"/>
      <c r="ABF413" s="5"/>
      <c r="ABG413" s="5"/>
      <c r="ABH413" s="5"/>
      <c r="ABI413" s="5"/>
      <c r="ABJ413" s="5"/>
      <c r="ABK413" s="5"/>
      <c r="ABL413" s="5"/>
      <c r="ABM413" s="5"/>
      <c r="ABN413" s="5"/>
      <c r="ABO413" s="5"/>
      <c r="ABP413" s="5"/>
      <c r="ABQ413" s="5"/>
      <c r="ABR413" s="5"/>
      <c r="ABS413" s="5"/>
      <c r="ABT413" s="5"/>
      <c r="ABU413" s="5"/>
      <c r="ABV413" s="5"/>
      <c r="ABW413" s="5"/>
      <c r="ABX413" s="5"/>
      <c r="ABY413" s="5"/>
      <c r="ABZ413" s="5"/>
      <c r="ACA413" s="5"/>
      <c r="ACB413" s="5"/>
      <c r="ACC413" s="5"/>
      <c r="ACD413" s="5"/>
      <c r="ACE413" s="5"/>
      <c r="ACF413" s="5"/>
      <c r="ACG413" s="5"/>
      <c r="ACH413" s="5"/>
      <c r="ACI413" s="5"/>
      <c r="ACJ413" s="5"/>
      <c r="ACK413" s="5"/>
      <c r="ACL413" s="5"/>
      <c r="ACM413" s="5"/>
      <c r="ACN413" s="5"/>
      <c r="ACO413" s="5"/>
      <c r="ACP413" s="5"/>
      <c r="ACQ413" s="5"/>
      <c r="ACR413" s="5"/>
      <c r="ACS413" s="5"/>
      <c r="ACT413" s="5"/>
      <c r="ACU413" s="5"/>
      <c r="ACV413" s="5"/>
      <c r="ACW413" s="5"/>
      <c r="ACX413" s="5"/>
      <c r="ACY413" s="5"/>
      <c r="ACZ413" s="5"/>
      <c r="ADA413" s="5"/>
      <c r="ADB413" s="5"/>
      <c r="ADC413" s="5"/>
      <c r="ADD413" s="5"/>
      <c r="ADE413" s="5"/>
      <c r="ADF413" s="5"/>
      <c r="ADG413" s="5"/>
      <c r="ADH413" s="5"/>
      <c r="ADI413" s="5"/>
      <c r="ADJ413" s="5"/>
      <c r="ADK413" s="5"/>
      <c r="ADL413" s="5"/>
      <c r="ADM413" s="5"/>
      <c r="ADN413" s="5"/>
      <c r="ADO413" s="5"/>
      <c r="ADP413" s="5"/>
      <c r="ADQ413" s="5"/>
      <c r="ADR413" s="5"/>
      <c r="ADS413" s="5"/>
      <c r="ADT413" s="5"/>
      <c r="ADU413" s="5"/>
      <c r="ADV413" s="5"/>
      <c r="ADW413" s="5"/>
      <c r="ADX413" s="5"/>
      <c r="ADY413" s="5"/>
      <c r="ADZ413" s="5"/>
      <c r="AEA413" s="5"/>
      <c r="AEB413" s="5"/>
      <c r="AEC413" s="5"/>
      <c r="AED413" s="5"/>
      <c r="AEE413" s="5"/>
      <c r="AEF413" s="5"/>
      <c r="AEG413" s="5"/>
      <c r="AEH413" s="5"/>
      <c r="AEI413" s="5"/>
      <c r="AEJ413" s="5"/>
      <c r="AEK413" s="5"/>
      <c r="AEL413" s="5"/>
      <c r="AEM413" s="5"/>
      <c r="AEN413" s="5"/>
      <c r="AEO413" s="5"/>
      <c r="AEP413" s="5"/>
      <c r="AEQ413" s="5"/>
      <c r="AER413" s="5"/>
      <c r="AES413" s="5"/>
      <c r="AET413" s="5"/>
      <c r="AEU413" s="5"/>
      <c r="AEV413" s="5"/>
      <c r="AEW413" s="5"/>
      <c r="AEX413" s="5"/>
      <c r="AEY413" s="5"/>
      <c r="AEZ413" s="5"/>
      <c r="AFA413" s="5"/>
      <c r="AFB413" s="5"/>
      <c r="AFC413" s="5"/>
      <c r="AFD413" s="5"/>
      <c r="AFE413" s="5"/>
      <c r="AFF413" s="5"/>
      <c r="AFG413" s="5"/>
      <c r="AFH413" s="5"/>
      <c r="AFI413" s="5"/>
      <c r="AFJ413" s="5"/>
      <c r="AFK413" s="5"/>
      <c r="AFL413" s="5"/>
      <c r="AFM413" s="5"/>
      <c r="AFN413" s="5"/>
      <c r="AFO413" s="5"/>
      <c r="AFP413" s="5"/>
      <c r="AFQ413" s="5"/>
      <c r="AFR413" s="5"/>
      <c r="AFS413" s="5"/>
      <c r="AFT413" s="5"/>
      <c r="AFU413" s="5"/>
      <c r="AFV413" s="5"/>
      <c r="AFW413" s="5"/>
      <c r="AFX413" s="5"/>
      <c r="AFY413" s="5"/>
      <c r="AFZ413" s="5"/>
      <c r="AGA413" s="5"/>
      <c r="AGB413" s="5"/>
      <c r="AGC413" s="5"/>
      <c r="AGD413" s="5"/>
      <c r="AGE413" s="5"/>
      <c r="AGF413" s="5"/>
      <c r="AGG413" s="5"/>
      <c r="AGH413" s="5"/>
      <c r="AGI413" s="5"/>
      <c r="AGJ413" s="5"/>
      <c r="AGK413" s="5"/>
      <c r="AGL413" s="5"/>
      <c r="AGM413" s="5"/>
      <c r="AGN413" s="5"/>
      <c r="AGO413" s="5"/>
      <c r="AGP413" s="5"/>
      <c r="AGQ413" s="5"/>
      <c r="AGR413" s="5"/>
      <c r="AGS413" s="5"/>
      <c r="AGT413" s="5"/>
      <c r="AGU413" s="5"/>
      <c r="AGV413" s="5"/>
      <c r="AGW413" s="5"/>
      <c r="AGX413" s="5"/>
      <c r="AGY413" s="5"/>
      <c r="AGZ413" s="5"/>
      <c r="AHA413" s="5"/>
      <c r="AHB413" s="5"/>
      <c r="AHC413" s="5"/>
      <c r="AHD413" s="5"/>
      <c r="AHE413" s="5"/>
      <c r="AHF413" s="5"/>
      <c r="AHG413" s="5"/>
      <c r="AHH413" s="5"/>
      <c r="AHI413" s="5"/>
      <c r="AHJ413" s="5"/>
      <c r="AHK413" s="5"/>
      <c r="AHL413" s="5"/>
      <c r="AHM413" s="5"/>
      <c r="AHN413" s="5"/>
      <c r="AHO413" s="5"/>
      <c r="AHP413" s="5"/>
      <c r="AHQ413" s="5"/>
      <c r="AHR413" s="5"/>
      <c r="AHS413" s="5"/>
      <c r="AHT413" s="5"/>
      <c r="AHU413" s="5"/>
      <c r="AHV413" s="5"/>
      <c r="AHW413" s="5"/>
      <c r="AHX413" s="5"/>
      <c r="AHY413" s="5"/>
      <c r="AHZ413" s="5"/>
      <c r="AIA413" s="5"/>
      <c r="AIB413" s="5"/>
      <c r="AIC413" s="5"/>
      <c r="AID413" s="5"/>
      <c r="AIE413" s="5"/>
      <c r="AIF413" s="5"/>
      <c r="AIG413" s="5"/>
      <c r="AIH413" s="5"/>
      <c r="AII413" s="5"/>
      <c r="AIJ413" s="5"/>
      <c r="AIK413" s="5"/>
      <c r="AIL413" s="5"/>
      <c r="AIM413" s="5"/>
      <c r="AIN413" s="5"/>
      <c r="AIO413" s="5"/>
      <c r="AIP413" s="5"/>
      <c r="AIQ413" s="5"/>
      <c r="AIR413" s="5"/>
      <c r="AIS413" s="5"/>
      <c r="AIT413" s="5"/>
      <c r="AIU413" s="5"/>
      <c r="AIV413" s="5"/>
      <c r="AIW413" s="5"/>
      <c r="AIX413" s="5"/>
      <c r="AIY413" s="5"/>
      <c r="AIZ413" s="5"/>
      <c r="AJA413" s="5"/>
      <c r="AJB413" s="5"/>
      <c r="AJC413" s="5"/>
      <c r="AJD413" s="5"/>
      <c r="AJE413" s="5"/>
      <c r="AJF413" s="5"/>
      <c r="AJG413" s="5"/>
      <c r="AJH413" s="5"/>
      <c r="AJI413" s="5"/>
      <c r="AJJ413" s="5"/>
      <c r="AJK413" s="5"/>
      <c r="AJL413" s="5"/>
      <c r="AJM413" s="5"/>
      <c r="AJN413" s="5"/>
      <c r="AJO413" s="5"/>
      <c r="AJP413" s="5"/>
      <c r="AJQ413" s="5"/>
      <c r="AJR413" s="5"/>
      <c r="AJS413" s="5"/>
      <c r="AJT413" s="5"/>
      <c r="AJU413" s="5"/>
      <c r="AJV413" s="5"/>
      <c r="AJW413" s="5"/>
      <c r="AJX413" s="5"/>
      <c r="AJY413" s="5"/>
      <c r="AJZ413" s="5"/>
      <c r="AKA413" s="5"/>
      <c r="AKB413" s="5"/>
      <c r="AKC413" s="5"/>
      <c r="AKD413" s="5"/>
      <c r="AKE413" s="5"/>
      <c r="AKF413" s="5"/>
      <c r="AKG413" s="5"/>
      <c r="AKH413" s="5"/>
      <c r="AKI413" s="5"/>
      <c r="AKJ413" s="5"/>
      <c r="AKK413" s="5"/>
      <c r="AKL413" s="5"/>
      <c r="AKM413" s="5"/>
      <c r="AKN413" s="5"/>
      <c r="AKO413" s="5"/>
      <c r="AKP413" s="5"/>
      <c r="AKQ413" s="5"/>
      <c r="AKR413" s="5"/>
      <c r="AKS413" s="5"/>
      <c r="AKT413" s="5"/>
      <c r="AKU413" s="5"/>
      <c r="AKV413" s="5"/>
      <c r="AKW413" s="5"/>
      <c r="AKX413" s="5"/>
      <c r="AKY413" s="5"/>
      <c r="AKZ413" s="5"/>
      <c r="ALA413" s="5"/>
      <c r="ALB413" s="5"/>
      <c r="ALC413" s="5"/>
      <c r="ALD413" s="5"/>
      <c r="ALE413" s="5"/>
      <c r="ALF413" s="5"/>
      <c r="ALG413" s="5"/>
      <c r="ALH413" s="5"/>
      <c r="ALI413" s="5"/>
      <c r="ALJ413" s="5"/>
      <c r="ALK413" s="5"/>
      <c r="ALL413" s="5"/>
      <c r="ALM413" s="5"/>
      <c r="ALN413" s="5"/>
      <c r="ALO413" s="5"/>
      <c r="ALP413" s="5"/>
      <c r="ALQ413" s="5"/>
      <c r="ALR413" s="5"/>
      <c r="ALS413" s="5"/>
      <c r="ALT413" s="5"/>
      <c r="ALU413" s="5"/>
      <c r="ALV413" s="5"/>
      <c r="ALW413" s="5"/>
      <c r="ALX413" s="5"/>
      <c r="ALY413" s="5"/>
      <c r="ALZ413" s="5"/>
      <c r="AMA413" s="5"/>
      <c r="AMB413" s="5"/>
      <c r="AMC413" s="5"/>
      <c r="AMD413" s="5"/>
      <c r="AME413" s="5"/>
      <c r="AMF413" s="5"/>
      <c r="AMG413" s="5"/>
      <c r="AMH413" s="5"/>
      <c r="AMI413" s="5"/>
      <c r="AMJ413" s="5"/>
      <c r="AMK413" s="5"/>
      <c r="AML413" s="5"/>
      <c r="AMM413" s="5"/>
      <c r="AMN413" s="5"/>
      <c r="AMO413" s="5"/>
      <c r="AMP413" s="5"/>
      <c r="AMQ413" s="5"/>
      <c r="AMR413" s="5"/>
      <c r="AMS413" s="5"/>
      <c r="AMT413" s="5"/>
      <c r="AMU413" s="5"/>
      <c r="AMV413" s="5"/>
      <c r="AMW413" s="5"/>
      <c r="AMX413" s="5"/>
      <c r="AMY413" s="5"/>
      <c r="AMZ413" s="5"/>
      <c r="ANA413" s="5"/>
      <c r="ANB413" s="5"/>
      <c r="ANC413" s="5"/>
      <c r="AND413" s="5"/>
      <c r="ANE413" s="5"/>
      <c r="ANF413" s="5"/>
      <c r="ANG413" s="5"/>
      <c r="ANH413" s="5"/>
      <c r="ANI413" s="5"/>
      <c r="ANJ413" s="5"/>
      <c r="ANK413" s="5"/>
      <c r="ANL413" s="5"/>
      <c r="ANM413" s="5"/>
      <c r="ANN413" s="5"/>
      <c r="ANO413" s="5"/>
      <c r="ANP413" s="5"/>
      <c r="ANQ413" s="5"/>
      <c r="ANR413" s="5"/>
      <c r="ANS413" s="5"/>
      <c r="ANT413" s="5"/>
      <c r="ANU413" s="5"/>
      <c r="ANV413" s="5"/>
      <c r="ANW413" s="5"/>
      <c r="ANX413" s="5"/>
      <c r="ANY413" s="5"/>
      <c r="ANZ413" s="5"/>
      <c r="AOA413" s="5"/>
      <c r="AOB413" s="5"/>
      <c r="AOC413" s="5"/>
      <c r="AOD413" s="5"/>
      <c r="AOE413" s="5"/>
      <c r="AOF413" s="5"/>
      <c r="AOG413" s="5"/>
      <c r="AOH413" s="5"/>
      <c r="AOI413" s="5"/>
      <c r="AOJ413" s="5"/>
      <c r="AOK413" s="5"/>
      <c r="AOL413" s="5"/>
      <c r="AOM413" s="5"/>
      <c r="AON413" s="5"/>
      <c r="AOO413" s="5"/>
      <c r="AOP413" s="5"/>
      <c r="AOQ413" s="5"/>
      <c r="AOR413" s="5"/>
      <c r="AOS413" s="5"/>
      <c r="AOT413" s="5"/>
      <c r="AOU413" s="5"/>
      <c r="AOV413" s="5"/>
      <c r="AOW413" s="5"/>
      <c r="AOX413" s="5"/>
      <c r="AOY413" s="5"/>
      <c r="AOZ413" s="5"/>
      <c r="APA413" s="5"/>
      <c r="APB413" s="5"/>
      <c r="APC413" s="5"/>
      <c r="APD413" s="5"/>
      <c r="APE413" s="5"/>
      <c r="APF413" s="5"/>
      <c r="APG413" s="5"/>
      <c r="APH413" s="5"/>
      <c r="API413" s="5"/>
      <c r="APJ413" s="5"/>
      <c r="APK413" s="5"/>
      <c r="APL413" s="5"/>
      <c r="APM413" s="5"/>
      <c r="APN413" s="5"/>
      <c r="APO413" s="5"/>
      <c r="APP413" s="5"/>
      <c r="APQ413" s="5"/>
      <c r="APR413" s="5"/>
      <c r="APS413" s="5"/>
      <c r="APT413" s="5"/>
      <c r="APU413" s="5"/>
      <c r="APV413" s="5"/>
      <c r="APW413" s="5"/>
      <c r="APX413" s="5"/>
      <c r="APY413" s="5"/>
      <c r="APZ413" s="5"/>
      <c r="AQA413" s="5"/>
      <c r="AQB413" s="5"/>
      <c r="AQC413" s="5"/>
      <c r="AQD413" s="5"/>
      <c r="AQE413" s="5"/>
      <c r="AQF413" s="5"/>
      <c r="AQG413" s="5"/>
      <c r="AQH413" s="5"/>
      <c r="AQI413" s="5"/>
      <c r="AQJ413" s="5"/>
      <c r="AQK413" s="5"/>
      <c r="AQL413" s="5"/>
      <c r="AQM413" s="5"/>
      <c r="AQN413" s="5"/>
      <c r="AQO413" s="5"/>
      <c r="AQP413" s="5"/>
      <c r="AQQ413" s="5"/>
      <c r="AQR413" s="5"/>
      <c r="AQS413" s="5"/>
      <c r="AQT413" s="5"/>
      <c r="AQU413" s="5"/>
      <c r="AQV413" s="5"/>
      <c r="AQW413" s="5"/>
      <c r="AQX413" s="5"/>
      <c r="AQY413" s="5"/>
      <c r="AQZ413" s="5"/>
      <c r="ARA413" s="5"/>
      <c r="ARB413" s="5"/>
      <c r="ARC413" s="5"/>
      <c r="ARD413" s="5"/>
      <c r="ARE413" s="5"/>
      <c r="ARF413" s="5"/>
      <c r="ARG413" s="5"/>
      <c r="ARH413" s="5"/>
      <c r="ARI413" s="5"/>
      <c r="ARJ413" s="5"/>
      <c r="ARK413" s="5"/>
      <c r="ARL413" s="5"/>
      <c r="ARM413" s="5"/>
      <c r="ARN413" s="5"/>
      <c r="ARO413" s="5"/>
      <c r="ARP413" s="5"/>
      <c r="ARQ413" s="5"/>
      <c r="ARR413" s="5"/>
      <c r="ARS413" s="5"/>
      <c r="ART413" s="5"/>
      <c r="ARU413" s="5"/>
      <c r="ARV413" s="5"/>
      <c r="ARW413" s="5"/>
      <c r="ARX413" s="5"/>
      <c r="ARY413" s="5"/>
      <c r="ARZ413" s="5"/>
      <c r="ASA413" s="5"/>
      <c r="ASB413" s="5"/>
      <c r="ASC413" s="5"/>
      <c r="ASD413" s="5"/>
      <c r="ASE413" s="5"/>
      <c r="ASF413" s="5"/>
      <c r="ASG413" s="5"/>
      <c r="ASH413" s="5"/>
      <c r="ASI413" s="5"/>
      <c r="ASJ413" s="5"/>
      <c r="ASK413" s="5"/>
      <c r="ASL413" s="5"/>
      <c r="ASM413" s="5"/>
      <c r="ASN413" s="5"/>
      <c r="ASO413" s="5"/>
      <c r="ASP413" s="5"/>
      <c r="ASQ413" s="5"/>
      <c r="ASR413" s="5"/>
      <c r="ASS413" s="5"/>
      <c r="AST413" s="5"/>
      <c r="ASU413" s="5"/>
      <c r="ASV413" s="5"/>
      <c r="ASW413" s="5"/>
      <c r="ASX413" s="5"/>
      <c r="ASY413" s="5"/>
      <c r="ASZ413" s="5"/>
      <c r="ATA413" s="5"/>
      <c r="ATB413" s="5"/>
      <c r="ATC413" s="5"/>
      <c r="ATD413" s="5"/>
      <c r="ATE413" s="5"/>
      <c r="ATF413" s="5"/>
      <c r="ATG413" s="5"/>
      <c r="ATH413" s="5"/>
      <c r="ATI413" s="5"/>
      <c r="ATJ413" s="5"/>
      <c r="ATK413" s="5"/>
      <c r="ATL413" s="5"/>
      <c r="ATM413" s="5"/>
      <c r="ATN413" s="5"/>
      <c r="ATO413" s="5"/>
      <c r="ATP413" s="5"/>
      <c r="ATQ413" s="5"/>
      <c r="ATR413" s="5"/>
      <c r="ATS413" s="5"/>
      <c r="ATT413" s="5"/>
      <c r="ATU413" s="5"/>
      <c r="ATV413" s="5"/>
      <c r="ATW413" s="5"/>
      <c r="ATX413" s="5"/>
    </row>
    <row r="414" spans="1:1220" ht="12.75" customHeight="1" x14ac:dyDescent="0.35">
      <c r="A414" s="76" t="s">
        <v>263</v>
      </c>
      <c r="B414" s="99" t="s">
        <v>2067</v>
      </c>
      <c r="C414" s="76" t="s">
        <v>2068</v>
      </c>
      <c r="D414" s="196" t="s">
        <v>2069</v>
      </c>
    </row>
    <row r="415" spans="1:1220" ht="12.75" customHeight="1" x14ac:dyDescent="0.35">
      <c r="A415" s="76" t="s">
        <v>263</v>
      </c>
      <c r="B415" s="99" t="s">
        <v>1422</v>
      </c>
      <c r="C415" s="76" t="s">
        <v>2070</v>
      </c>
      <c r="D415" s="196" t="s">
        <v>2071</v>
      </c>
    </row>
    <row r="416" spans="1:1220" ht="12.75" customHeight="1" x14ac:dyDescent="0.35">
      <c r="A416" s="76" t="s">
        <v>263</v>
      </c>
      <c r="B416" s="99" t="s">
        <v>109</v>
      </c>
      <c r="C416" s="76" t="s">
        <v>2072</v>
      </c>
      <c r="D416" s="196" t="s">
        <v>2073</v>
      </c>
    </row>
    <row r="417" spans="1:4" ht="12.75" customHeight="1" x14ac:dyDescent="0.35">
      <c r="A417" s="76" t="s">
        <v>263</v>
      </c>
      <c r="B417" s="99" t="s">
        <v>2074</v>
      </c>
      <c r="C417" s="76" t="s">
        <v>2075</v>
      </c>
      <c r="D417" s="196" t="s">
        <v>2076</v>
      </c>
    </row>
    <row r="418" spans="1:4" ht="12.75" customHeight="1" x14ac:dyDescent="0.35">
      <c r="A418" s="76" t="s">
        <v>263</v>
      </c>
      <c r="B418" s="99" t="s">
        <v>2077</v>
      </c>
      <c r="C418" s="76" t="s">
        <v>2078</v>
      </c>
      <c r="D418" s="196" t="s">
        <v>2079</v>
      </c>
    </row>
    <row r="419" spans="1:4" ht="12.75" customHeight="1" x14ac:dyDescent="0.35">
      <c r="A419" s="76" t="s">
        <v>647</v>
      </c>
      <c r="B419" s="99" t="s">
        <v>1412</v>
      </c>
      <c r="C419" s="76" t="s">
        <v>2080</v>
      </c>
      <c r="D419" s="142"/>
    </row>
    <row r="420" spans="1:4" ht="12.75" customHeight="1" x14ac:dyDescent="0.35">
      <c r="A420" s="76" t="s">
        <v>647</v>
      </c>
      <c r="B420" s="99" t="s">
        <v>2081</v>
      </c>
      <c r="C420" s="76" t="s">
        <v>2082</v>
      </c>
      <c r="D420" s="142"/>
    </row>
    <row r="421" spans="1:4" ht="12.75" customHeight="1" x14ac:dyDescent="0.35">
      <c r="A421" s="76" t="s">
        <v>647</v>
      </c>
      <c r="B421" s="99" t="s">
        <v>1558</v>
      </c>
      <c r="C421" s="76" t="s">
        <v>2083</v>
      </c>
      <c r="D421" s="142"/>
    </row>
    <row r="422" spans="1:4" ht="12.75" customHeight="1" x14ac:dyDescent="0.35">
      <c r="A422" s="76" t="s">
        <v>647</v>
      </c>
      <c r="B422" s="99" t="s">
        <v>1584</v>
      </c>
      <c r="C422" s="76" t="s">
        <v>2084</v>
      </c>
      <c r="D422" s="142"/>
    </row>
    <row r="423" spans="1:4" ht="12.75" customHeight="1" x14ac:dyDescent="0.35">
      <c r="A423" s="76" t="s">
        <v>647</v>
      </c>
      <c r="B423" s="99" t="s">
        <v>1415</v>
      </c>
      <c r="C423" s="76" t="s">
        <v>2085</v>
      </c>
      <c r="D423" s="142"/>
    </row>
    <row r="424" spans="1:4" ht="12.75" customHeight="1" x14ac:dyDescent="0.35">
      <c r="A424" s="76" t="s">
        <v>647</v>
      </c>
      <c r="B424" s="99" t="s">
        <v>1655</v>
      </c>
      <c r="C424" s="76" t="s">
        <v>2086</v>
      </c>
      <c r="D424" s="142"/>
    </row>
    <row r="425" spans="1:4" ht="12.75" customHeight="1" x14ac:dyDescent="0.35">
      <c r="A425" s="76" t="s">
        <v>647</v>
      </c>
      <c r="B425" s="99" t="s">
        <v>2087</v>
      </c>
      <c r="C425" s="76" t="s">
        <v>2088</v>
      </c>
      <c r="D425" s="142"/>
    </row>
    <row r="426" spans="1:4" ht="12.75" customHeight="1" x14ac:dyDescent="0.35">
      <c r="A426" s="76" t="s">
        <v>647</v>
      </c>
      <c r="B426" s="99" t="s">
        <v>2057</v>
      </c>
      <c r="C426" s="76" t="s">
        <v>2089</v>
      </c>
      <c r="D426" s="142"/>
    </row>
    <row r="427" spans="1:4" ht="12.75" customHeight="1" x14ac:dyDescent="0.35">
      <c r="A427" s="76" t="s">
        <v>647</v>
      </c>
      <c r="B427" s="99" t="s">
        <v>1788</v>
      </c>
      <c r="C427" s="76" t="s">
        <v>2090</v>
      </c>
      <c r="D427" s="142"/>
    </row>
    <row r="428" spans="1:4" ht="12.75" customHeight="1" x14ac:dyDescent="0.35">
      <c r="A428" s="76" t="s">
        <v>647</v>
      </c>
      <c r="B428" s="99" t="s">
        <v>1814</v>
      </c>
      <c r="C428" s="76" t="s">
        <v>2091</v>
      </c>
      <c r="D428" s="142"/>
    </row>
    <row r="429" spans="1:4" ht="12.75" customHeight="1" x14ac:dyDescent="0.35">
      <c r="A429" s="76" t="s">
        <v>647</v>
      </c>
      <c r="B429" s="99" t="s">
        <v>1407</v>
      </c>
      <c r="C429" s="76" t="s">
        <v>2062</v>
      </c>
      <c r="D429" s="142"/>
    </row>
    <row r="430" spans="1:4" ht="12.75" customHeight="1" x14ac:dyDescent="0.35">
      <c r="A430" s="76" t="s">
        <v>647</v>
      </c>
      <c r="B430" s="99" t="s">
        <v>2092</v>
      </c>
      <c r="C430" s="76" t="s">
        <v>2093</v>
      </c>
      <c r="D430" s="142"/>
    </row>
    <row r="431" spans="1:4" ht="12.75" customHeight="1" x14ac:dyDescent="0.35">
      <c r="A431" s="76" t="s">
        <v>815</v>
      </c>
      <c r="B431" s="99" t="s">
        <v>1412</v>
      </c>
      <c r="C431" s="76" t="s">
        <v>2094</v>
      </c>
      <c r="D431" s="142" t="s">
        <v>2095</v>
      </c>
    </row>
    <row r="432" spans="1:4" ht="12.75" customHeight="1" x14ac:dyDescent="0.35">
      <c r="A432" s="76" t="s">
        <v>815</v>
      </c>
      <c r="B432" s="99" t="s">
        <v>1404</v>
      </c>
      <c r="C432" s="76" t="s">
        <v>2096</v>
      </c>
      <c r="D432" s="142" t="s">
        <v>2097</v>
      </c>
    </row>
    <row r="433" spans="1:5" ht="12.75" customHeight="1" x14ac:dyDescent="0.35">
      <c r="A433" s="76" t="s">
        <v>815</v>
      </c>
      <c r="B433" s="99" t="s">
        <v>2098</v>
      </c>
      <c r="C433" s="76" t="s">
        <v>2099</v>
      </c>
      <c r="D433" s="142" t="s">
        <v>2100</v>
      </c>
    </row>
    <row r="434" spans="1:5" ht="12.75" customHeight="1" x14ac:dyDescent="0.35">
      <c r="A434" s="76" t="s">
        <v>376</v>
      </c>
      <c r="B434" s="99" t="s">
        <v>2101</v>
      </c>
      <c r="C434" s="76" t="s">
        <v>2102</v>
      </c>
      <c r="D434" s="142" t="s">
        <v>2103</v>
      </c>
    </row>
    <row r="435" spans="1:5" ht="12.75" customHeight="1" x14ac:dyDescent="0.35">
      <c r="A435" s="76" t="s">
        <v>376</v>
      </c>
      <c r="B435" s="99" t="s">
        <v>2104</v>
      </c>
      <c r="C435" s="76" t="s">
        <v>2105</v>
      </c>
      <c r="D435" s="142" t="s">
        <v>2106</v>
      </c>
    </row>
    <row r="436" spans="1:5" ht="12.75" customHeight="1" x14ac:dyDescent="0.35">
      <c r="A436" s="76" t="s">
        <v>376</v>
      </c>
      <c r="B436" s="99" t="s">
        <v>2107</v>
      </c>
      <c r="C436" s="76" t="s">
        <v>2108</v>
      </c>
      <c r="D436" s="142" t="s">
        <v>2109</v>
      </c>
    </row>
    <row r="437" spans="1:5" ht="12.75" customHeight="1" x14ac:dyDescent="0.35">
      <c r="A437" s="76" t="s">
        <v>376</v>
      </c>
      <c r="B437" s="99" t="s">
        <v>2110</v>
      </c>
      <c r="C437" s="76" t="s">
        <v>2111</v>
      </c>
      <c r="D437" s="142" t="s">
        <v>2112</v>
      </c>
    </row>
    <row r="438" spans="1:5" ht="12.75" customHeight="1" x14ac:dyDescent="0.35">
      <c r="A438" s="76" t="s">
        <v>376</v>
      </c>
      <c r="B438" s="99" t="s">
        <v>2113</v>
      </c>
      <c r="C438" s="76" t="s">
        <v>2114</v>
      </c>
      <c r="D438" s="142" t="s">
        <v>2115</v>
      </c>
    </row>
    <row r="439" spans="1:5" ht="12.75" customHeight="1" x14ac:dyDescent="0.35">
      <c r="A439" s="76" t="s">
        <v>376</v>
      </c>
      <c r="B439" s="99" t="s">
        <v>2116</v>
      </c>
      <c r="C439" s="76" t="s">
        <v>2117</v>
      </c>
      <c r="D439" s="142" t="s">
        <v>2118</v>
      </c>
    </row>
    <row r="440" spans="1:5" ht="12.75" customHeight="1" x14ac:dyDescent="0.35">
      <c r="A440" s="76" t="s">
        <v>376</v>
      </c>
      <c r="B440" s="99" t="s">
        <v>2119</v>
      </c>
      <c r="C440" s="76" t="s">
        <v>2120</v>
      </c>
      <c r="D440" s="142" t="s">
        <v>2121</v>
      </c>
    </row>
    <row r="441" spans="1:5" ht="12.75" customHeight="1" x14ac:dyDescent="0.35">
      <c r="A441" s="76" t="s">
        <v>376</v>
      </c>
      <c r="B441" s="99" t="s">
        <v>2122</v>
      </c>
      <c r="C441" s="76" t="s">
        <v>2123</v>
      </c>
      <c r="D441" s="142" t="s">
        <v>2124</v>
      </c>
    </row>
    <row r="442" spans="1:5" ht="12.75" customHeight="1" x14ac:dyDescent="0.35">
      <c r="A442" s="76" t="s">
        <v>376</v>
      </c>
      <c r="B442" s="99" t="s">
        <v>2125</v>
      </c>
      <c r="C442" s="76" t="s">
        <v>2126</v>
      </c>
      <c r="D442" s="142" t="s">
        <v>2127</v>
      </c>
    </row>
    <row r="443" spans="1:5" ht="12.75" customHeight="1" x14ac:dyDescent="0.35">
      <c r="A443" s="76" t="s">
        <v>376</v>
      </c>
      <c r="B443" s="99" t="s">
        <v>2128</v>
      </c>
      <c r="C443" s="76" t="s">
        <v>2129</v>
      </c>
      <c r="D443" s="142" t="s">
        <v>2130</v>
      </c>
    </row>
    <row r="444" spans="1:5" ht="12.75" customHeight="1" x14ac:dyDescent="0.35">
      <c r="A444" s="76" t="s">
        <v>376</v>
      </c>
      <c r="B444" s="99" t="s">
        <v>2131</v>
      </c>
      <c r="C444" s="76" t="s">
        <v>2132</v>
      </c>
      <c r="D444" s="142" t="s">
        <v>2133</v>
      </c>
    </row>
    <row r="445" spans="1:5" ht="12.75" customHeight="1" x14ac:dyDescent="0.35">
      <c r="A445" s="76" t="s">
        <v>376</v>
      </c>
      <c r="B445" s="99" t="s">
        <v>2134</v>
      </c>
      <c r="C445" s="76" t="s">
        <v>2135</v>
      </c>
      <c r="D445" s="142" t="s">
        <v>2136</v>
      </c>
    </row>
    <row r="446" spans="1:5" ht="12.75" customHeight="1" x14ac:dyDescent="0.35">
      <c r="A446" s="76" t="s">
        <v>376</v>
      </c>
      <c r="B446" s="99" t="s">
        <v>2137</v>
      </c>
      <c r="C446" s="76" t="s">
        <v>2138</v>
      </c>
      <c r="D446" s="142" t="s">
        <v>2139</v>
      </c>
    </row>
    <row r="447" spans="1:5" ht="12.75" customHeight="1" x14ac:dyDescent="0.35">
      <c r="A447" s="76" t="s">
        <v>376</v>
      </c>
      <c r="B447" s="99" t="s">
        <v>2140</v>
      </c>
      <c r="C447" s="76" t="s">
        <v>2141</v>
      </c>
      <c r="D447" s="142" t="s">
        <v>2142</v>
      </c>
    </row>
    <row r="448" spans="1:5" ht="12.75" customHeight="1" x14ac:dyDescent="0.35">
      <c r="A448" s="76" t="s">
        <v>495</v>
      </c>
      <c r="B448" s="99" t="s">
        <v>2143</v>
      </c>
      <c r="C448" s="76" t="s">
        <v>2144</v>
      </c>
      <c r="D448" s="142" t="s">
        <v>2145</v>
      </c>
      <c r="E448" s="76" t="s">
        <v>2146</v>
      </c>
    </row>
    <row r="449" spans="1:5" ht="12.75" customHeight="1" x14ac:dyDescent="0.35">
      <c r="A449" s="76" t="s">
        <v>495</v>
      </c>
      <c r="B449" s="99" t="s">
        <v>2147</v>
      </c>
      <c r="C449" s="76" t="s">
        <v>2148</v>
      </c>
      <c r="D449" s="142" t="s">
        <v>2149</v>
      </c>
    </row>
    <row r="450" spans="1:5" ht="12.75" customHeight="1" x14ac:dyDescent="0.35">
      <c r="A450" s="76" t="s">
        <v>495</v>
      </c>
      <c r="B450" s="99" t="s">
        <v>2150</v>
      </c>
      <c r="C450" s="76" t="s">
        <v>2151</v>
      </c>
      <c r="D450" s="142" t="s">
        <v>2152</v>
      </c>
    </row>
    <row r="451" spans="1:5" ht="12.75" customHeight="1" x14ac:dyDescent="0.35">
      <c r="A451" s="76" t="s">
        <v>495</v>
      </c>
      <c r="B451" s="99" t="s">
        <v>2153</v>
      </c>
      <c r="C451" s="76" t="s">
        <v>2154</v>
      </c>
      <c r="D451" s="142" t="s">
        <v>2155</v>
      </c>
    </row>
    <row r="452" spans="1:5" ht="12.75" customHeight="1" x14ac:dyDescent="0.35">
      <c r="A452" s="76" t="s">
        <v>495</v>
      </c>
      <c r="B452" s="99" t="s">
        <v>2156</v>
      </c>
      <c r="C452" s="76" t="s">
        <v>2157</v>
      </c>
      <c r="D452" s="142" t="s">
        <v>2158</v>
      </c>
    </row>
    <row r="453" spans="1:5" ht="12.75" customHeight="1" x14ac:dyDescent="0.35">
      <c r="A453" s="76" t="s">
        <v>495</v>
      </c>
      <c r="B453" s="99" t="s">
        <v>2159</v>
      </c>
      <c r="C453" s="76" t="s">
        <v>2160</v>
      </c>
      <c r="D453" s="142" t="s">
        <v>2161</v>
      </c>
    </row>
    <row r="454" spans="1:5" ht="12.75" customHeight="1" x14ac:dyDescent="0.35">
      <c r="A454" s="76" t="s">
        <v>495</v>
      </c>
      <c r="B454" s="99" t="s">
        <v>2162</v>
      </c>
      <c r="C454" s="76" t="s">
        <v>2163</v>
      </c>
      <c r="D454" s="142" t="s">
        <v>2164</v>
      </c>
    </row>
    <row r="455" spans="1:5" ht="12.75" customHeight="1" x14ac:dyDescent="0.35">
      <c r="A455" s="76" t="s">
        <v>495</v>
      </c>
      <c r="B455" s="99" t="s">
        <v>147</v>
      </c>
      <c r="C455" s="76" t="s">
        <v>2165</v>
      </c>
      <c r="D455" s="142" t="s">
        <v>2166</v>
      </c>
    </row>
    <row r="456" spans="1:5" ht="12.75" customHeight="1" x14ac:dyDescent="0.35">
      <c r="A456" s="76" t="s">
        <v>495</v>
      </c>
      <c r="B456" s="99" t="s">
        <v>153</v>
      </c>
      <c r="C456" s="76" t="s">
        <v>2167</v>
      </c>
      <c r="D456" s="142" t="s">
        <v>2168</v>
      </c>
    </row>
    <row r="457" spans="1:5" ht="12.75" customHeight="1" x14ac:dyDescent="0.35">
      <c r="A457" s="76" t="s">
        <v>495</v>
      </c>
      <c r="B457" s="99" t="s">
        <v>157</v>
      </c>
      <c r="C457" s="76" t="s">
        <v>2169</v>
      </c>
      <c r="D457" s="142" t="s">
        <v>2170</v>
      </c>
    </row>
    <row r="458" spans="1:5" ht="12.75" customHeight="1" x14ac:dyDescent="0.35">
      <c r="A458" s="76" t="s">
        <v>495</v>
      </c>
      <c r="B458" s="99" t="s">
        <v>163</v>
      </c>
      <c r="C458" s="76" t="s">
        <v>2171</v>
      </c>
      <c r="D458" s="142" t="s">
        <v>2172</v>
      </c>
    </row>
    <row r="459" spans="1:5" ht="12.75" customHeight="1" x14ac:dyDescent="0.35">
      <c r="A459" s="76" t="s">
        <v>495</v>
      </c>
      <c r="B459" s="99" t="s">
        <v>167</v>
      </c>
      <c r="C459" s="76" t="s">
        <v>2173</v>
      </c>
      <c r="D459" s="142" t="s">
        <v>2174</v>
      </c>
      <c r="E459" s="76" t="s">
        <v>2175</v>
      </c>
    </row>
    <row r="460" spans="1:5" ht="12.75" customHeight="1" x14ac:dyDescent="0.35">
      <c r="A460" s="76" t="s">
        <v>495</v>
      </c>
      <c r="B460" s="99" t="s">
        <v>171</v>
      </c>
      <c r="C460" s="76" t="s">
        <v>2176</v>
      </c>
      <c r="D460" s="142" t="s">
        <v>2177</v>
      </c>
    </row>
    <row r="461" spans="1:5" ht="12.75" customHeight="1" x14ac:dyDescent="0.35">
      <c r="A461" s="76" t="s">
        <v>495</v>
      </c>
      <c r="B461" s="99" t="s">
        <v>231</v>
      </c>
      <c r="C461" s="76" t="s">
        <v>2178</v>
      </c>
      <c r="D461" s="142" t="s">
        <v>2179</v>
      </c>
    </row>
    <row r="462" spans="1:5" ht="12.75" customHeight="1" x14ac:dyDescent="0.35">
      <c r="A462" s="76" t="s">
        <v>393</v>
      </c>
      <c r="B462" s="99" t="s">
        <v>2101</v>
      </c>
      <c r="C462" s="76" t="s">
        <v>2180</v>
      </c>
      <c r="D462" s="142" t="s">
        <v>2181</v>
      </c>
      <c r="E462" s="76" t="s">
        <v>2182</v>
      </c>
    </row>
    <row r="463" spans="1:5" ht="12.75" customHeight="1" x14ac:dyDescent="0.35">
      <c r="A463" s="76" t="s">
        <v>393</v>
      </c>
      <c r="B463" s="99" t="s">
        <v>2104</v>
      </c>
      <c r="C463" s="76" t="s">
        <v>2183</v>
      </c>
      <c r="D463" s="142" t="s">
        <v>2184</v>
      </c>
      <c r="E463" s="76" t="s">
        <v>2185</v>
      </c>
    </row>
    <row r="464" spans="1:5" ht="12.75" customHeight="1" x14ac:dyDescent="0.35">
      <c r="A464" s="76" t="s">
        <v>393</v>
      </c>
      <c r="B464" s="99" t="s">
        <v>2110</v>
      </c>
      <c r="C464" s="76" t="s">
        <v>2186</v>
      </c>
      <c r="D464" s="142" t="s">
        <v>2187</v>
      </c>
      <c r="E464" s="76" t="s">
        <v>2188</v>
      </c>
    </row>
    <row r="465" spans="1:5" ht="12.75" customHeight="1" x14ac:dyDescent="0.35">
      <c r="A465" s="76" t="s">
        <v>393</v>
      </c>
      <c r="B465" s="99" t="s">
        <v>2113</v>
      </c>
      <c r="C465" s="76" t="s">
        <v>2189</v>
      </c>
      <c r="D465" s="142" t="s">
        <v>2190</v>
      </c>
      <c r="E465" s="76" t="s">
        <v>2191</v>
      </c>
    </row>
    <row r="466" spans="1:5" ht="12.75" customHeight="1" x14ac:dyDescent="0.35">
      <c r="A466" s="76" t="s">
        <v>393</v>
      </c>
      <c r="B466" s="99" t="s">
        <v>2116</v>
      </c>
      <c r="C466" s="76" t="s">
        <v>2192</v>
      </c>
      <c r="D466" s="142" t="s">
        <v>2193</v>
      </c>
      <c r="E466" s="76" t="s">
        <v>2194</v>
      </c>
    </row>
    <row r="467" spans="1:5" ht="12.75" customHeight="1" x14ac:dyDescent="0.35">
      <c r="A467" s="76" t="s">
        <v>393</v>
      </c>
      <c r="B467" s="99" t="s">
        <v>2195</v>
      </c>
      <c r="C467" s="76" t="s">
        <v>2196</v>
      </c>
      <c r="D467" s="142" t="s">
        <v>2197</v>
      </c>
      <c r="E467" s="76" t="s">
        <v>2198</v>
      </c>
    </row>
    <row r="468" spans="1:5" ht="12.75" customHeight="1" x14ac:dyDescent="0.35">
      <c r="A468" s="76" t="s">
        <v>393</v>
      </c>
      <c r="B468" s="99" t="s">
        <v>2199</v>
      </c>
      <c r="C468" s="76" t="s">
        <v>2200</v>
      </c>
      <c r="D468" s="142" t="s">
        <v>2201</v>
      </c>
      <c r="E468" s="76" t="s">
        <v>2202</v>
      </c>
    </row>
    <row r="469" spans="1:5" ht="12.75" customHeight="1" x14ac:dyDescent="0.35">
      <c r="A469" s="76" t="s">
        <v>393</v>
      </c>
      <c r="B469" s="99" t="s">
        <v>2119</v>
      </c>
      <c r="C469" s="76" t="s">
        <v>2203</v>
      </c>
      <c r="D469" s="142" t="s">
        <v>2204</v>
      </c>
      <c r="E469" s="76" t="s">
        <v>2205</v>
      </c>
    </row>
    <row r="470" spans="1:5" ht="12.75" customHeight="1" x14ac:dyDescent="0.35">
      <c r="A470" s="76" t="s">
        <v>393</v>
      </c>
      <c r="B470" s="99" t="s">
        <v>2206</v>
      </c>
      <c r="C470" s="76" t="s">
        <v>2207</v>
      </c>
      <c r="D470" s="142" t="s">
        <v>2208</v>
      </c>
      <c r="E470" s="76" t="s">
        <v>2209</v>
      </c>
    </row>
    <row r="471" spans="1:5" ht="12.75" customHeight="1" x14ac:dyDescent="0.35">
      <c r="A471" s="76" t="s">
        <v>393</v>
      </c>
      <c r="B471" s="99" t="s">
        <v>2210</v>
      </c>
      <c r="C471" s="76" t="s">
        <v>2211</v>
      </c>
      <c r="D471" s="142" t="s">
        <v>2212</v>
      </c>
      <c r="E471" s="76" t="s">
        <v>2213</v>
      </c>
    </row>
    <row r="472" spans="1:5" ht="12.75" customHeight="1" x14ac:dyDescent="0.35">
      <c r="A472" s="76" t="s">
        <v>393</v>
      </c>
      <c r="B472" s="99" t="s">
        <v>2214</v>
      </c>
      <c r="C472" s="76" t="s">
        <v>2215</v>
      </c>
      <c r="D472" s="142" t="s">
        <v>2216</v>
      </c>
      <c r="E472" s="76" t="s">
        <v>2217</v>
      </c>
    </row>
    <row r="473" spans="1:5" ht="12.75" customHeight="1" x14ac:dyDescent="0.35">
      <c r="A473" s="76" t="s">
        <v>393</v>
      </c>
      <c r="B473" s="99" t="s">
        <v>2218</v>
      </c>
      <c r="C473" s="76" t="s">
        <v>2219</v>
      </c>
      <c r="D473" s="142" t="s">
        <v>2220</v>
      </c>
      <c r="E473" s="76" t="s">
        <v>2221</v>
      </c>
    </row>
    <row r="474" spans="1:5" ht="12.75" customHeight="1" x14ac:dyDescent="0.35">
      <c r="A474" s="76" t="s">
        <v>393</v>
      </c>
      <c r="B474" s="99" t="s">
        <v>2122</v>
      </c>
      <c r="C474" s="76" t="s">
        <v>2222</v>
      </c>
      <c r="D474" s="142" t="s">
        <v>2223</v>
      </c>
      <c r="E474" s="76" t="s">
        <v>2224</v>
      </c>
    </row>
    <row r="475" spans="1:5" ht="12.75" customHeight="1" x14ac:dyDescent="0.35">
      <c r="A475" s="76" t="s">
        <v>393</v>
      </c>
      <c r="B475" s="99" t="s">
        <v>2225</v>
      </c>
      <c r="C475" s="76" t="s">
        <v>2226</v>
      </c>
      <c r="D475" s="142" t="s">
        <v>2227</v>
      </c>
      <c r="E475" s="76" t="s">
        <v>2228</v>
      </c>
    </row>
    <row r="476" spans="1:5" ht="12.75" customHeight="1" x14ac:dyDescent="0.35">
      <c r="A476" s="76" t="s">
        <v>393</v>
      </c>
      <c r="B476" s="99" t="s">
        <v>2229</v>
      </c>
      <c r="C476" s="76" t="s">
        <v>2230</v>
      </c>
      <c r="D476" s="142" t="s">
        <v>2231</v>
      </c>
      <c r="E476" s="76" t="s">
        <v>2232</v>
      </c>
    </row>
    <row r="477" spans="1:5" ht="12.75" customHeight="1" x14ac:dyDescent="0.35">
      <c r="A477" s="76" t="s">
        <v>393</v>
      </c>
      <c r="B477" s="99" t="s">
        <v>2233</v>
      </c>
      <c r="C477" s="76" t="s">
        <v>2234</v>
      </c>
      <c r="D477" s="142" t="s">
        <v>2235</v>
      </c>
      <c r="E477" s="76" t="s">
        <v>2236</v>
      </c>
    </row>
    <row r="478" spans="1:5" ht="12.75" customHeight="1" x14ac:dyDescent="0.35">
      <c r="A478" s="76" t="s">
        <v>393</v>
      </c>
      <c r="B478" s="99" t="s">
        <v>2237</v>
      </c>
      <c r="C478" s="76" t="s">
        <v>2238</v>
      </c>
      <c r="D478" s="142" t="s">
        <v>2239</v>
      </c>
      <c r="E478" s="76" t="s">
        <v>2240</v>
      </c>
    </row>
    <row r="479" spans="1:5" ht="12.75" customHeight="1" x14ac:dyDescent="0.35">
      <c r="A479" s="76" t="s">
        <v>393</v>
      </c>
      <c r="B479" s="99" t="s">
        <v>2128</v>
      </c>
      <c r="C479" s="76" t="s">
        <v>2241</v>
      </c>
      <c r="D479" s="142" t="s">
        <v>2242</v>
      </c>
      <c r="E479" s="76" t="s">
        <v>2243</v>
      </c>
    </row>
    <row r="480" spans="1:5" ht="12.75" customHeight="1" x14ac:dyDescent="0.35">
      <c r="A480" s="76" t="s">
        <v>393</v>
      </c>
      <c r="B480" s="99" t="s">
        <v>2131</v>
      </c>
      <c r="C480" s="76" t="s">
        <v>2244</v>
      </c>
      <c r="D480" s="142" t="s">
        <v>2245</v>
      </c>
      <c r="E480" s="76" t="s">
        <v>2246</v>
      </c>
    </row>
    <row r="481" spans="1:5" ht="12.75" customHeight="1" x14ac:dyDescent="0.35">
      <c r="A481" s="76" t="s">
        <v>393</v>
      </c>
      <c r="B481" s="99" t="s">
        <v>2247</v>
      </c>
      <c r="C481" s="76" t="s">
        <v>2248</v>
      </c>
      <c r="D481" s="142" t="s">
        <v>2249</v>
      </c>
      <c r="E481" s="76" t="s">
        <v>2250</v>
      </c>
    </row>
    <row r="482" spans="1:5" ht="12.75" customHeight="1" x14ac:dyDescent="0.35">
      <c r="A482" s="76" t="s">
        <v>393</v>
      </c>
      <c r="B482" s="99" t="s">
        <v>2251</v>
      </c>
      <c r="C482" s="76" t="s">
        <v>2252</v>
      </c>
      <c r="D482" s="142" t="s">
        <v>2253</v>
      </c>
      <c r="E482" s="76" t="s">
        <v>2254</v>
      </c>
    </row>
    <row r="483" spans="1:5" ht="12.75" customHeight="1" x14ac:dyDescent="0.35">
      <c r="A483" s="76" t="s">
        <v>393</v>
      </c>
      <c r="B483" s="99" t="s">
        <v>2255</v>
      </c>
      <c r="C483" s="76" t="s">
        <v>2256</v>
      </c>
      <c r="D483" s="142" t="s">
        <v>2257</v>
      </c>
      <c r="E483" s="76" t="s">
        <v>2258</v>
      </c>
    </row>
    <row r="484" spans="1:5" ht="12.75" customHeight="1" x14ac:dyDescent="0.35">
      <c r="A484" s="76" t="s">
        <v>969</v>
      </c>
      <c r="B484" s="99" t="s">
        <v>1412</v>
      </c>
      <c r="C484" s="76" t="s">
        <v>2259</v>
      </c>
      <c r="D484" s="142" t="s">
        <v>2260</v>
      </c>
    </row>
    <row r="485" spans="1:5" ht="12.75" customHeight="1" x14ac:dyDescent="0.35">
      <c r="A485" s="76" t="s">
        <v>969</v>
      </c>
      <c r="B485" s="99" t="s">
        <v>2081</v>
      </c>
      <c r="C485" s="76" t="s">
        <v>2261</v>
      </c>
      <c r="D485" s="142" t="s">
        <v>2262</v>
      </c>
    </row>
    <row r="486" spans="1:5" ht="12.75" customHeight="1" x14ac:dyDescent="0.35">
      <c r="A486" s="76" t="s">
        <v>969</v>
      </c>
      <c r="B486" s="99" t="s">
        <v>1512</v>
      </c>
      <c r="C486" s="76" t="s">
        <v>2263</v>
      </c>
      <c r="D486" s="142" t="s">
        <v>2260</v>
      </c>
    </row>
    <row r="487" spans="1:5" ht="12.75" customHeight="1" x14ac:dyDescent="0.35">
      <c r="A487" s="76" t="s">
        <v>969</v>
      </c>
      <c r="B487" s="99" t="s">
        <v>2074</v>
      </c>
      <c r="C487" s="76" t="s">
        <v>2264</v>
      </c>
      <c r="D487" s="142" t="s">
        <v>2260</v>
      </c>
    </row>
    <row r="488" spans="1:5" ht="12.75" customHeight="1" x14ac:dyDescent="0.35">
      <c r="A488" s="76" t="s">
        <v>969</v>
      </c>
      <c r="B488" s="99" t="s">
        <v>2265</v>
      </c>
      <c r="C488" s="76" t="s">
        <v>2266</v>
      </c>
      <c r="D488" s="142" t="s">
        <v>2262</v>
      </c>
    </row>
    <row r="489" spans="1:5" ht="12.75" customHeight="1" x14ac:dyDescent="0.35">
      <c r="A489" s="76" t="s">
        <v>969</v>
      </c>
      <c r="B489" s="99" t="s">
        <v>2067</v>
      </c>
      <c r="C489" s="76" t="s">
        <v>2267</v>
      </c>
      <c r="D489" s="142" t="s">
        <v>2260</v>
      </c>
    </row>
    <row r="490" spans="1:5" ht="12.75" customHeight="1" x14ac:dyDescent="0.35">
      <c r="A490" s="76" t="s">
        <v>969</v>
      </c>
      <c r="B490" s="99" t="s">
        <v>2268</v>
      </c>
      <c r="C490" s="76" t="s">
        <v>2269</v>
      </c>
      <c r="D490" s="142" t="s">
        <v>2262</v>
      </c>
    </row>
    <row r="491" spans="1:5" ht="12.75" customHeight="1" x14ac:dyDescent="0.35">
      <c r="A491" s="76" t="s">
        <v>969</v>
      </c>
      <c r="B491" s="99" t="s">
        <v>2270</v>
      </c>
      <c r="C491" s="76" t="s">
        <v>2271</v>
      </c>
      <c r="D491" s="142" t="s">
        <v>2262</v>
      </c>
    </row>
    <row r="492" spans="1:5" ht="12.75" customHeight="1" x14ac:dyDescent="0.35">
      <c r="A492" s="76" t="s">
        <v>969</v>
      </c>
      <c r="B492" s="99" t="s">
        <v>123</v>
      </c>
      <c r="C492" s="76" t="s">
        <v>2272</v>
      </c>
      <c r="D492" s="142" t="s">
        <v>2262</v>
      </c>
    </row>
    <row r="493" spans="1:5" ht="12.75" customHeight="1" x14ac:dyDescent="0.35">
      <c r="A493" s="76" t="s">
        <v>969</v>
      </c>
      <c r="B493" s="99" t="s">
        <v>1407</v>
      </c>
      <c r="C493" s="76" t="s">
        <v>2273</v>
      </c>
      <c r="D493" s="142" t="s">
        <v>2274</v>
      </c>
    </row>
    <row r="494" spans="1:5" ht="12.75" customHeight="1" x14ac:dyDescent="0.35">
      <c r="A494" s="76" t="s">
        <v>969</v>
      </c>
      <c r="B494" s="99" t="s">
        <v>2064</v>
      </c>
      <c r="C494" s="76" t="s">
        <v>2275</v>
      </c>
      <c r="D494" s="142" t="s">
        <v>2262</v>
      </c>
    </row>
    <row r="495" spans="1:5" ht="12.75" customHeight="1" x14ac:dyDescent="0.35">
      <c r="A495" s="76" t="s">
        <v>1202</v>
      </c>
      <c r="B495" s="99" t="s">
        <v>2276</v>
      </c>
      <c r="C495" s="76" t="s">
        <v>2277</v>
      </c>
      <c r="D495" s="142"/>
    </row>
    <row r="496" spans="1:5" ht="12.75" customHeight="1" x14ac:dyDescent="0.35">
      <c r="A496" s="76" t="s">
        <v>1202</v>
      </c>
      <c r="B496" s="99" t="s">
        <v>2278</v>
      </c>
      <c r="C496" s="76" t="s">
        <v>2279</v>
      </c>
      <c r="D496" s="142"/>
    </row>
    <row r="497" spans="1:4" ht="12.75" customHeight="1" x14ac:dyDescent="0.35">
      <c r="A497" s="76" t="s">
        <v>1202</v>
      </c>
      <c r="B497" s="99" t="s">
        <v>2280</v>
      </c>
      <c r="C497" s="76" t="s">
        <v>2281</v>
      </c>
      <c r="D497" s="142"/>
    </row>
    <row r="498" spans="1:4" ht="12.75" customHeight="1" x14ac:dyDescent="0.35">
      <c r="A498" s="76" t="s">
        <v>1202</v>
      </c>
      <c r="B498" s="99" t="s">
        <v>2282</v>
      </c>
      <c r="C498" s="76" t="s">
        <v>2283</v>
      </c>
      <c r="D498" s="142"/>
    </row>
    <row r="499" spans="1:4" ht="12.75" customHeight="1" x14ac:dyDescent="0.35">
      <c r="A499" s="76" t="s">
        <v>1202</v>
      </c>
      <c r="B499" s="99" t="s">
        <v>2284</v>
      </c>
      <c r="C499" s="76" t="s">
        <v>2285</v>
      </c>
      <c r="D499" s="142"/>
    </row>
    <row r="500" spans="1:4" ht="12.75" customHeight="1" x14ac:dyDescent="0.35">
      <c r="A500" s="76" t="s">
        <v>1202</v>
      </c>
      <c r="B500" s="99" t="s">
        <v>2286</v>
      </c>
      <c r="C500" s="76" t="s">
        <v>2287</v>
      </c>
      <c r="D500" s="142"/>
    </row>
    <row r="501" spans="1:4" ht="12.75" customHeight="1" x14ac:dyDescent="0.35">
      <c r="A501" s="76" t="s">
        <v>1202</v>
      </c>
      <c r="B501" s="99" t="s">
        <v>2288</v>
      </c>
      <c r="C501" s="76" t="s">
        <v>2289</v>
      </c>
      <c r="D501" s="142"/>
    </row>
    <row r="502" spans="1:4" ht="12.75" customHeight="1" x14ac:dyDescent="0.35">
      <c r="A502" s="76" t="s">
        <v>1202</v>
      </c>
      <c r="B502" s="99" t="s">
        <v>2290</v>
      </c>
      <c r="C502" s="76" t="s">
        <v>2291</v>
      </c>
      <c r="D502" s="142"/>
    </row>
    <row r="503" spans="1:4" ht="12.75" customHeight="1" x14ac:dyDescent="0.35">
      <c r="A503" s="76" t="s">
        <v>1202</v>
      </c>
      <c r="B503" s="99" t="s">
        <v>2292</v>
      </c>
      <c r="C503" s="76" t="s">
        <v>2293</v>
      </c>
      <c r="D503" s="142"/>
    </row>
    <row r="504" spans="1:4" ht="12.75" customHeight="1" x14ac:dyDescent="0.35">
      <c r="A504" s="76" t="s">
        <v>1202</v>
      </c>
      <c r="B504" s="99" t="s">
        <v>2294</v>
      </c>
      <c r="C504" s="76" t="s">
        <v>2295</v>
      </c>
      <c r="D504" s="142"/>
    </row>
    <row r="505" spans="1:4" ht="12.75" customHeight="1" x14ac:dyDescent="0.35">
      <c r="A505" s="76" t="s">
        <v>1202</v>
      </c>
      <c r="B505" s="99" t="s">
        <v>2296</v>
      </c>
      <c r="C505" s="76" t="s">
        <v>2297</v>
      </c>
      <c r="D505" s="142"/>
    </row>
    <row r="506" spans="1:4" ht="12.75" customHeight="1" x14ac:dyDescent="0.35">
      <c r="A506" s="76" t="s">
        <v>1202</v>
      </c>
      <c r="B506" s="99" t="s">
        <v>2298</v>
      </c>
      <c r="C506" s="76" t="s">
        <v>2299</v>
      </c>
      <c r="D506" s="142"/>
    </row>
    <row r="507" spans="1:4" ht="12.75" customHeight="1" x14ac:dyDescent="0.35">
      <c r="A507" s="76" t="s">
        <v>1202</v>
      </c>
      <c r="B507" s="99" t="s">
        <v>2300</v>
      </c>
      <c r="C507" s="76" t="s">
        <v>2301</v>
      </c>
      <c r="D507" s="142"/>
    </row>
    <row r="508" spans="1:4" ht="12.75" customHeight="1" x14ac:dyDescent="0.35">
      <c r="A508" s="76" t="s">
        <v>1202</v>
      </c>
      <c r="B508" s="99" t="s">
        <v>2302</v>
      </c>
      <c r="C508" s="76" t="s">
        <v>2303</v>
      </c>
      <c r="D508" s="142"/>
    </row>
    <row r="509" spans="1:4" ht="12.75" customHeight="1" x14ac:dyDescent="0.35">
      <c r="A509" s="76" t="s">
        <v>1202</v>
      </c>
      <c r="B509" s="99" t="s">
        <v>2304</v>
      </c>
      <c r="C509" s="76" t="s">
        <v>2305</v>
      </c>
      <c r="D509" s="142"/>
    </row>
    <row r="510" spans="1:4" ht="12.75" customHeight="1" x14ac:dyDescent="0.35">
      <c r="A510" s="76" t="s">
        <v>1202</v>
      </c>
      <c r="B510" s="99" t="s">
        <v>2306</v>
      </c>
      <c r="C510" s="76" t="s">
        <v>2307</v>
      </c>
      <c r="D510" s="142"/>
    </row>
    <row r="511" spans="1:4" ht="12.75" customHeight="1" x14ac:dyDescent="0.35">
      <c r="A511" s="76" t="s">
        <v>1202</v>
      </c>
      <c r="B511" s="99" t="s">
        <v>2308</v>
      </c>
      <c r="C511" s="76" t="s">
        <v>2309</v>
      </c>
      <c r="D511" s="142"/>
    </row>
    <row r="512" spans="1:4" ht="12.75" customHeight="1" x14ac:dyDescent="0.35">
      <c r="A512" s="76" t="s">
        <v>1202</v>
      </c>
      <c r="B512" s="99" t="s">
        <v>2310</v>
      </c>
      <c r="C512" s="76" t="s">
        <v>2311</v>
      </c>
      <c r="D512" s="142"/>
    </row>
    <row r="513" spans="1:4" ht="12.75" customHeight="1" x14ac:dyDescent="0.35">
      <c r="A513" s="76" t="s">
        <v>1202</v>
      </c>
      <c r="B513" s="99" t="s">
        <v>2312</v>
      </c>
      <c r="C513" s="76" t="s">
        <v>2313</v>
      </c>
      <c r="D513" s="142"/>
    </row>
    <row r="514" spans="1:4" ht="12.75" customHeight="1" x14ac:dyDescent="0.35">
      <c r="A514" s="76" t="s">
        <v>1202</v>
      </c>
      <c r="B514" s="99" t="s">
        <v>2314</v>
      </c>
      <c r="C514" s="76" t="s">
        <v>2315</v>
      </c>
      <c r="D514" s="142"/>
    </row>
    <row r="515" spans="1:4" ht="12.75" customHeight="1" x14ac:dyDescent="0.35">
      <c r="A515" s="76" t="s">
        <v>1202</v>
      </c>
      <c r="B515" s="99" t="s">
        <v>2316</v>
      </c>
      <c r="C515" s="76" t="s">
        <v>2317</v>
      </c>
      <c r="D515" s="142"/>
    </row>
    <row r="516" spans="1:4" ht="12.75" customHeight="1" x14ac:dyDescent="0.35">
      <c r="A516" s="76" t="s">
        <v>1202</v>
      </c>
      <c r="B516" s="99" t="s">
        <v>2318</v>
      </c>
      <c r="C516" s="76" t="s">
        <v>2319</v>
      </c>
      <c r="D516" s="142"/>
    </row>
    <row r="517" spans="1:4" ht="12.75" customHeight="1" x14ac:dyDescent="0.35">
      <c r="A517" s="76" t="s">
        <v>1202</v>
      </c>
      <c r="B517" s="99" t="s">
        <v>2320</v>
      </c>
      <c r="C517" s="76" t="s">
        <v>2321</v>
      </c>
      <c r="D517" s="142"/>
    </row>
    <row r="518" spans="1:4" ht="12.75" customHeight="1" x14ac:dyDescent="0.35">
      <c r="A518" s="76" t="s">
        <v>1202</v>
      </c>
      <c r="B518" s="99" t="s">
        <v>2322</v>
      </c>
      <c r="C518" s="76" t="s">
        <v>2323</v>
      </c>
      <c r="D518" s="142"/>
    </row>
    <row r="519" spans="1:4" ht="12.75" customHeight="1" x14ac:dyDescent="0.35">
      <c r="A519" s="76" t="s">
        <v>1202</v>
      </c>
      <c r="B519" s="99" t="s">
        <v>2324</v>
      </c>
      <c r="C519" s="76" t="s">
        <v>2325</v>
      </c>
      <c r="D519" s="142"/>
    </row>
    <row r="520" spans="1:4" ht="12.75" customHeight="1" x14ac:dyDescent="0.35">
      <c r="A520" s="76" t="s">
        <v>1202</v>
      </c>
      <c r="B520" s="99" t="s">
        <v>2326</v>
      </c>
      <c r="C520" s="76" t="s">
        <v>2327</v>
      </c>
      <c r="D520" s="142"/>
    </row>
    <row r="521" spans="1:4" ht="12.75" customHeight="1" x14ac:dyDescent="0.35">
      <c r="A521" s="76" t="s">
        <v>1202</v>
      </c>
      <c r="B521" s="99" t="s">
        <v>2328</v>
      </c>
      <c r="C521" s="76" t="s">
        <v>2329</v>
      </c>
      <c r="D521" s="142"/>
    </row>
    <row r="522" spans="1:4" ht="12.75" customHeight="1" x14ac:dyDescent="0.35">
      <c r="A522" s="76" t="s">
        <v>1202</v>
      </c>
      <c r="B522" s="99" t="s">
        <v>2330</v>
      </c>
      <c r="C522" s="76" t="s">
        <v>2331</v>
      </c>
      <c r="D522" s="142"/>
    </row>
    <row r="523" spans="1:4" ht="12.75" customHeight="1" x14ac:dyDescent="0.35">
      <c r="A523" s="76" t="s">
        <v>1202</v>
      </c>
      <c r="B523" s="99" t="s">
        <v>2332</v>
      </c>
      <c r="C523" s="76" t="s">
        <v>2333</v>
      </c>
      <c r="D523" s="142"/>
    </row>
    <row r="524" spans="1:4" ht="12.75" customHeight="1" x14ac:dyDescent="0.35">
      <c r="A524" s="76" t="s">
        <v>1202</v>
      </c>
      <c r="B524" s="99" t="s">
        <v>2334</v>
      </c>
      <c r="C524" s="76" t="s">
        <v>2335</v>
      </c>
      <c r="D524" s="142"/>
    </row>
    <row r="525" spans="1:4" ht="12.75" customHeight="1" x14ac:dyDescent="0.35">
      <c r="A525" s="76" t="s">
        <v>1202</v>
      </c>
      <c r="B525" s="99" t="s">
        <v>2336</v>
      </c>
      <c r="C525" s="76" t="s">
        <v>2337</v>
      </c>
      <c r="D525" s="142"/>
    </row>
    <row r="526" spans="1:4" ht="12.75" customHeight="1" x14ac:dyDescent="0.35">
      <c r="A526" s="76" t="s">
        <v>1202</v>
      </c>
      <c r="B526" s="99" t="s">
        <v>2338</v>
      </c>
      <c r="C526" s="76" t="s">
        <v>2339</v>
      </c>
      <c r="D526" s="142"/>
    </row>
    <row r="527" spans="1:4" ht="12.75" customHeight="1" x14ac:dyDescent="0.35">
      <c r="A527" s="76" t="s">
        <v>1202</v>
      </c>
      <c r="B527" s="99" t="s">
        <v>2340</v>
      </c>
      <c r="C527" s="76" t="s">
        <v>2341</v>
      </c>
      <c r="D527" s="142"/>
    </row>
    <row r="528" spans="1:4" ht="12.75" customHeight="1" x14ac:dyDescent="0.35">
      <c r="A528" s="76" t="s">
        <v>1202</v>
      </c>
      <c r="B528" s="99" t="s">
        <v>2342</v>
      </c>
      <c r="C528" s="76" t="s">
        <v>2343</v>
      </c>
      <c r="D528" s="142"/>
    </row>
    <row r="529" spans="1:6" ht="12.75" customHeight="1" x14ac:dyDescent="0.35">
      <c r="A529" s="76" t="s">
        <v>1202</v>
      </c>
      <c r="B529" s="99" t="s">
        <v>2344</v>
      </c>
      <c r="C529" s="76" t="s">
        <v>2345</v>
      </c>
      <c r="D529" s="142"/>
    </row>
    <row r="530" spans="1:6" s="258" customFormat="1" ht="12" customHeight="1" x14ac:dyDescent="0.35">
      <c r="A530" s="129" t="s">
        <v>1202</v>
      </c>
      <c r="B530" s="200" t="s">
        <v>2346</v>
      </c>
      <c r="C530" s="201" t="s">
        <v>2347</v>
      </c>
      <c r="D530" s="335"/>
      <c r="E530" s="335"/>
    </row>
    <row r="531" spans="1:6" ht="12.75" customHeight="1" x14ac:dyDescent="0.35">
      <c r="A531" s="76" t="s">
        <v>1202</v>
      </c>
      <c r="B531" s="99" t="s">
        <v>2348</v>
      </c>
      <c r="C531" s="76" t="s">
        <v>2349</v>
      </c>
      <c r="D531" s="142"/>
    </row>
    <row r="532" spans="1:6" ht="12.75" customHeight="1" x14ac:dyDescent="0.35">
      <c r="A532" s="76" t="s">
        <v>1202</v>
      </c>
      <c r="B532" s="99" t="s">
        <v>2350</v>
      </c>
      <c r="C532" s="76" t="s">
        <v>2351</v>
      </c>
      <c r="D532" s="142"/>
    </row>
    <row r="533" spans="1:6" ht="12.75" customHeight="1" x14ac:dyDescent="0.35">
      <c r="A533" s="76" t="s">
        <v>1202</v>
      </c>
      <c r="B533" s="99" t="s">
        <v>2352</v>
      </c>
      <c r="C533" s="76" t="s">
        <v>2353</v>
      </c>
      <c r="D533" s="142"/>
    </row>
    <row r="534" spans="1:6" ht="12.75" customHeight="1" x14ac:dyDescent="0.35">
      <c r="A534" s="76" t="s">
        <v>1202</v>
      </c>
      <c r="B534" s="99" t="s">
        <v>2354</v>
      </c>
      <c r="C534" s="76" t="s">
        <v>2355</v>
      </c>
      <c r="D534" s="142"/>
    </row>
    <row r="535" spans="1:6" ht="12.75" customHeight="1" x14ac:dyDescent="0.35">
      <c r="A535" s="76" t="s">
        <v>1202</v>
      </c>
      <c r="B535" s="99" t="s">
        <v>2356</v>
      </c>
      <c r="C535" s="76" t="s">
        <v>2357</v>
      </c>
      <c r="D535" s="142"/>
    </row>
    <row r="536" spans="1:6" ht="12.75" customHeight="1" x14ac:dyDescent="0.35">
      <c r="A536" s="76" t="s">
        <v>1202</v>
      </c>
      <c r="B536" s="99" t="s">
        <v>2358</v>
      </c>
      <c r="C536" s="76" t="s">
        <v>2359</v>
      </c>
      <c r="D536" s="142"/>
    </row>
    <row r="537" spans="1:6" s="149" customFormat="1" ht="12" customHeight="1" x14ac:dyDescent="0.35">
      <c r="A537" s="76" t="s">
        <v>1194</v>
      </c>
      <c r="B537" s="99" t="s">
        <v>941</v>
      </c>
      <c r="C537" s="150" t="s">
        <v>2360</v>
      </c>
      <c r="D537" s="148"/>
      <c r="F537" s="150"/>
    </row>
    <row r="538" spans="1:6" s="149" customFormat="1" ht="12" customHeight="1" x14ac:dyDescent="0.35">
      <c r="A538" s="76" t="s">
        <v>1194</v>
      </c>
      <c r="B538" s="99" t="s">
        <v>2361</v>
      </c>
      <c r="C538" s="150" t="s">
        <v>2362</v>
      </c>
      <c r="D538" s="148"/>
      <c r="F538" s="150"/>
    </row>
    <row r="539" spans="1:6" s="149" customFormat="1" ht="12" customHeight="1" x14ac:dyDescent="0.35">
      <c r="A539" s="76" t="s">
        <v>1194</v>
      </c>
      <c r="B539" s="99" t="s">
        <v>2363</v>
      </c>
      <c r="C539" s="150" t="s">
        <v>2364</v>
      </c>
      <c r="D539" s="148"/>
      <c r="F539" s="151"/>
    </row>
    <row r="540" spans="1:6" s="149" customFormat="1" ht="12" customHeight="1" x14ac:dyDescent="0.35">
      <c r="A540" s="76" t="s">
        <v>1194</v>
      </c>
      <c r="B540" s="99" t="s">
        <v>2365</v>
      </c>
      <c r="C540" s="150" t="s">
        <v>2364</v>
      </c>
      <c r="D540" s="148"/>
      <c r="E540" s="150"/>
      <c r="F540" s="151"/>
    </row>
    <row r="541" spans="1:6" s="149" customFormat="1" ht="12" customHeight="1" x14ac:dyDescent="0.35">
      <c r="A541" s="76" t="s">
        <v>1194</v>
      </c>
      <c r="B541" s="99" t="s">
        <v>2366</v>
      </c>
      <c r="C541" s="150" t="s">
        <v>2364</v>
      </c>
      <c r="D541" s="148"/>
      <c r="E541" s="151"/>
    </row>
    <row r="542" spans="1:6" s="149" customFormat="1" ht="12" customHeight="1" x14ac:dyDescent="0.35">
      <c r="A542" s="76" t="s">
        <v>1194</v>
      </c>
      <c r="B542" s="99" t="s">
        <v>2367</v>
      </c>
      <c r="C542" s="150" t="s">
        <v>2364</v>
      </c>
    </row>
    <row r="543" spans="1:6" s="149" customFormat="1" ht="12" customHeight="1" x14ac:dyDescent="0.35">
      <c r="A543" s="76" t="s">
        <v>1194</v>
      </c>
      <c r="B543" s="99" t="s">
        <v>2368</v>
      </c>
      <c r="C543" s="150" t="s">
        <v>2364</v>
      </c>
    </row>
    <row r="544" spans="1:6" s="149" customFormat="1" ht="12" customHeight="1" x14ac:dyDescent="0.35">
      <c r="A544" s="76" t="s">
        <v>1194</v>
      </c>
      <c r="B544" s="99" t="s">
        <v>2369</v>
      </c>
      <c r="C544" s="150" t="s">
        <v>2364</v>
      </c>
    </row>
    <row r="545" spans="1:3" s="149" customFormat="1" ht="12" customHeight="1" x14ac:dyDescent="0.35">
      <c r="A545" s="76" t="s">
        <v>1194</v>
      </c>
      <c r="B545" s="99" t="s">
        <v>2370</v>
      </c>
      <c r="C545" s="150" t="s">
        <v>2364</v>
      </c>
    </row>
    <row r="546" spans="1:3" s="149" customFormat="1" ht="12" customHeight="1" x14ac:dyDescent="0.35">
      <c r="A546" s="76" t="s">
        <v>1194</v>
      </c>
      <c r="B546" s="99" t="s">
        <v>2371</v>
      </c>
      <c r="C546" s="150" t="s">
        <v>2364</v>
      </c>
    </row>
    <row r="547" spans="1:3" s="149" customFormat="1" ht="12" customHeight="1" x14ac:dyDescent="0.35">
      <c r="A547" s="208" t="s">
        <v>1194</v>
      </c>
      <c r="B547" s="99" t="s">
        <v>2372</v>
      </c>
      <c r="C547" s="336" t="s">
        <v>2373</v>
      </c>
    </row>
    <row r="548" spans="1:3" s="149" customFormat="1" ht="12" customHeight="1" x14ac:dyDescent="0.35">
      <c r="A548" s="76" t="s">
        <v>1194</v>
      </c>
      <c r="B548" s="99" t="s">
        <v>2374</v>
      </c>
      <c r="C548" s="150" t="s">
        <v>2364</v>
      </c>
    </row>
    <row r="549" spans="1:3" s="149" customFormat="1" ht="12" customHeight="1" x14ac:dyDescent="0.35">
      <c r="A549" s="76" t="s">
        <v>1194</v>
      </c>
      <c r="B549" s="99" t="s">
        <v>2375</v>
      </c>
      <c r="C549" s="152" t="s">
        <v>2376</v>
      </c>
    </row>
    <row r="550" spans="1:3" s="149" customFormat="1" ht="12" customHeight="1" x14ac:dyDescent="0.35">
      <c r="A550" s="76" t="s">
        <v>1194</v>
      </c>
      <c r="B550" s="99" t="s">
        <v>2377</v>
      </c>
      <c r="C550" s="150" t="s">
        <v>2378</v>
      </c>
    </row>
    <row r="551" spans="1:3" s="149" customFormat="1" ht="12" customHeight="1" x14ac:dyDescent="0.35">
      <c r="A551" s="76" t="s">
        <v>1194</v>
      </c>
      <c r="B551" s="99" t="s">
        <v>2379</v>
      </c>
      <c r="C551" s="150" t="s">
        <v>2380</v>
      </c>
    </row>
    <row r="552" spans="1:3" s="149" customFormat="1" ht="12" customHeight="1" x14ac:dyDescent="0.35">
      <c r="A552" s="76" t="s">
        <v>1194</v>
      </c>
      <c r="B552" s="99" t="s">
        <v>2381</v>
      </c>
      <c r="C552" s="150" t="s">
        <v>2382</v>
      </c>
    </row>
    <row r="553" spans="1:3" s="149" customFormat="1" ht="12" customHeight="1" x14ac:dyDescent="0.35">
      <c r="A553" s="76" t="s">
        <v>1194</v>
      </c>
      <c r="B553" s="99" t="s">
        <v>2383</v>
      </c>
      <c r="C553" s="150" t="s">
        <v>2380</v>
      </c>
    </row>
    <row r="554" spans="1:3" s="149" customFormat="1" ht="12" customHeight="1" x14ac:dyDescent="0.35">
      <c r="A554" s="76" t="s">
        <v>1194</v>
      </c>
      <c r="B554" s="99" t="s">
        <v>2384</v>
      </c>
      <c r="C554" s="150" t="s">
        <v>2385</v>
      </c>
    </row>
    <row r="555" spans="1:3" s="149" customFormat="1" ht="12" customHeight="1" x14ac:dyDescent="0.35">
      <c r="A555" s="76" t="s">
        <v>1194</v>
      </c>
      <c r="B555" s="99" t="s">
        <v>2386</v>
      </c>
      <c r="C555" s="150" t="s">
        <v>2387</v>
      </c>
    </row>
    <row r="556" spans="1:3" s="149" customFormat="1" ht="12" customHeight="1" x14ac:dyDescent="0.35">
      <c r="A556" s="76" t="s">
        <v>1194</v>
      </c>
      <c r="B556" s="99" t="s">
        <v>2388</v>
      </c>
      <c r="C556" s="150" t="s">
        <v>2380</v>
      </c>
    </row>
    <row r="557" spans="1:3" s="149" customFormat="1" ht="12" customHeight="1" x14ac:dyDescent="0.35">
      <c r="A557" s="76" t="s">
        <v>1194</v>
      </c>
      <c r="B557" s="99" t="s">
        <v>2389</v>
      </c>
      <c r="C557" s="150" t="s">
        <v>2380</v>
      </c>
    </row>
    <row r="558" spans="1:3" s="149" customFormat="1" ht="12" customHeight="1" x14ac:dyDescent="0.35">
      <c r="A558" s="76" t="s">
        <v>1194</v>
      </c>
      <c r="B558" s="99" t="s">
        <v>2390</v>
      </c>
      <c r="C558" s="150" t="s">
        <v>2380</v>
      </c>
    </row>
    <row r="559" spans="1:3" s="149" customFormat="1" ht="12" customHeight="1" x14ac:dyDescent="0.35">
      <c r="A559" s="76" t="s">
        <v>1194</v>
      </c>
      <c r="B559" s="99" t="s">
        <v>2391</v>
      </c>
      <c r="C559" s="150" t="s">
        <v>2392</v>
      </c>
    </row>
    <row r="560" spans="1:3" s="149" customFormat="1" ht="12" customHeight="1" x14ac:dyDescent="0.35">
      <c r="A560" s="208" t="s">
        <v>1194</v>
      </c>
      <c r="B560" s="99" t="s">
        <v>2393</v>
      </c>
      <c r="C560" s="336" t="s">
        <v>2394</v>
      </c>
    </row>
    <row r="561" spans="1:8" s="149" customFormat="1" ht="12" customHeight="1" x14ac:dyDescent="0.35">
      <c r="A561" s="76" t="s">
        <v>1194</v>
      </c>
      <c r="B561" s="99" t="s">
        <v>2395</v>
      </c>
      <c r="C561" s="150" t="s">
        <v>2396</v>
      </c>
    </row>
    <row r="562" spans="1:8" s="149" customFormat="1" ht="12" customHeight="1" x14ac:dyDescent="0.35">
      <c r="A562" s="76" t="s">
        <v>1194</v>
      </c>
      <c r="B562" s="99" t="s">
        <v>2397</v>
      </c>
      <c r="C562" s="150" t="s">
        <v>2398</v>
      </c>
    </row>
    <row r="563" spans="1:8" s="149" customFormat="1" ht="12" customHeight="1" x14ac:dyDescent="0.35">
      <c r="A563" s="76" t="s">
        <v>1194</v>
      </c>
      <c r="B563" s="99" t="s">
        <v>2399</v>
      </c>
      <c r="C563" s="150" t="s">
        <v>2400</v>
      </c>
    </row>
    <row r="564" spans="1:8" s="149" customFormat="1" ht="12" customHeight="1" x14ac:dyDescent="0.35">
      <c r="A564" s="76" t="s">
        <v>1194</v>
      </c>
      <c r="B564" s="99" t="s">
        <v>2401</v>
      </c>
      <c r="C564" s="150" t="s">
        <v>2402</v>
      </c>
    </row>
    <row r="565" spans="1:8" s="149" customFormat="1" ht="12" customHeight="1" x14ac:dyDescent="0.35">
      <c r="A565" s="76" t="s">
        <v>1194</v>
      </c>
      <c r="B565" s="99" t="s">
        <v>2403</v>
      </c>
      <c r="C565" s="150" t="s">
        <v>2404</v>
      </c>
      <c r="H565" s="151"/>
    </row>
    <row r="566" spans="1:8" s="149" customFormat="1" ht="12" customHeight="1" x14ac:dyDescent="0.35">
      <c r="A566" s="76" t="s">
        <v>1194</v>
      </c>
      <c r="B566" s="99" t="s">
        <v>2405</v>
      </c>
      <c r="C566" s="150" t="s">
        <v>2406</v>
      </c>
      <c r="H566" s="151"/>
    </row>
    <row r="567" spans="1:8" s="149" customFormat="1" ht="12" customHeight="1" x14ac:dyDescent="0.35">
      <c r="A567" s="76" t="s">
        <v>1194</v>
      </c>
      <c r="B567" s="99" t="s">
        <v>2407</v>
      </c>
      <c r="C567" s="150" t="s">
        <v>2408</v>
      </c>
      <c r="F567" s="148"/>
      <c r="G567" s="151"/>
      <c r="H567" s="151"/>
    </row>
    <row r="568" spans="1:8" s="149" customFormat="1" ht="12" customHeight="1" x14ac:dyDescent="0.35">
      <c r="A568" s="76" t="s">
        <v>1194</v>
      </c>
      <c r="B568" s="99" t="s">
        <v>832</v>
      </c>
      <c r="C568" s="150" t="s">
        <v>2409</v>
      </c>
      <c r="F568" s="148"/>
      <c r="G568" s="151"/>
      <c r="H568" s="151"/>
    </row>
    <row r="569" spans="1:8" s="149" customFormat="1" ht="12" customHeight="1" x14ac:dyDescent="0.35">
      <c r="A569" s="76" t="s">
        <v>1194</v>
      </c>
      <c r="B569" s="99" t="s">
        <v>2410</v>
      </c>
      <c r="C569" s="150" t="s">
        <v>2411</v>
      </c>
      <c r="F569" s="148"/>
      <c r="G569" s="151"/>
      <c r="H569" s="151"/>
    </row>
    <row r="570" spans="1:8" s="149" customFormat="1" ht="12" customHeight="1" x14ac:dyDescent="0.35">
      <c r="A570" s="76" t="s">
        <v>1194</v>
      </c>
      <c r="B570" s="99" t="s">
        <v>2412</v>
      </c>
      <c r="C570" s="150" t="s">
        <v>2413</v>
      </c>
      <c r="H570" s="151"/>
    </row>
    <row r="571" spans="1:8" s="149" customFormat="1" ht="12" customHeight="1" x14ac:dyDescent="0.35">
      <c r="A571" s="76" t="s">
        <v>1194</v>
      </c>
      <c r="B571" s="99" t="s">
        <v>2414</v>
      </c>
      <c r="C571" s="150" t="s">
        <v>2415</v>
      </c>
      <c r="H571" s="151"/>
    </row>
    <row r="572" spans="1:8" s="149" customFormat="1" ht="12" customHeight="1" x14ac:dyDescent="0.35">
      <c r="A572" s="76" t="s">
        <v>1194</v>
      </c>
      <c r="B572" s="99" t="s">
        <v>2416</v>
      </c>
      <c r="C572" s="150" t="s">
        <v>2417</v>
      </c>
      <c r="H572" s="151"/>
    </row>
    <row r="573" spans="1:8" s="149" customFormat="1" ht="12" customHeight="1" x14ac:dyDescent="0.35">
      <c r="A573" s="76" t="s">
        <v>1194</v>
      </c>
      <c r="B573" s="99" t="s">
        <v>2418</v>
      </c>
      <c r="C573" s="150" t="s">
        <v>2419</v>
      </c>
      <c r="H573" s="151"/>
    </row>
    <row r="574" spans="1:8" s="149" customFormat="1" ht="12" customHeight="1" x14ac:dyDescent="0.35">
      <c r="A574" s="76" t="s">
        <v>1194</v>
      </c>
      <c r="B574" s="99" t="s">
        <v>2420</v>
      </c>
      <c r="C574" s="150" t="s">
        <v>2421</v>
      </c>
      <c r="F574" s="259"/>
      <c r="G574" s="318"/>
      <c r="H574" s="152"/>
    </row>
    <row r="575" spans="1:8" s="149" customFormat="1" ht="12" customHeight="1" x14ac:dyDescent="0.35">
      <c r="A575" s="76" t="s">
        <v>1194</v>
      </c>
      <c r="B575" s="99" t="s">
        <v>2422</v>
      </c>
      <c r="C575" s="150" t="s">
        <v>2423</v>
      </c>
      <c r="H575" s="150"/>
    </row>
    <row r="576" spans="1:8" s="149" customFormat="1" ht="12" customHeight="1" x14ac:dyDescent="0.35">
      <c r="A576" s="76" t="s">
        <v>1194</v>
      </c>
      <c r="B576" s="99" t="s">
        <v>2424</v>
      </c>
      <c r="C576" s="150" t="s">
        <v>2425</v>
      </c>
      <c r="H576" s="150"/>
    </row>
    <row r="577" spans="1:8" s="149" customFormat="1" ht="12" customHeight="1" x14ac:dyDescent="0.35">
      <c r="A577" s="76" t="s">
        <v>1194</v>
      </c>
      <c r="B577" s="99" t="s">
        <v>2426</v>
      </c>
      <c r="C577" s="150" t="s">
        <v>2423</v>
      </c>
      <c r="F577" s="259"/>
      <c r="G577" s="150"/>
      <c r="H577" s="150"/>
    </row>
    <row r="578" spans="1:8" s="149" customFormat="1" ht="12" customHeight="1" x14ac:dyDescent="0.35">
      <c r="A578" s="76" t="s">
        <v>1194</v>
      </c>
      <c r="B578" s="99" t="s">
        <v>2427</v>
      </c>
      <c r="C578" s="150" t="s">
        <v>2423</v>
      </c>
      <c r="H578" s="150"/>
    </row>
    <row r="579" spans="1:8" s="149" customFormat="1" ht="12" customHeight="1" x14ac:dyDescent="0.35">
      <c r="A579" s="76" t="s">
        <v>1194</v>
      </c>
      <c r="B579" s="99" t="s">
        <v>2428</v>
      </c>
      <c r="C579" s="150" t="s">
        <v>2423</v>
      </c>
      <c r="F579" s="260"/>
      <c r="G579" s="150"/>
      <c r="H579" s="150"/>
    </row>
    <row r="580" spans="1:8" s="149" customFormat="1" ht="12" customHeight="1" x14ac:dyDescent="0.35">
      <c r="A580" s="76" t="s">
        <v>1194</v>
      </c>
      <c r="B580" s="99" t="s">
        <v>2429</v>
      </c>
      <c r="C580" s="150" t="s">
        <v>2423</v>
      </c>
      <c r="F580" s="259"/>
      <c r="G580" s="151"/>
      <c r="H580" s="151"/>
    </row>
    <row r="581" spans="1:8" s="149" customFormat="1" ht="12" customHeight="1" x14ac:dyDescent="0.35">
      <c r="A581" s="76" t="s">
        <v>1194</v>
      </c>
      <c r="B581" s="99" t="s">
        <v>2430</v>
      </c>
      <c r="C581" s="150" t="s">
        <v>2423</v>
      </c>
      <c r="F581" s="259"/>
      <c r="G581" s="150"/>
      <c r="H581" s="150"/>
    </row>
    <row r="582" spans="1:8" s="149" customFormat="1" ht="12" customHeight="1" x14ac:dyDescent="0.35">
      <c r="A582" s="76" t="s">
        <v>1194</v>
      </c>
      <c r="B582" s="99" t="s">
        <v>2431</v>
      </c>
      <c r="C582" s="150" t="s">
        <v>2423</v>
      </c>
      <c r="F582" s="259"/>
      <c r="G582" s="150"/>
      <c r="H582" s="150"/>
    </row>
    <row r="583" spans="1:8" s="149" customFormat="1" ht="12" customHeight="1" x14ac:dyDescent="0.35">
      <c r="A583" s="76" t="s">
        <v>1194</v>
      </c>
      <c r="B583" s="99" t="s">
        <v>2432</v>
      </c>
      <c r="C583" s="150" t="s">
        <v>2423</v>
      </c>
      <c r="F583" s="259"/>
      <c r="G583" s="150"/>
      <c r="H583" s="152"/>
    </row>
    <row r="584" spans="1:8" s="149" customFormat="1" ht="12" customHeight="1" x14ac:dyDescent="0.35">
      <c r="A584" s="76" t="s">
        <v>1194</v>
      </c>
      <c r="B584" s="99" t="s">
        <v>2433</v>
      </c>
      <c r="C584" s="150" t="s">
        <v>2423</v>
      </c>
      <c r="F584" s="259"/>
      <c r="G584" s="150"/>
      <c r="H584" s="152"/>
    </row>
    <row r="585" spans="1:8" s="149" customFormat="1" ht="12" customHeight="1" x14ac:dyDescent="0.35">
      <c r="A585" s="76" t="s">
        <v>1194</v>
      </c>
      <c r="B585" s="99" t="s">
        <v>2434</v>
      </c>
      <c r="C585" s="150" t="s">
        <v>2435</v>
      </c>
      <c r="F585" s="152"/>
      <c r="G585" s="152"/>
      <c r="H585" s="152"/>
    </row>
    <row r="586" spans="1:8" s="149" customFormat="1" ht="12" customHeight="1" x14ac:dyDescent="0.35">
      <c r="A586" s="76" t="s">
        <v>1194</v>
      </c>
      <c r="B586" s="99" t="s">
        <v>2436</v>
      </c>
      <c r="C586" s="150" t="s">
        <v>2423</v>
      </c>
      <c r="F586" s="259"/>
      <c r="G586" s="150"/>
      <c r="H586" s="152"/>
    </row>
    <row r="587" spans="1:8" s="149" customFormat="1" ht="12" customHeight="1" x14ac:dyDescent="0.35">
      <c r="A587" s="76" t="s">
        <v>1194</v>
      </c>
      <c r="B587" s="99" t="s">
        <v>2437</v>
      </c>
      <c r="C587" s="150" t="s">
        <v>2423</v>
      </c>
      <c r="F587" s="259"/>
      <c r="G587" s="150"/>
      <c r="H587" s="152"/>
    </row>
    <row r="588" spans="1:8" s="149" customFormat="1" ht="12" customHeight="1" x14ac:dyDescent="0.35">
      <c r="A588" s="76" t="s">
        <v>1194</v>
      </c>
      <c r="B588" s="99" t="s">
        <v>2438</v>
      </c>
      <c r="C588" s="150" t="s">
        <v>2423</v>
      </c>
      <c r="F588" s="259"/>
      <c r="G588" s="150"/>
      <c r="H588" s="152"/>
    </row>
    <row r="589" spans="1:8" s="149" customFormat="1" ht="12" customHeight="1" x14ac:dyDescent="0.35">
      <c r="A589" s="76" t="s">
        <v>1194</v>
      </c>
      <c r="B589" s="99" t="s">
        <v>2439</v>
      </c>
      <c r="C589" s="150" t="s">
        <v>2423</v>
      </c>
      <c r="F589" s="152"/>
      <c r="G589" s="319"/>
      <c r="H589" s="319"/>
    </row>
    <row r="590" spans="1:8" s="149" customFormat="1" ht="12" customHeight="1" x14ac:dyDescent="0.35">
      <c r="A590" s="76" t="s">
        <v>1194</v>
      </c>
      <c r="B590" s="99" t="s">
        <v>2440</v>
      </c>
      <c r="C590" s="150" t="s">
        <v>2423</v>
      </c>
      <c r="F590" s="148"/>
      <c r="G590" s="151"/>
      <c r="H590" s="152"/>
    </row>
    <row r="591" spans="1:8" s="149" customFormat="1" ht="12" customHeight="1" x14ac:dyDescent="0.35">
      <c r="A591" s="76" t="s">
        <v>1194</v>
      </c>
      <c r="B591" s="99" t="s">
        <v>2441</v>
      </c>
      <c r="C591" s="150" t="s">
        <v>2423</v>
      </c>
      <c r="F591" s="148"/>
      <c r="G591" s="151"/>
      <c r="H591" s="152"/>
    </row>
    <row r="592" spans="1:8" s="119" customFormat="1" ht="12" customHeight="1" x14ac:dyDescent="0.35">
      <c r="A592" s="76" t="s">
        <v>1194</v>
      </c>
      <c r="B592" s="99" t="s">
        <v>2442</v>
      </c>
      <c r="C592" s="150" t="s">
        <v>2423</v>
      </c>
      <c r="F592" s="148"/>
      <c r="G592" s="151"/>
      <c r="H592" s="152"/>
    </row>
    <row r="593" spans="1:8" s="119" customFormat="1" ht="12" customHeight="1" x14ac:dyDescent="0.35">
      <c r="A593" s="76" t="s">
        <v>1194</v>
      </c>
      <c r="B593" s="99" t="s">
        <v>2443</v>
      </c>
      <c r="C593" s="150" t="s">
        <v>2444</v>
      </c>
      <c r="F593" s="148"/>
      <c r="G593" s="151"/>
      <c r="H593" s="152"/>
    </row>
    <row r="594" spans="1:8" s="119" customFormat="1" ht="12" customHeight="1" x14ac:dyDescent="0.35">
      <c r="A594" s="76" t="s">
        <v>1194</v>
      </c>
      <c r="B594" s="99" t="s">
        <v>2445</v>
      </c>
      <c r="C594" s="153" t="s">
        <v>2446</v>
      </c>
      <c r="F594" s="148"/>
      <c r="G594" s="151"/>
      <c r="H594" s="152"/>
    </row>
    <row r="595" spans="1:8" s="119" customFormat="1" ht="12" customHeight="1" x14ac:dyDescent="0.35">
      <c r="A595" s="76" t="s">
        <v>1194</v>
      </c>
      <c r="B595" s="99" t="s">
        <v>2447</v>
      </c>
      <c r="C595" s="150" t="s">
        <v>2448</v>
      </c>
      <c r="F595" s="148"/>
      <c r="G595" s="151"/>
      <c r="H595" s="152"/>
    </row>
    <row r="596" spans="1:8" s="119" customFormat="1" ht="12" customHeight="1" x14ac:dyDescent="0.35">
      <c r="A596" s="76" t="s">
        <v>1194</v>
      </c>
      <c r="B596" s="99" t="s">
        <v>2449</v>
      </c>
      <c r="C596" s="153" t="s">
        <v>2450</v>
      </c>
      <c r="F596" s="148"/>
      <c r="G596" s="151"/>
      <c r="H596" s="152"/>
    </row>
    <row r="597" spans="1:8" s="119" customFormat="1" ht="12" customHeight="1" x14ac:dyDescent="0.35">
      <c r="A597" s="76" t="s">
        <v>1194</v>
      </c>
      <c r="B597" s="99" t="s">
        <v>2451</v>
      </c>
      <c r="C597" s="150" t="s">
        <v>2452</v>
      </c>
      <c r="F597" s="148"/>
      <c r="G597" s="151"/>
      <c r="H597" s="152"/>
    </row>
    <row r="598" spans="1:8" s="119" customFormat="1" ht="12" customHeight="1" x14ac:dyDescent="0.35">
      <c r="A598" s="76" t="s">
        <v>1194</v>
      </c>
      <c r="B598" s="99" t="s">
        <v>2453</v>
      </c>
      <c r="C598" s="152" t="s">
        <v>2454</v>
      </c>
      <c r="F598" s="148"/>
      <c r="G598" s="151"/>
      <c r="H598" s="152"/>
    </row>
    <row r="599" spans="1:8" s="119" customFormat="1" ht="12" customHeight="1" x14ac:dyDescent="0.35">
      <c r="A599" s="76" t="s">
        <v>1194</v>
      </c>
      <c r="B599" s="99" t="s">
        <v>2455</v>
      </c>
      <c r="C599" s="150" t="s">
        <v>2456</v>
      </c>
      <c r="F599" s="148"/>
      <c r="G599" s="151"/>
      <c r="H599" s="152"/>
    </row>
    <row r="600" spans="1:8" s="119" customFormat="1" ht="12" customHeight="1" x14ac:dyDescent="0.35">
      <c r="A600" s="76" t="s">
        <v>1194</v>
      </c>
      <c r="B600" s="99" t="s">
        <v>2457</v>
      </c>
      <c r="C600" s="150" t="s">
        <v>2458</v>
      </c>
      <c r="F600" s="148"/>
      <c r="G600" s="151"/>
      <c r="H600" s="152"/>
    </row>
    <row r="601" spans="1:8" s="119" customFormat="1" ht="12" customHeight="1" x14ac:dyDescent="0.35">
      <c r="A601" s="76" t="s">
        <v>1194</v>
      </c>
      <c r="B601" s="99" t="s">
        <v>2459</v>
      </c>
      <c r="C601" s="150" t="s">
        <v>2460</v>
      </c>
      <c r="F601" s="148"/>
      <c r="G601" s="151"/>
      <c r="H601" s="152"/>
    </row>
    <row r="602" spans="1:8" s="119" customFormat="1" ht="12" customHeight="1" x14ac:dyDescent="0.35">
      <c r="A602" s="76" t="s">
        <v>1194</v>
      </c>
      <c r="B602" s="99" t="s">
        <v>2461</v>
      </c>
      <c r="C602" s="319" t="s">
        <v>2462</v>
      </c>
      <c r="F602" s="148"/>
      <c r="G602" s="151"/>
      <c r="H602" s="152"/>
    </row>
    <row r="603" spans="1:8" s="119" customFormat="1" ht="12" customHeight="1" x14ac:dyDescent="0.35">
      <c r="A603" s="76" t="s">
        <v>1194</v>
      </c>
      <c r="B603" s="99" t="s">
        <v>2463</v>
      </c>
      <c r="C603" s="150" t="s">
        <v>2464</v>
      </c>
      <c r="F603" s="148"/>
      <c r="G603" s="151"/>
      <c r="H603" s="152"/>
    </row>
    <row r="604" spans="1:8" s="119" customFormat="1" ht="12" customHeight="1" x14ac:dyDescent="0.35">
      <c r="A604" s="76" t="s">
        <v>1194</v>
      </c>
      <c r="B604" s="99" t="s">
        <v>2465</v>
      </c>
      <c r="C604" s="153" t="s">
        <v>2466</v>
      </c>
      <c r="F604" s="148"/>
      <c r="G604" s="151"/>
      <c r="H604" s="152"/>
    </row>
    <row r="605" spans="1:8" s="119" customFormat="1" ht="12" customHeight="1" x14ac:dyDescent="0.35">
      <c r="A605" s="76" t="s">
        <v>1194</v>
      </c>
      <c r="B605" s="99" t="s">
        <v>2467</v>
      </c>
      <c r="C605" s="150" t="s">
        <v>2468</v>
      </c>
      <c r="F605" s="148"/>
      <c r="G605" s="151"/>
      <c r="H605" s="152"/>
    </row>
    <row r="606" spans="1:8" s="119" customFormat="1" ht="12" customHeight="1" x14ac:dyDescent="0.35">
      <c r="A606" s="76" t="s">
        <v>1194</v>
      </c>
      <c r="B606" s="99" t="s">
        <v>2469</v>
      </c>
      <c r="C606" s="153" t="s">
        <v>2470</v>
      </c>
      <c r="F606" s="148"/>
      <c r="G606" s="151"/>
      <c r="H606" s="152"/>
    </row>
    <row r="607" spans="1:8" s="149" customFormat="1" ht="12" customHeight="1" x14ac:dyDescent="0.35">
      <c r="A607" s="76" t="s">
        <v>1194</v>
      </c>
      <c r="B607" s="99" t="s">
        <v>2471</v>
      </c>
      <c r="C607" s="150" t="s">
        <v>2472</v>
      </c>
      <c r="F607" s="148"/>
      <c r="G607" s="151"/>
      <c r="H607" s="152"/>
    </row>
    <row r="608" spans="1:8" s="119" customFormat="1" ht="12" customHeight="1" x14ac:dyDescent="0.35">
      <c r="A608" s="76" t="s">
        <v>1194</v>
      </c>
      <c r="B608" s="99" t="s">
        <v>2473</v>
      </c>
      <c r="C608" s="153" t="s">
        <v>2474</v>
      </c>
      <c r="F608" s="148"/>
      <c r="G608" s="151"/>
      <c r="H608" s="152"/>
    </row>
    <row r="609" spans="1:8" s="119" customFormat="1" ht="12" customHeight="1" x14ac:dyDescent="0.35">
      <c r="A609" s="76" t="s">
        <v>1194</v>
      </c>
      <c r="B609" s="99" t="s">
        <v>2340</v>
      </c>
      <c r="C609" s="150" t="s">
        <v>2475</v>
      </c>
      <c r="F609" s="148"/>
      <c r="G609" s="151"/>
      <c r="H609" s="152"/>
    </row>
    <row r="610" spans="1:8" s="119" customFormat="1" ht="12" customHeight="1" x14ac:dyDescent="0.35">
      <c r="A610" s="76" t="s">
        <v>1194</v>
      </c>
      <c r="B610" s="99" t="s">
        <v>2476</v>
      </c>
      <c r="C610" s="150" t="s">
        <v>2475</v>
      </c>
      <c r="F610" s="261"/>
      <c r="G610" s="151"/>
      <c r="H610" s="152"/>
    </row>
    <row r="611" spans="1:8" s="119" customFormat="1" ht="12" customHeight="1" x14ac:dyDescent="0.35">
      <c r="A611" s="76" t="s">
        <v>1194</v>
      </c>
      <c r="B611" s="99" t="s">
        <v>2477</v>
      </c>
      <c r="C611" s="150" t="s">
        <v>2475</v>
      </c>
      <c r="F611" s="262"/>
      <c r="G611" s="151"/>
      <c r="H611" s="152"/>
    </row>
    <row r="612" spans="1:8" s="119" customFormat="1" ht="12" customHeight="1" x14ac:dyDescent="0.35">
      <c r="A612" s="76" t="s">
        <v>1194</v>
      </c>
      <c r="B612" s="99" t="s">
        <v>2478</v>
      </c>
      <c r="C612" s="150" t="s">
        <v>2475</v>
      </c>
      <c r="F612" s="262"/>
      <c r="G612" s="151"/>
      <c r="H612" s="152"/>
    </row>
    <row r="613" spans="1:8" s="119" customFormat="1" ht="12" customHeight="1" x14ac:dyDescent="0.35">
      <c r="A613" s="76" t="s">
        <v>1194</v>
      </c>
      <c r="B613" s="99" t="s">
        <v>2479</v>
      </c>
      <c r="C613" s="150" t="s">
        <v>2475</v>
      </c>
      <c r="F613" s="262"/>
      <c r="G613" s="151"/>
      <c r="H613" s="152"/>
    </row>
    <row r="614" spans="1:8" s="119" customFormat="1" ht="12" customHeight="1" x14ac:dyDescent="0.35">
      <c r="A614" s="76" t="s">
        <v>1194</v>
      </c>
      <c r="B614" s="99" t="s">
        <v>2480</v>
      </c>
      <c r="C614" s="150" t="s">
        <v>2475</v>
      </c>
      <c r="F614" s="262"/>
      <c r="G614" s="151"/>
      <c r="H614" s="152"/>
    </row>
    <row r="615" spans="1:8" s="119" customFormat="1" ht="12" customHeight="1" x14ac:dyDescent="0.35">
      <c r="A615" s="76" t="s">
        <v>1194</v>
      </c>
      <c r="B615" s="99" t="s">
        <v>2481</v>
      </c>
      <c r="C615" s="150" t="s">
        <v>2475</v>
      </c>
    </row>
    <row r="616" spans="1:8" s="119" customFormat="1" ht="12" customHeight="1" x14ac:dyDescent="0.35">
      <c r="A616" s="76" t="s">
        <v>1194</v>
      </c>
      <c r="B616" s="99" t="s">
        <v>2482</v>
      </c>
      <c r="C616" s="150" t="s">
        <v>2475</v>
      </c>
    </row>
    <row r="617" spans="1:8" s="119" customFormat="1" ht="12" customHeight="1" x14ac:dyDescent="0.35">
      <c r="A617" s="76" t="s">
        <v>1194</v>
      </c>
      <c r="B617" s="99" t="s">
        <v>2483</v>
      </c>
      <c r="C617" s="150" t="s">
        <v>2475</v>
      </c>
    </row>
    <row r="618" spans="1:8" s="119" customFormat="1" ht="12" customHeight="1" x14ac:dyDescent="0.35">
      <c r="A618" s="76" t="s">
        <v>1194</v>
      </c>
      <c r="B618" s="99" t="s">
        <v>2484</v>
      </c>
      <c r="C618" s="150" t="s">
        <v>2475</v>
      </c>
    </row>
    <row r="619" spans="1:8" s="119" customFormat="1" ht="12" customHeight="1" x14ac:dyDescent="0.35">
      <c r="A619" s="76" t="s">
        <v>1194</v>
      </c>
      <c r="B619" s="99" t="s">
        <v>2342</v>
      </c>
      <c r="C619" s="150" t="s">
        <v>2485</v>
      </c>
    </row>
    <row r="620" spans="1:8" s="119" customFormat="1" ht="12" customHeight="1" x14ac:dyDescent="0.35">
      <c r="A620" s="76" t="s">
        <v>1194</v>
      </c>
      <c r="B620" s="99" t="s">
        <v>2486</v>
      </c>
      <c r="C620" s="150" t="s">
        <v>2485</v>
      </c>
    </row>
    <row r="621" spans="1:8" s="119" customFormat="1" ht="12" customHeight="1" x14ac:dyDescent="0.35">
      <c r="A621" s="76" t="s">
        <v>1194</v>
      </c>
      <c r="B621" s="99" t="s">
        <v>2487</v>
      </c>
      <c r="C621" s="150" t="s">
        <v>2485</v>
      </c>
    </row>
    <row r="622" spans="1:8" s="119" customFormat="1" ht="12" customHeight="1" x14ac:dyDescent="0.35">
      <c r="A622" s="76" t="s">
        <v>1194</v>
      </c>
      <c r="B622" s="99" t="s">
        <v>2488</v>
      </c>
      <c r="C622" s="150" t="s">
        <v>2485</v>
      </c>
    </row>
    <row r="623" spans="1:8" s="119" customFormat="1" ht="12" customHeight="1" x14ac:dyDescent="0.35">
      <c r="A623" s="76" t="s">
        <v>1194</v>
      </c>
      <c r="B623" s="99" t="s">
        <v>2489</v>
      </c>
      <c r="C623" s="150" t="s">
        <v>2485</v>
      </c>
    </row>
    <row r="624" spans="1:8" s="119" customFormat="1" ht="12" customHeight="1" x14ac:dyDescent="0.35">
      <c r="A624" s="76" t="s">
        <v>1194</v>
      </c>
      <c r="B624" s="99" t="s">
        <v>2490</v>
      </c>
      <c r="C624" s="150" t="s">
        <v>2485</v>
      </c>
    </row>
    <row r="625" spans="1:4" s="119" customFormat="1" ht="12" customHeight="1" x14ac:dyDescent="0.35">
      <c r="A625" s="76" t="s">
        <v>1194</v>
      </c>
      <c r="B625" s="99" t="s">
        <v>2491</v>
      </c>
      <c r="C625" s="150" t="s">
        <v>2485</v>
      </c>
    </row>
    <row r="626" spans="1:4" s="119" customFormat="1" ht="12" customHeight="1" x14ac:dyDescent="0.35">
      <c r="A626" s="76" t="s">
        <v>1194</v>
      </c>
      <c r="B626" s="99" t="s">
        <v>2492</v>
      </c>
      <c r="C626" s="150" t="s">
        <v>2485</v>
      </c>
    </row>
    <row r="627" spans="1:4" s="119" customFormat="1" ht="12" customHeight="1" x14ac:dyDescent="0.35">
      <c r="A627" s="76" t="s">
        <v>1194</v>
      </c>
      <c r="B627" s="99" t="s">
        <v>2493</v>
      </c>
      <c r="C627" s="150" t="s">
        <v>2485</v>
      </c>
    </row>
    <row r="628" spans="1:4" s="119" customFormat="1" ht="12" customHeight="1" x14ac:dyDescent="0.35">
      <c r="A628" s="76" t="s">
        <v>1194</v>
      </c>
      <c r="B628" s="99" t="s">
        <v>2494</v>
      </c>
      <c r="C628" s="150" t="s">
        <v>2485</v>
      </c>
    </row>
    <row r="629" spans="1:4" s="119" customFormat="1" ht="12" customHeight="1" x14ac:dyDescent="0.35">
      <c r="A629" s="76" t="s">
        <v>1194</v>
      </c>
      <c r="B629" s="99" t="s">
        <v>2495</v>
      </c>
      <c r="C629" s="153" t="s">
        <v>2347</v>
      </c>
    </row>
    <row r="630" spans="1:4" s="119" customFormat="1" ht="12" customHeight="1" x14ac:dyDescent="0.35">
      <c r="A630" s="76" t="s">
        <v>1194</v>
      </c>
      <c r="B630" s="99" t="s">
        <v>2348</v>
      </c>
      <c r="C630" s="153" t="s">
        <v>2496</v>
      </c>
    </row>
    <row r="631" spans="1:4" s="119" customFormat="1" ht="12" customHeight="1" x14ac:dyDescent="0.35">
      <c r="A631" s="76" t="s">
        <v>1194</v>
      </c>
      <c r="B631" s="99" t="s">
        <v>2497</v>
      </c>
      <c r="C631" s="153" t="s">
        <v>2498</v>
      </c>
    </row>
    <row r="632" spans="1:4" ht="12.75" customHeight="1" x14ac:dyDescent="0.35">
      <c r="A632" s="76" t="s">
        <v>848</v>
      </c>
      <c r="B632" s="99" t="s">
        <v>2143</v>
      </c>
      <c r="C632" s="76" t="s">
        <v>2499</v>
      </c>
      <c r="D632" s="142" t="s">
        <v>2500</v>
      </c>
    </row>
    <row r="633" spans="1:4" ht="12.75" customHeight="1" x14ac:dyDescent="0.35">
      <c r="A633" s="76" t="s">
        <v>848</v>
      </c>
      <c r="B633" s="99" t="s">
        <v>2147</v>
      </c>
      <c r="C633" s="76" t="s">
        <v>2501</v>
      </c>
      <c r="D633" s="142" t="s">
        <v>2502</v>
      </c>
    </row>
    <row r="634" spans="1:4" ht="12.75" customHeight="1" x14ac:dyDescent="0.35">
      <c r="A634" s="76" t="s">
        <v>848</v>
      </c>
      <c r="B634" s="99" t="s">
        <v>2503</v>
      </c>
      <c r="C634" s="76" t="s">
        <v>2504</v>
      </c>
      <c r="D634" s="142" t="s">
        <v>2505</v>
      </c>
    </row>
    <row r="635" spans="1:4" ht="12.75" customHeight="1" x14ac:dyDescent="0.35">
      <c r="A635" s="76" t="s">
        <v>848</v>
      </c>
      <c r="B635" s="99" t="s">
        <v>2150</v>
      </c>
      <c r="C635" s="76" t="s">
        <v>2506</v>
      </c>
      <c r="D635" s="142"/>
    </row>
    <row r="636" spans="1:4" ht="12.75" customHeight="1" x14ac:dyDescent="0.35">
      <c r="A636" s="76" t="s">
        <v>848</v>
      </c>
      <c r="B636" s="99" t="s">
        <v>2153</v>
      </c>
      <c r="C636" s="76" t="s">
        <v>2507</v>
      </c>
      <c r="D636" s="142"/>
    </row>
    <row r="637" spans="1:4" ht="12.75" customHeight="1" x14ac:dyDescent="0.35">
      <c r="A637" s="76" t="s">
        <v>848</v>
      </c>
      <c r="B637" s="99" t="s">
        <v>2156</v>
      </c>
      <c r="C637" s="76" t="s">
        <v>2508</v>
      </c>
      <c r="D637" s="142"/>
    </row>
    <row r="638" spans="1:4" ht="12.75" customHeight="1" x14ac:dyDescent="0.35">
      <c r="A638" s="76" t="s">
        <v>848</v>
      </c>
      <c r="B638" s="99" t="s">
        <v>2159</v>
      </c>
      <c r="C638" s="76" t="s">
        <v>2509</v>
      </c>
      <c r="D638" s="142"/>
    </row>
    <row r="639" spans="1:4" ht="12.75" customHeight="1" x14ac:dyDescent="0.35">
      <c r="A639" s="76" t="s">
        <v>848</v>
      </c>
      <c r="B639" s="99" t="s">
        <v>2162</v>
      </c>
      <c r="C639" s="76" t="s">
        <v>2510</v>
      </c>
      <c r="D639" s="142"/>
    </row>
    <row r="640" spans="1:4" ht="12.75" customHeight="1" x14ac:dyDescent="0.35">
      <c r="A640" s="76" t="s">
        <v>848</v>
      </c>
      <c r="B640" s="99" t="s">
        <v>2511</v>
      </c>
      <c r="C640" s="76" t="s">
        <v>2512</v>
      </c>
      <c r="D640" s="142"/>
    </row>
    <row r="641" spans="1:5" ht="12.75" customHeight="1" x14ac:dyDescent="0.35">
      <c r="A641" s="76" t="s">
        <v>848</v>
      </c>
      <c r="B641" s="99" t="s">
        <v>147</v>
      </c>
      <c r="C641" s="76" t="s">
        <v>2513</v>
      </c>
      <c r="D641" s="142" t="s">
        <v>2514</v>
      </c>
    </row>
    <row r="642" spans="1:5" ht="12.75" customHeight="1" x14ac:dyDescent="0.35">
      <c r="A642" s="76" t="s">
        <v>848</v>
      </c>
      <c r="B642" s="99" t="s">
        <v>153</v>
      </c>
      <c r="C642" s="76" t="s">
        <v>2515</v>
      </c>
      <c r="D642" s="142" t="s">
        <v>2516</v>
      </c>
    </row>
    <row r="643" spans="1:5" ht="12.75" customHeight="1" x14ac:dyDescent="0.35">
      <c r="A643" s="76" t="s">
        <v>848</v>
      </c>
      <c r="B643" s="99" t="s">
        <v>157</v>
      </c>
      <c r="C643" s="76" t="s">
        <v>2517</v>
      </c>
      <c r="D643" s="142" t="s">
        <v>2518</v>
      </c>
    </row>
    <row r="644" spans="1:5" ht="12.75" customHeight="1" x14ac:dyDescent="0.35">
      <c r="A644" s="76" t="s">
        <v>848</v>
      </c>
      <c r="B644" s="99" t="s">
        <v>163</v>
      </c>
      <c r="C644" s="76" t="s">
        <v>2519</v>
      </c>
      <c r="D644" s="142" t="s">
        <v>2520</v>
      </c>
    </row>
    <row r="645" spans="1:5" ht="12.75" customHeight="1" x14ac:dyDescent="0.35">
      <c r="A645" s="76" t="s">
        <v>848</v>
      </c>
      <c r="B645" s="99" t="s">
        <v>167</v>
      </c>
      <c r="C645" s="76" t="s">
        <v>2521</v>
      </c>
      <c r="D645" s="142" t="s">
        <v>2522</v>
      </c>
    </row>
    <row r="646" spans="1:5" ht="12.75" customHeight="1" x14ac:dyDescent="0.35">
      <c r="A646" s="76" t="s">
        <v>848</v>
      </c>
      <c r="B646" s="99" t="s">
        <v>171</v>
      </c>
      <c r="C646" s="76" t="s">
        <v>2523</v>
      </c>
      <c r="D646" s="142" t="s">
        <v>2524</v>
      </c>
    </row>
    <row r="647" spans="1:5" ht="12.75" customHeight="1" x14ac:dyDescent="0.35">
      <c r="A647" s="76" t="s">
        <v>848</v>
      </c>
      <c r="B647" s="99" t="s">
        <v>231</v>
      </c>
      <c r="C647" s="76" t="s">
        <v>2525</v>
      </c>
      <c r="D647" s="142" t="s">
        <v>2526</v>
      </c>
    </row>
    <row r="648" spans="1:5" ht="12.75" customHeight="1" x14ac:dyDescent="0.35">
      <c r="A648" s="76" t="s">
        <v>848</v>
      </c>
      <c r="B648" s="99" t="s">
        <v>238</v>
      </c>
      <c r="C648" s="76" t="s">
        <v>2527</v>
      </c>
      <c r="D648" s="142" t="s">
        <v>2528</v>
      </c>
    </row>
    <row r="649" spans="1:5" ht="12.75" customHeight="1" x14ac:dyDescent="0.35">
      <c r="A649" s="76" t="s">
        <v>198</v>
      </c>
      <c r="B649" s="99" t="s">
        <v>2067</v>
      </c>
      <c r="C649" s="76" t="s">
        <v>2529</v>
      </c>
      <c r="D649" s="142" t="s">
        <v>2529</v>
      </c>
      <c r="E649" s="76" t="s">
        <v>2530</v>
      </c>
    </row>
    <row r="650" spans="1:5" ht="12.75" customHeight="1" x14ac:dyDescent="0.35">
      <c r="A650" s="76" t="s">
        <v>198</v>
      </c>
      <c r="B650" s="99" t="s">
        <v>2057</v>
      </c>
      <c r="C650" s="76" t="s">
        <v>2531</v>
      </c>
      <c r="D650" s="142" t="s">
        <v>2531</v>
      </c>
      <c r="E650" s="76" t="s">
        <v>2532</v>
      </c>
    </row>
    <row r="651" spans="1:5" ht="12.75" customHeight="1" x14ac:dyDescent="0.35">
      <c r="A651" s="76" t="s">
        <v>610</v>
      </c>
      <c r="B651" s="99" t="s">
        <v>2143</v>
      </c>
      <c r="C651" s="76" t="s">
        <v>2533</v>
      </c>
      <c r="D651" s="142" t="s">
        <v>2534</v>
      </c>
    </row>
    <row r="652" spans="1:5" ht="12.75" customHeight="1" x14ac:dyDescent="0.35">
      <c r="A652" s="76" t="s">
        <v>610</v>
      </c>
      <c r="B652" s="99" t="s">
        <v>2147</v>
      </c>
      <c r="C652" s="76" t="s">
        <v>2226</v>
      </c>
      <c r="D652" s="142" t="s">
        <v>2535</v>
      </c>
    </row>
    <row r="653" spans="1:5" ht="12.75" customHeight="1" x14ac:dyDescent="0.35">
      <c r="A653" s="76" t="s">
        <v>610</v>
      </c>
      <c r="B653" s="99" t="s">
        <v>2150</v>
      </c>
      <c r="C653" s="76" t="s">
        <v>2207</v>
      </c>
      <c r="D653" s="142" t="s">
        <v>2536</v>
      </c>
    </row>
    <row r="654" spans="1:5" ht="12.75" customHeight="1" x14ac:dyDescent="0.35">
      <c r="A654" s="76" t="s">
        <v>610</v>
      </c>
      <c r="B654" s="99" t="s">
        <v>2153</v>
      </c>
      <c r="C654" s="76" t="s">
        <v>2537</v>
      </c>
      <c r="D654" s="142" t="s">
        <v>2538</v>
      </c>
    </row>
    <row r="655" spans="1:5" ht="12.75" customHeight="1" x14ac:dyDescent="0.35">
      <c r="A655" s="76" t="s">
        <v>610</v>
      </c>
      <c r="B655" s="99" t="s">
        <v>2156</v>
      </c>
      <c r="C655" s="76" t="s">
        <v>2539</v>
      </c>
      <c r="D655" s="142" t="s">
        <v>2540</v>
      </c>
    </row>
    <row r="656" spans="1:5" ht="12.75" customHeight="1" x14ac:dyDescent="0.35">
      <c r="A656" s="76" t="s">
        <v>610</v>
      </c>
      <c r="B656" s="99" t="s">
        <v>2159</v>
      </c>
      <c r="C656" s="76" t="s">
        <v>2541</v>
      </c>
      <c r="D656" s="142" t="s">
        <v>2542</v>
      </c>
    </row>
    <row r="657" spans="1:1220" ht="12.75" customHeight="1" x14ac:dyDescent="0.35">
      <c r="A657" s="76" t="s">
        <v>610</v>
      </c>
      <c r="B657" s="99" t="s">
        <v>2162</v>
      </c>
      <c r="C657" s="76" t="s">
        <v>2256</v>
      </c>
      <c r="D657" s="142" t="s">
        <v>2543</v>
      </c>
    </row>
    <row r="658" spans="1:1220" ht="12.75" customHeight="1" x14ac:dyDescent="0.35">
      <c r="A658" s="76" t="s">
        <v>610</v>
      </c>
      <c r="B658" s="100">
        <v>12</v>
      </c>
      <c r="C658" s="76" t="s">
        <v>2544</v>
      </c>
      <c r="D658" s="142" t="s">
        <v>2545</v>
      </c>
    </row>
    <row r="659" spans="1:1220" ht="12.75" customHeight="1" x14ac:dyDescent="0.35">
      <c r="A659" s="76" t="s">
        <v>245</v>
      </c>
      <c r="B659" s="99" t="s">
        <v>89</v>
      </c>
      <c r="C659" s="76" t="s">
        <v>1463</v>
      </c>
      <c r="D659" s="142"/>
    </row>
    <row r="660" spans="1:1220" ht="12.75" customHeight="1" x14ac:dyDescent="0.35">
      <c r="A660" s="76" t="s">
        <v>245</v>
      </c>
      <c r="B660" s="99" t="s">
        <v>99</v>
      </c>
      <c r="C660" s="76" t="s">
        <v>1465</v>
      </c>
      <c r="D660" s="142"/>
    </row>
    <row r="661" spans="1:1220" ht="12.75" customHeight="1" x14ac:dyDescent="0.35">
      <c r="A661" s="76" t="s">
        <v>245</v>
      </c>
      <c r="B661" s="99" t="s">
        <v>105</v>
      </c>
      <c r="C661" s="76" t="s">
        <v>1467</v>
      </c>
      <c r="D661" s="142"/>
    </row>
    <row r="662" spans="1:1220" ht="12.75" customHeight="1" x14ac:dyDescent="0.35">
      <c r="A662" s="76" t="s">
        <v>245</v>
      </c>
      <c r="B662" s="99" t="s">
        <v>111</v>
      </c>
      <c r="C662" s="76" t="s">
        <v>1469</v>
      </c>
      <c r="D662" s="142"/>
    </row>
    <row r="663" spans="1:1220" ht="12.75" customHeight="1" x14ac:dyDescent="0.35">
      <c r="A663" s="76" t="s">
        <v>245</v>
      </c>
      <c r="B663" s="99" t="s">
        <v>117</v>
      </c>
      <c r="C663" s="76" t="s">
        <v>1471</v>
      </c>
      <c r="D663" s="142"/>
    </row>
    <row r="664" spans="1:1220" ht="12.75" customHeight="1" x14ac:dyDescent="0.35">
      <c r="A664" s="76" t="s">
        <v>245</v>
      </c>
      <c r="B664" s="99" t="s">
        <v>125</v>
      </c>
      <c r="C664" s="76" t="s">
        <v>1473</v>
      </c>
      <c r="D664" s="142"/>
    </row>
    <row r="665" spans="1:1220" ht="12.75" customHeight="1" x14ac:dyDescent="0.35">
      <c r="A665" s="76" t="s">
        <v>245</v>
      </c>
      <c r="B665" s="99" t="s">
        <v>130</v>
      </c>
      <c r="C665" s="76" t="s">
        <v>1475</v>
      </c>
      <c r="D665" s="142"/>
    </row>
    <row r="666" spans="1:1220" s="70" customFormat="1" ht="12.75" customHeight="1" x14ac:dyDescent="0.35">
      <c r="A666" s="76" t="s">
        <v>245</v>
      </c>
      <c r="B666" s="99" t="s">
        <v>137</v>
      </c>
      <c r="C666" s="76" t="s">
        <v>1477</v>
      </c>
      <c r="D666" s="142"/>
      <c r="E666" s="76"/>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5"/>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s="5"/>
      <c r="FG666" s="5"/>
      <c r="FH666" s="5"/>
      <c r="FI666" s="5"/>
      <c r="FJ666" s="5"/>
      <c r="FK666" s="5"/>
      <c r="FL666" s="5"/>
      <c r="FM666" s="5"/>
      <c r="FN666" s="5"/>
      <c r="FO666" s="5"/>
      <c r="FP666" s="5"/>
      <c r="FQ666" s="5"/>
      <c r="FR666" s="5"/>
      <c r="FS666" s="5"/>
      <c r="FT666" s="5"/>
      <c r="FU666" s="5"/>
      <c r="FV666" s="5"/>
      <c r="FW666" s="5"/>
      <c r="FX666" s="5"/>
      <c r="FY666" s="5"/>
      <c r="FZ666" s="5"/>
      <c r="GA666" s="5"/>
      <c r="GB666" s="5"/>
      <c r="GC666" s="5"/>
      <c r="GD666" s="5"/>
      <c r="GE666" s="5"/>
      <c r="GF666" s="5"/>
      <c r="GG666" s="5"/>
      <c r="GH666" s="5"/>
      <c r="GI666" s="5"/>
      <c r="GJ666" s="5"/>
      <c r="GK666" s="5"/>
      <c r="GL666" s="5"/>
      <c r="GM666" s="5"/>
      <c r="GN666" s="5"/>
      <c r="GO666" s="5"/>
      <c r="GP666" s="5"/>
      <c r="GQ666" s="5"/>
      <c r="GR666" s="5"/>
      <c r="GS666" s="5"/>
      <c r="GT666" s="5"/>
      <c r="GU666" s="5"/>
      <c r="GV666" s="5"/>
      <c r="GW666" s="5"/>
      <c r="GX666" s="5"/>
      <c r="GY666" s="5"/>
      <c r="GZ666" s="5"/>
      <c r="HA666" s="5"/>
      <c r="HB666" s="5"/>
      <c r="HC666" s="5"/>
      <c r="HD666" s="5"/>
      <c r="HE666" s="5"/>
      <c r="HF666" s="5"/>
      <c r="HG666" s="5"/>
      <c r="HH666" s="5"/>
      <c r="HI666" s="5"/>
      <c r="HJ666" s="5"/>
      <c r="HK666" s="5"/>
      <c r="HL666" s="5"/>
      <c r="HM666" s="5"/>
      <c r="HN666" s="5"/>
      <c r="HO666" s="5"/>
      <c r="HP666" s="5"/>
      <c r="HQ666" s="5"/>
      <c r="HR666" s="5"/>
      <c r="HS666" s="5"/>
      <c r="HT666" s="5"/>
      <c r="HU666" s="5"/>
      <c r="HV666" s="5"/>
      <c r="HW666" s="5"/>
      <c r="HX666" s="5"/>
      <c r="HY666" s="5"/>
      <c r="HZ666" s="5"/>
      <c r="IA666" s="5"/>
      <c r="IB666" s="5"/>
      <c r="IC666" s="5"/>
      <c r="ID666" s="5"/>
      <c r="IE666" s="5"/>
      <c r="IF666" s="5"/>
      <c r="IG666" s="5"/>
      <c r="IH666" s="5"/>
      <c r="II666" s="5"/>
      <c r="IJ666" s="5"/>
      <c r="IK666" s="5"/>
      <c r="IL666" s="5"/>
      <c r="IM666" s="5"/>
      <c r="IN666" s="5"/>
      <c r="IO666" s="5"/>
      <c r="IP666" s="5"/>
      <c r="IQ666" s="5"/>
      <c r="IR666" s="5"/>
      <c r="IS666" s="5"/>
      <c r="IT666" s="5"/>
      <c r="IU666" s="5"/>
      <c r="IV666" s="5"/>
      <c r="IW666" s="5"/>
      <c r="IX666" s="5"/>
      <c r="IY666" s="5"/>
      <c r="IZ666" s="5"/>
      <c r="JA666" s="5"/>
      <c r="JB666" s="5"/>
      <c r="JC666" s="5"/>
      <c r="JD666" s="5"/>
      <c r="JE666" s="5"/>
      <c r="JF666" s="5"/>
      <c r="JG666" s="5"/>
      <c r="JH666" s="5"/>
      <c r="JI666" s="5"/>
      <c r="JJ666" s="5"/>
      <c r="JK666" s="5"/>
      <c r="JL666" s="5"/>
      <c r="JM666" s="5"/>
      <c r="JN666" s="5"/>
      <c r="JO666" s="5"/>
      <c r="JP666" s="5"/>
      <c r="JQ666" s="5"/>
      <c r="JR666" s="5"/>
      <c r="JS666" s="5"/>
      <c r="JT666" s="5"/>
      <c r="JU666" s="5"/>
      <c r="JV666" s="5"/>
      <c r="JW666" s="5"/>
      <c r="JX666" s="5"/>
      <c r="JY666" s="5"/>
      <c r="JZ666" s="5"/>
      <c r="KA666" s="5"/>
      <c r="KB666" s="5"/>
      <c r="KC666" s="5"/>
      <c r="KD666" s="5"/>
      <c r="KE666" s="5"/>
      <c r="KF666" s="5"/>
      <c r="KG666" s="5"/>
      <c r="KH666" s="5"/>
      <c r="KI666" s="5"/>
      <c r="KJ666" s="5"/>
      <c r="KK666" s="5"/>
      <c r="KL666" s="5"/>
      <c r="KM666" s="5"/>
      <c r="KN666" s="5"/>
      <c r="KO666" s="5"/>
      <c r="KP666" s="5"/>
      <c r="KQ666" s="5"/>
      <c r="KR666" s="5"/>
      <c r="KS666" s="5"/>
      <c r="KT666" s="5"/>
      <c r="KU666" s="5"/>
      <c r="KV666" s="5"/>
      <c r="KW666" s="5"/>
      <c r="KX666" s="5"/>
      <c r="KY666" s="5"/>
      <c r="KZ666" s="5"/>
      <c r="LA666" s="5"/>
      <c r="LB666" s="5"/>
      <c r="LC666" s="5"/>
      <c r="LD666" s="5"/>
      <c r="LE666" s="5"/>
      <c r="LF666" s="5"/>
      <c r="LG666" s="5"/>
      <c r="LH666" s="5"/>
      <c r="LI666" s="5"/>
      <c r="LJ666" s="5"/>
      <c r="LK666" s="5"/>
      <c r="LL666" s="5"/>
      <c r="LM666" s="5"/>
      <c r="LN666" s="5"/>
      <c r="LO666" s="5"/>
      <c r="LP666" s="5"/>
      <c r="LQ666" s="5"/>
      <c r="LR666" s="5"/>
      <c r="LS666" s="5"/>
      <c r="LT666" s="5"/>
      <c r="LU666" s="5"/>
      <c r="LV666" s="5"/>
      <c r="LW666" s="5"/>
      <c r="LX666" s="5"/>
      <c r="LY666" s="5"/>
      <c r="LZ666" s="5"/>
      <c r="MA666" s="5"/>
      <c r="MB666" s="5"/>
      <c r="MC666" s="5"/>
      <c r="MD666" s="5"/>
      <c r="ME666" s="5"/>
      <c r="MF666" s="5"/>
      <c r="MG666" s="5"/>
      <c r="MH666" s="5"/>
      <c r="MI666" s="5"/>
      <c r="MJ666" s="5"/>
      <c r="MK666" s="5"/>
      <c r="ML666" s="5"/>
      <c r="MM666" s="5"/>
      <c r="MN666" s="5"/>
      <c r="MO666" s="5"/>
      <c r="MP666" s="5"/>
      <c r="MQ666" s="5"/>
      <c r="MR666" s="5"/>
      <c r="MS666" s="5"/>
      <c r="MT666" s="5"/>
      <c r="MU666" s="5"/>
      <c r="MV666" s="5"/>
      <c r="MW666" s="5"/>
      <c r="MX666" s="5"/>
      <c r="MY666" s="5"/>
      <c r="MZ666" s="5"/>
      <c r="NA666" s="5"/>
      <c r="NB666" s="5"/>
      <c r="NC666" s="5"/>
      <c r="ND666" s="5"/>
      <c r="NE666" s="5"/>
      <c r="NF666" s="5"/>
      <c r="NG666" s="5"/>
      <c r="NH666" s="5"/>
      <c r="NI666" s="5"/>
      <c r="NJ666" s="5"/>
      <c r="NK666" s="5"/>
      <c r="NL666" s="5"/>
      <c r="NM666" s="5"/>
      <c r="NN666" s="5"/>
      <c r="NO666" s="5"/>
      <c r="NP666" s="5"/>
      <c r="NQ666" s="5"/>
      <c r="NR666" s="5"/>
      <c r="NS666" s="5"/>
      <c r="NT666" s="5"/>
      <c r="NU666" s="5"/>
      <c r="NV666" s="5"/>
      <c r="NW666" s="5"/>
      <c r="NX666" s="5"/>
      <c r="NY666" s="5"/>
      <c r="NZ666" s="5"/>
      <c r="OA666" s="5"/>
      <c r="OB666" s="5"/>
      <c r="OC666" s="5"/>
      <c r="OD666" s="5"/>
      <c r="OE666" s="5"/>
      <c r="OF666" s="5"/>
      <c r="OG666" s="5"/>
      <c r="OH666" s="5"/>
      <c r="OI666" s="5"/>
      <c r="OJ666" s="5"/>
      <c r="OK666" s="5"/>
      <c r="OL666" s="5"/>
      <c r="OM666" s="5"/>
      <c r="ON666" s="5"/>
      <c r="OO666" s="5"/>
      <c r="OP666" s="5"/>
      <c r="OQ666" s="5"/>
      <c r="OR666" s="5"/>
      <c r="OS666" s="5"/>
      <c r="OT666" s="5"/>
      <c r="OU666" s="5"/>
      <c r="OV666" s="5"/>
      <c r="OW666" s="5"/>
      <c r="OX666" s="5"/>
      <c r="OY666" s="5"/>
      <c r="OZ666" s="5"/>
      <c r="PA666" s="5"/>
      <c r="PB666" s="5"/>
      <c r="PC666" s="5"/>
      <c r="PD666" s="5"/>
      <c r="PE666" s="5"/>
      <c r="PF666" s="5"/>
      <c r="PG666" s="5"/>
      <c r="PH666" s="5"/>
      <c r="PI666" s="5"/>
      <c r="PJ666" s="5"/>
      <c r="PK666" s="5"/>
      <c r="PL666" s="5"/>
      <c r="PM666" s="5"/>
      <c r="PN666" s="5"/>
      <c r="PO666" s="5"/>
      <c r="PP666" s="5"/>
      <c r="PQ666" s="5"/>
      <c r="PR666" s="5"/>
      <c r="PS666" s="5"/>
      <c r="PT666" s="5"/>
      <c r="PU666" s="5"/>
      <c r="PV666" s="5"/>
      <c r="PW666" s="5"/>
      <c r="PX666" s="5"/>
      <c r="PY666" s="5"/>
      <c r="PZ666" s="5"/>
      <c r="QA666" s="5"/>
      <c r="QB666" s="5"/>
      <c r="QC666" s="5"/>
      <c r="QD666" s="5"/>
      <c r="QE666" s="5"/>
      <c r="QF666" s="5"/>
      <c r="QG666" s="5"/>
      <c r="QH666" s="5"/>
      <c r="QI666" s="5"/>
      <c r="QJ666" s="5"/>
      <c r="QK666" s="5"/>
      <c r="QL666" s="5"/>
      <c r="QM666" s="5"/>
      <c r="QN666" s="5"/>
      <c r="QO666" s="5"/>
      <c r="QP666" s="5"/>
      <c r="QQ666" s="5"/>
      <c r="QR666" s="5"/>
      <c r="QS666" s="5"/>
      <c r="QT666" s="5"/>
      <c r="QU666" s="5"/>
      <c r="QV666" s="5"/>
      <c r="QW666" s="5"/>
      <c r="QX666" s="5"/>
      <c r="QY666" s="5"/>
      <c r="QZ666" s="5"/>
      <c r="RA666" s="5"/>
      <c r="RB666" s="5"/>
      <c r="RC666" s="5"/>
      <c r="RD666" s="5"/>
      <c r="RE666" s="5"/>
      <c r="RF666" s="5"/>
      <c r="RG666" s="5"/>
      <c r="RH666" s="5"/>
      <c r="RI666" s="5"/>
      <c r="RJ666" s="5"/>
      <c r="RK666" s="5"/>
      <c r="RL666" s="5"/>
      <c r="RM666" s="5"/>
      <c r="RN666" s="5"/>
      <c r="RO666" s="5"/>
      <c r="RP666" s="5"/>
      <c r="RQ666" s="5"/>
      <c r="RR666" s="5"/>
      <c r="RS666" s="5"/>
      <c r="RT666" s="5"/>
      <c r="RU666" s="5"/>
      <c r="RV666" s="5"/>
      <c r="RW666" s="5"/>
      <c r="RX666" s="5"/>
      <c r="RY666" s="5"/>
      <c r="RZ666" s="5"/>
      <c r="SA666" s="5"/>
      <c r="SB666" s="5"/>
      <c r="SC666" s="5"/>
      <c r="SD666" s="5"/>
      <c r="SE666" s="5"/>
      <c r="SF666" s="5"/>
      <c r="SG666" s="5"/>
      <c r="SH666" s="5"/>
      <c r="SI666" s="5"/>
      <c r="SJ666" s="5"/>
      <c r="SK666" s="5"/>
      <c r="SL666" s="5"/>
      <c r="SM666" s="5"/>
      <c r="SN666" s="5"/>
      <c r="SO666" s="5"/>
      <c r="SP666" s="5"/>
      <c r="SQ666" s="5"/>
      <c r="SR666" s="5"/>
      <c r="SS666" s="5"/>
      <c r="ST666" s="5"/>
      <c r="SU666" s="5"/>
      <c r="SV666" s="5"/>
      <c r="SW666" s="5"/>
      <c r="SX666" s="5"/>
      <c r="SY666" s="5"/>
      <c r="SZ666" s="5"/>
      <c r="TA666" s="5"/>
      <c r="TB666" s="5"/>
      <c r="TC666" s="5"/>
      <c r="TD666" s="5"/>
      <c r="TE666" s="5"/>
      <c r="TF666" s="5"/>
      <c r="TG666" s="5"/>
      <c r="TH666" s="5"/>
      <c r="TI666" s="5"/>
      <c r="TJ666" s="5"/>
      <c r="TK666" s="5"/>
      <c r="TL666" s="5"/>
      <c r="TM666" s="5"/>
      <c r="TN666" s="5"/>
      <c r="TO666" s="5"/>
      <c r="TP666" s="5"/>
      <c r="TQ666" s="5"/>
      <c r="TR666" s="5"/>
      <c r="TS666" s="5"/>
      <c r="TT666" s="5"/>
      <c r="TU666" s="5"/>
      <c r="TV666" s="5"/>
      <c r="TW666" s="5"/>
      <c r="TX666" s="5"/>
      <c r="TY666" s="5"/>
      <c r="TZ666" s="5"/>
      <c r="UA666" s="5"/>
      <c r="UB666" s="5"/>
      <c r="UC666" s="5"/>
      <c r="UD666" s="5"/>
      <c r="UE666" s="5"/>
      <c r="UF666" s="5"/>
      <c r="UG666" s="5"/>
      <c r="UH666" s="5"/>
      <c r="UI666" s="5"/>
      <c r="UJ666" s="5"/>
      <c r="UK666" s="5"/>
      <c r="UL666" s="5"/>
      <c r="UM666" s="5"/>
      <c r="UN666" s="5"/>
      <c r="UO666" s="5"/>
      <c r="UP666" s="5"/>
      <c r="UQ666" s="5"/>
      <c r="UR666" s="5"/>
      <c r="US666" s="5"/>
      <c r="UT666" s="5"/>
      <c r="UU666" s="5"/>
      <c r="UV666" s="5"/>
      <c r="UW666" s="5"/>
      <c r="UX666" s="5"/>
      <c r="UY666" s="5"/>
      <c r="UZ666" s="5"/>
      <c r="VA666" s="5"/>
      <c r="VB666" s="5"/>
      <c r="VC666" s="5"/>
      <c r="VD666" s="5"/>
      <c r="VE666" s="5"/>
      <c r="VF666" s="5"/>
      <c r="VG666" s="5"/>
      <c r="VH666" s="5"/>
      <c r="VI666" s="5"/>
      <c r="VJ666" s="5"/>
      <c r="VK666" s="5"/>
      <c r="VL666" s="5"/>
      <c r="VM666" s="5"/>
      <c r="VN666" s="5"/>
      <c r="VO666" s="5"/>
      <c r="VP666" s="5"/>
      <c r="VQ666" s="5"/>
      <c r="VR666" s="5"/>
      <c r="VS666" s="5"/>
      <c r="VT666" s="5"/>
      <c r="VU666" s="5"/>
      <c r="VV666" s="5"/>
      <c r="VW666" s="5"/>
      <c r="VX666" s="5"/>
      <c r="VY666" s="5"/>
      <c r="VZ666" s="5"/>
      <c r="WA666" s="5"/>
      <c r="WB666" s="5"/>
      <c r="WC666" s="5"/>
      <c r="WD666" s="5"/>
      <c r="WE666" s="5"/>
      <c r="WF666" s="5"/>
      <c r="WG666" s="5"/>
      <c r="WH666" s="5"/>
      <c r="WI666" s="5"/>
      <c r="WJ666" s="5"/>
      <c r="WK666" s="5"/>
      <c r="WL666" s="5"/>
      <c r="WM666" s="5"/>
      <c r="WN666" s="5"/>
      <c r="WO666" s="5"/>
      <c r="WP666" s="5"/>
      <c r="WQ666" s="5"/>
      <c r="WR666" s="5"/>
      <c r="WS666" s="5"/>
      <c r="WT666" s="5"/>
      <c r="WU666" s="5"/>
      <c r="WV666" s="5"/>
      <c r="WW666" s="5"/>
      <c r="WX666" s="5"/>
      <c r="WY666" s="5"/>
      <c r="WZ666" s="5"/>
      <c r="XA666" s="5"/>
      <c r="XB666" s="5"/>
      <c r="XC666" s="5"/>
      <c r="XD666" s="5"/>
      <c r="XE666" s="5"/>
      <c r="XF666" s="5"/>
      <c r="XG666" s="5"/>
      <c r="XH666" s="5"/>
      <c r="XI666" s="5"/>
      <c r="XJ666" s="5"/>
      <c r="XK666" s="5"/>
      <c r="XL666" s="5"/>
      <c r="XM666" s="5"/>
      <c r="XN666" s="5"/>
      <c r="XO666" s="5"/>
      <c r="XP666" s="5"/>
      <c r="XQ666" s="5"/>
      <c r="XR666" s="5"/>
      <c r="XS666" s="5"/>
      <c r="XT666" s="5"/>
      <c r="XU666" s="5"/>
      <c r="XV666" s="5"/>
      <c r="XW666" s="5"/>
      <c r="XX666" s="5"/>
      <c r="XY666" s="5"/>
      <c r="XZ666" s="5"/>
      <c r="YA666" s="5"/>
      <c r="YB666" s="5"/>
      <c r="YC666" s="5"/>
      <c r="YD666" s="5"/>
      <c r="YE666" s="5"/>
      <c r="YF666" s="5"/>
      <c r="YG666" s="5"/>
      <c r="YH666" s="5"/>
      <c r="YI666" s="5"/>
      <c r="YJ666" s="5"/>
      <c r="YK666" s="5"/>
      <c r="YL666" s="5"/>
      <c r="YM666" s="5"/>
      <c r="YN666" s="5"/>
      <c r="YO666" s="5"/>
      <c r="YP666" s="5"/>
      <c r="YQ666" s="5"/>
      <c r="YR666" s="5"/>
      <c r="YS666" s="5"/>
      <c r="YT666" s="5"/>
      <c r="YU666" s="5"/>
      <c r="YV666" s="5"/>
      <c r="YW666" s="5"/>
      <c r="YX666" s="5"/>
      <c r="YY666" s="5"/>
      <c r="YZ666" s="5"/>
      <c r="ZA666" s="5"/>
      <c r="ZB666" s="5"/>
      <c r="ZC666" s="5"/>
      <c r="ZD666" s="5"/>
      <c r="ZE666" s="5"/>
      <c r="ZF666" s="5"/>
      <c r="ZG666" s="5"/>
      <c r="ZH666" s="5"/>
      <c r="ZI666" s="5"/>
      <c r="ZJ666" s="5"/>
      <c r="ZK666" s="5"/>
      <c r="ZL666" s="5"/>
      <c r="ZM666" s="5"/>
      <c r="ZN666" s="5"/>
      <c r="ZO666" s="5"/>
      <c r="ZP666" s="5"/>
      <c r="ZQ666" s="5"/>
      <c r="ZR666" s="5"/>
      <c r="ZS666" s="5"/>
      <c r="ZT666" s="5"/>
      <c r="ZU666" s="5"/>
      <c r="ZV666" s="5"/>
      <c r="ZW666" s="5"/>
      <c r="ZX666" s="5"/>
      <c r="ZY666" s="5"/>
      <c r="ZZ666" s="5"/>
      <c r="AAA666" s="5"/>
      <c r="AAB666" s="5"/>
      <c r="AAC666" s="5"/>
      <c r="AAD666" s="5"/>
      <c r="AAE666" s="5"/>
      <c r="AAF666" s="5"/>
      <c r="AAG666" s="5"/>
      <c r="AAH666" s="5"/>
      <c r="AAI666" s="5"/>
      <c r="AAJ666" s="5"/>
      <c r="AAK666" s="5"/>
      <c r="AAL666" s="5"/>
      <c r="AAM666" s="5"/>
      <c r="AAN666" s="5"/>
      <c r="AAO666" s="5"/>
      <c r="AAP666" s="5"/>
      <c r="AAQ666" s="5"/>
      <c r="AAR666" s="5"/>
      <c r="AAS666" s="5"/>
      <c r="AAT666" s="5"/>
      <c r="AAU666" s="5"/>
      <c r="AAV666" s="5"/>
      <c r="AAW666" s="5"/>
      <c r="AAX666" s="5"/>
      <c r="AAY666" s="5"/>
      <c r="AAZ666" s="5"/>
      <c r="ABA666" s="5"/>
      <c r="ABB666" s="5"/>
      <c r="ABC666" s="5"/>
      <c r="ABD666" s="5"/>
      <c r="ABE666" s="5"/>
      <c r="ABF666" s="5"/>
      <c r="ABG666" s="5"/>
      <c r="ABH666" s="5"/>
      <c r="ABI666" s="5"/>
      <c r="ABJ666" s="5"/>
      <c r="ABK666" s="5"/>
      <c r="ABL666" s="5"/>
      <c r="ABM666" s="5"/>
      <c r="ABN666" s="5"/>
      <c r="ABO666" s="5"/>
      <c r="ABP666" s="5"/>
      <c r="ABQ666" s="5"/>
      <c r="ABR666" s="5"/>
      <c r="ABS666" s="5"/>
      <c r="ABT666" s="5"/>
      <c r="ABU666" s="5"/>
      <c r="ABV666" s="5"/>
      <c r="ABW666" s="5"/>
      <c r="ABX666" s="5"/>
      <c r="ABY666" s="5"/>
      <c r="ABZ666" s="5"/>
      <c r="ACA666" s="5"/>
      <c r="ACB666" s="5"/>
      <c r="ACC666" s="5"/>
      <c r="ACD666" s="5"/>
      <c r="ACE666" s="5"/>
      <c r="ACF666" s="5"/>
      <c r="ACG666" s="5"/>
      <c r="ACH666" s="5"/>
      <c r="ACI666" s="5"/>
      <c r="ACJ666" s="5"/>
      <c r="ACK666" s="5"/>
      <c r="ACL666" s="5"/>
      <c r="ACM666" s="5"/>
      <c r="ACN666" s="5"/>
      <c r="ACO666" s="5"/>
      <c r="ACP666" s="5"/>
      <c r="ACQ666" s="5"/>
      <c r="ACR666" s="5"/>
      <c r="ACS666" s="5"/>
      <c r="ACT666" s="5"/>
      <c r="ACU666" s="5"/>
      <c r="ACV666" s="5"/>
      <c r="ACW666" s="5"/>
      <c r="ACX666" s="5"/>
      <c r="ACY666" s="5"/>
      <c r="ACZ666" s="5"/>
      <c r="ADA666" s="5"/>
      <c r="ADB666" s="5"/>
      <c r="ADC666" s="5"/>
      <c r="ADD666" s="5"/>
      <c r="ADE666" s="5"/>
      <c r="ADF666" s="5"/>
      <c r="ADG666" s="5"/>
      <c r="ADH666" s="5"/>
      <c r="ADI666" s="5"/>
      <c r="ADJ666" s="5"/>
      <c r="ADK666" s="5"/>
      <c r="ADL666" s="5"/>
      <c r="ADM666" s="5"/>
      <c r="ADN666" s="5"/>
      <c r="ADO666" s="5"/>
      <c r="ADP666" s="5"/>
      <c r="ADQ666" s="5"/>
      <c r="ADR666" s="5"/>
      <c r="ADS666" s="5"/>
      <c r="ADT666" s="5"/>
      <c r="ADU666" s="5"/>
      <c r="ADV666" s="5"/>
      <c r="ADW666" s="5"/>
      <c r="ADX666" s="5"/>
      <c r="ADY666" s="5"/>
      <c r="ADZ666" s="5"/>
      <c r="AEA666" s="5"/>
      <c r="AEB666" s="5"/>
      <c r="AEC666" s="5"/>
      <c r="AED666" s="5"/>
      <c r="AEE666" s="5"/>
      <c r="AEF666" s="5"/>
      <c r="AEG666" s="5"/>
      <c r="AEH666" s="5"/>
      <c r="AEI666" s="5"/>
      <c r="AEJ666" s="5"/>
      <c r="AEK666" s="5"/>
      <c r="AEL666" s="5"/>
      <c r="AEM666" s="5"/>
      <c r="AEN666" s="5"/>
      <c r="AEO666" s="5"/>
      <c r="AEP666" s="5"/>
      <c r="AEQ666" s="5"/>
      <c r="AER666" s="5"/>
      <c r="AES666" s="5"/>
      <c r="AET666" s="5"/>
      <c r="AEU666" s="5"/>
      <c r="AEV666" s="5"/>
      <c r="AEW666" s="5"/>
      <c r="AEX666" s="5"/>
      <c r="AEY666" s="5"/>
      <c r="AEZ666" s="5"/>
      <c r="AFA666" s="5"/>
      <c r="AFB666" s="5"/>
      <c r="AFC666" s="5"/>
      <c r="AFD666" s="5"/>
      <c r="AFE666" s="5"/>
      <c r="AFF666" s="5"/>
      <c r="AFG666" s="5"/>
      <c r="AFH666" s="5"/>
      <c r="AFI666" s="5"/>
      <c r="AFJ666" s="5"/>
      <c r="AFK666" s="5"/>
      <c r="AFL666" s="5"/>
      <c r="AFM666" s="5"/>
      <c r="AFN666" s="5"/>
      <c r="AFO666" s="5"/>
      <c r="AFP666" s="5"/>
      <c r="AFQ666" s="5"/>
      <c r="AFR666" s="5"/>
      <c r="AFS666" s="5"/>
      <c r="AFT666" s="5"/>
      <c r="AFU666" s="5"/>
      <c r="AFV666" s="5"/>
      <c r="AFW666" s="5"/>
      <c r="AFX666" s="5"/>
      <c r="AFY666" s="5"/>
      <c r="AFZ666" s="5"/>
      <c r="AGA666" s="5"/>
      <c r="AGB666" s="5"/>
      <c r="AGC666" s="5"/>
      <c r="AGD666" s="5"/>
      <c r="AGE666" s="5"/>
      <c r="AGF666" s="5"/>
      <c r="AGG666" s="5"/>
      <c r="AGH666" s="5"/>
      <c r="AGI666" s="5"/>
      <c r="AGJ666" s="5"/>
      <c r="AGK666" s="5"/>
      <c r="AGL666" s="5"/>
      <c r="AGM666" s="5"/>
      <c r="AGN666" s="5"/>
      <c r="AGO666" s="5"/>
      <c r="AGP666" s="5"/>
      <c r="AGQ666" s="5"/>
      <c r="AGR666" s="5"/>
      <c r="AGS666" s="5"/>
      <c r="AGT666" s="5"/>
      <c r="AGU666" s="5"/>
      <c r="AGV666" s="5"/>
      <c r="AGW666" s="5"/>
      <c r="AGX666" s="5"/>
      <c r="AGY666" s="5"/>
      <c r="AGZ666" s="5"/>
      <c r="AHA666" s="5"/>
      <c r="AHB666" s="5"/>
      <c r="AHC666" s="5"/>
      <c r="AHD666" s="5"/>
      <c r="AHE666" s="5"/>
      <c r="AHF666" s="5"/>
      <c r="AHG666" s="5"/>
      <c r="AHH666" s="5"/>
      <c r="AHI666" s="5"/>
      <c r="AHJ666" s="5"/>
      <c r="AHK666" s="5"/>
      <c r="AHL666" s="5"/>
      <c r="AHM666" s="5"/>
      <c r="AHN666" s="5"/>
      <c r="AHO666" s="5"/>
      <c r="AHP666" s="5"/>
      <c r="AHQ666" s="5"/>
      <c r="AHR666" s="5"/>
      <c r="AHS666" s="5"/>
      <c r="AHT666" s="5"/>
      <c r="AHU666" s="5"/>
      <c r="AHV666" s="5"/>
      <c r="AHW666" s="5"/>
      <c r="AHX666" s="5"/>
      <c r="AHY666" s="5"/>
      <c r="AHZ666" s="5"/>
      <c r="AIA666" s="5"/>
      <c r="AIB666" s="5"/>
      <c r="AIC666" s="5"/>
      <c r="AID666" s="5"/>
      <c r="AIE666" s="5"/>
      <c r="AIF666" s="5"/>
      <c r="AIG666" s="5"/>
      <c r="AIH666" s="5"/>
      <c r="AII666" s="5"/>
      <c r="AIJ666" s="5"/>
      <c r="AIK666" s="5"/>
      <c r="AIL666" s="5"/>
      <c r="AIM666" s="5"/>
      <c r="AIN666" s="5"/>
      <c r="AIO666" s="5"/>
      <c r="AIP666" s="5"/>
      <c r="AIQ666" s="5"/>
      <c r="AIR666" s="5"/>
      <c r="AIS666" s="5"/>
      <c r="AIT666" s="5"/>
      <c r="AIU666" s="5"/>
      <c r="AIV666" s="5"/>
      <c r="AIW666" s="5"/>
      <c r="AIX666" s="5"/>
      <c r="AIY666" s="5"/>
      <c r="AIZ666" s="5"/>
      <c r="AJA666" s="5"/>
      <c r="AJB666" s="5"/>
      <c r="AJC666" s="5"/>
      <c r="AJD666" s="5"/>
      <c r="AJE666" s="5"/>
      <c r="AJF666" s="5"/>
      <c r="AJG666" s="5"/>
      <c r="AJH666" s="5"/>
      <c r="AJI666" s="5"/>
      <c r="AJJ666" s="5"/>
      <c r="AJK666" s="5"/>
      <c r="AJL666" s="5"/>
      <c r="AJM666" s="5"/>
      <c r="AJN666" s="5"/>
      <c r="AJO666" s="5"/>
      <c r="AJP666" s="5"/>
      <c r="AJQ666" s="5"/>
      <c r="AJR666" s="5"/>
      <c r="AJS666" s="5"/>
      <c r="AJT666" s="5"/>
      <c r="AJU666" s="5"/>
      <c r="AJV666" s="5"/>
      <c r="AJW666" s="5"/>
      <c r="AJX666" s="5"/>
      <c r="AJY666" s="5"/>
      <c r="AJZ666" s="5"/>
      <c r="AKA666" s="5"/>
      <c r="AKB666" s="5"/>
      <c r="AKC666" s="5"/>
      <c r="AKD666" s="5"/>
      <c r="AKE666" s="5"/>
      <c r="AKF666" s="5"/>
      <c r="AKG666" s="5"/>
      <c r="AKH666" s="5"/>
      <c r="AKI666" s="5"/>
      <c r="AKJ666" s="5"/>
      <c r="AKK666" s="5"/>
      <c r="AKL666" s="5"/>
      <c r="AKM666" s="5"/>
      <c r="AKN666" s="5"/>
      <c r="AKO666" s="5"/>
      <c r="AKP666" s="5"/>
      <c r="AKQ666" s="5"/>
      <c r="AKR666" s="5"/>
      <c r="AKS666" s="5"/>
      <c r="AKT666" s="5"/>
      <c r="AKU666" s="5"/>
      <c r="AKV666" s="5"/>
      <c r="AKW666" s="5"/>
      <c r="AKX666" s="5"/>
      <c r="AKY666" s="5"/>
      <c r="AKZ666" s="5"/>
      <c r="ALA666" s="5"/>
      <c r="ALB666" s="5"/>
      <c r="ALC666" s="5"/>
      <c r="ALD666" s="5"/>
      <c r="ALE666" s="5"/>
      <c r="ALF666" s="5"/>
      <c r="ALG666" s="5"/>
      <c r="ALH666" s="5"/>
      <c r="ALI666" s="5"/>
      <c r="ALJ666" s="5"/>
      <c r="ALK666" s="5"/>
      <c r="ALL666" s="5"/>
      <c r="ALM666" s="5"/>
      <c r="ALN666" s="5"/>
      <c r="ALO666" s="5"/>
      <c r="ALP666" s="5"/>
      <c r="ALQ666" s="5"/>
      <c r="ALR666" s="5"/>
      <c r="ALS666" s="5"/>
      <c r="ALT666" s="5"/>
      <c r="ALU666" s="5"/>
      <c r="ALV666" s="5"/>
      <c r="ALW666" s="5"/>
      <c r="ALX666" s="5"/>
      <c r="ALY666" s="5"/>
      <c r="ALZ666" s="5"/>
      <c r="AMA666" s="5"/>
      <c r="AMB666" s="5"/>
      <c r="AMC666" s="5"/>
      <c r="AMD666" s="5"/>
      <c r="AME666" s="5"/>
      <c r="AMF666" s="5"/>
      <c r="AMG666" s="5"/>
      <c r="AMH666" s="5"/>
      <c r="AMI666" s="5"/>
      <c r="AMJ666" s="5"/>
      <c r="AMK666" s="5"/>
      <c r="AML666" s="5"/>
      <c r="AMM666" s="5"/>
      <c r="AMN666" s="5"/>
      <c r="AMO666" s="5"/>
      <c r="AMP666" s="5"/>
      <c r="AMQ666" s="5"/>
      <c r="AMR666" s="5"/>
      <c r="AMS666" s="5"/>
      <c r="AMT666" s="5"/>
      <c r="AMU666" s="5"/>
      <c r="AMV666" s="5"/>
      <c r="AMW666" s="5"/>
      <c r="AMX666" s="5"/>
      <c r="AMY666" s="5"/>
      <c r="AMZ666" s="5"/>
      <c r="ANA666" s="5"/>
      <c r="ANB666" s="5"/>
      <c r="ANC666" s="5"/>
      <c r="AND666" s="5"/>
      <c r="ANE666" s="5"/>
      <c r="ANF666" s="5"/>
      <c r="ANG666" s="5"/>
      <c r="ANH666" s="5"/>
      <c r="ANI666" s="5"/>
      <c r="ANJ666" s="5"/>
      <c r="ANK666" s="5"/>
      <c r="ANL666" s="5"/>
      <c r="ANM666" s="5"/>
      <c r="ANN666" s="5"/>
      <c r="ANO666" s="5"/>
      <c r="ANP666" s="5"/>
      <c r="ANQ666" s="5"/>
      <c r="ANR666" s="5"/>
      <c r="ANS666" s="5"/>
      <c r="ANT666" s="5"/>
      <c r="ANU666" s="5"/>
      <c r="ANV666" s="5"/>
      <c r="ANW666" s="5"/>
      <c r="ANX666" s="5"/>
      <c r="ANY666" s="5"/>
      <c r="ANZ666" s="5"/>
      <c r="AOA666" s="5"/>
      <c r="AOB666" s="5"/>
      <c r="AOC666" s="5"/>
      <c r="AOD666" s="5"/>
      <c r="AOE666" s="5"/>
      <c r="AOF666" s="5"/>
      <c r="AOG666" s="5"/>
      <c r="AOH666" s="5"/>
      <c r="AOI666" s="5"/>
      <c r="AOJ666" s="5"/>
      <c r="AOK666" s="5"/>
      <c r="AOL666" s="5"/>
      <c r="AOM666" s="5"/>
      <c r="AON666" s="5"/>
      <c r="AOO666" s="5"/>
      <c r="AOP666" s="5"/>
      <c r="AOQ666" s="5"/>
      <c r="AOR666" s="5"/>
      <c r="AOS666" s="5"/>
      <c r="AOT666" s="5"/>
      <c r="AOU666" s="5"/>
      <c r="AOV666" s="5"/>
      <c r="AOW666" s="5"/>
      <c r="AOX666" s="5"/>
      <c r="AOY666" s="5"/>
      <c r="AOZ666" s="5"/>
      <c r="APA666" s="5"/>
      <c r="APB666" s="5"/>
      <c r="APC666" s="5"/>
      <c r="APD666" s="5"/>
      <c r="APE666" s="5"/>
      <c r="APF666" s="5"/>
      <c r="APG666" s="5"/>
      <c r="APH666" s="5"/>
      <c r="API666" s="5"/>
      <c r="APJ666" s="5"/>
      <c r="APK666" s="5"/>
      <c r="APL666" s="5"/>
      <c r="APM666" s="5"/>
      <c r="APN666" s="5"/>
      <c r="APO666" s="5"/>
      <c r="APP666" s="5"/>
      <c r="APQ666" s="5"/>
      <c r="APR666" s="5"/>
      <c r="APS666" s="5"/>
      <c r="APT666" s="5"/>
      <c r="APU666" s="5"/>
      <c r="APV666" s="5"/>
      <c r="APW666" s="5"/>
      <c r="APX666" s="5"/>
      <c r="APY666" s="5"/>
      <c r="APZ666" s="5"/>
      <c r="AQA666" s="5"/>
      <c r="AQB666" s="5"/>
      <c r="AQC666" s="5"/>
      <c r="AQD666" s="5"/>
      <c r="AQE666" s="5"/>
      <c r="AQF666" s="5"/>
      <c r="AQG666" s="5"/>
      <c r="AQH666" s="5"/>
      <c r="AQI666" s="5"/>
      <c r="AQJ666" s="5"/>
      <c r="AQK666" s="5"/>
      <c r="AQL666" s="5"/>
      <c r="AQM666" s="5"/>
      <c r="AQN666" s="5"/>
      <c r="AQO666" s="5"/>
      <c r="AQP666" s="5"/>
      <c r="AQQ666" s="5"/>
      <c r="AQR666" s="5"/>
      <c r="AQS666" s="5"/>
      <c r="AQT666" s="5"/>
      <c r="AQU666" s="5"/>
      <c r="AQV666" s="5"/>
      <c r="AQW666" s="5"/>
      <c r="AQX666" s="5"/>
      <c r="AQY666" s="5"/>
      <c r="AQZ666" s="5"/>
      <c r="ARA666" s="5"/>
      <c r="ARB666" s="5"/>
      <c r="ARC666" s="5"/>
      <c r="ARD666" s="5"/>
      <c r="ARE666" s="5"/>
      <c r="ARF666" s="5"/>
      <c r="ARG666" s="5"/>
      <c r="ARH666" s="5"/>
      <c r="ARI666" s="5"/>
      <c r="ARJ666" s="5"/>
      <c r="ARK666" s="5"/>
      <c r="ARL666" s="5"/>
      <c r="ARM666" s="5"/>
      <c r="ARN666" s="5"/>
      <c r="ARO666" s="5"/>
      <c r="ARP666" s="5"/>
      <c r="ARQ666" s="5"/>
      <c r="ARR666" s="5"/>
      <c r="ARS666" s="5"/>
      <c r="ART666" s="5"/>
      <c r="ARU666" s="5"/>
      <c r="ARV666" s="5"/>
      <c r="ARW666" s="5"/>
      <c r="ARX666" s="5"/>
      <c r="ARY666" s="5"/>
      <c r="ARZ666" s="5"/>
      <c r="ASA666" s="5"/>
      <c r="ASB666" s="5"/>
      <c r="ASC666" s="5"/>
      <c r="ASD666" s="5"/>
      <c r="ASE666" s="5"/>
      <c r="ASF666" s="5"/>
      <c r="ASG666" s="5"/>
      <c r="ASH666" s="5"/>
      <c r="ASI666" s="5"/>
      <c r="ASJ666" s="5"/>
      <c r="ASK666" s="5"/>
      <c r="ASL666" s="5"/>
      <c r="ASM666" s="5"/>
      <c r="ASN666" s="5"/>
      <c r="ASO666" s="5"/>
      <c r="ASP666" s="5"/>
      <c r="ASQ666" s="5"/>
      <c r="ASR666" s="5"/>
      <c r="ASS666" s="5"/>
      <c r="AST666" s="5"/>
      <c r="ASU666" s="5"/>
      <c r="ASV666" s="5"/>
      <c r="ASW666" s="5"/>
      <c r="ASX666" s="5"/>
      <c r="ASY666" s="5"/>
      <c r="ASZ666" s="5"/>
      <c r="ATA666" s="5"/>
      <c r="ATB666" s="5"/>
      <c r="ATC666" s="5"/>
      <c r="ATD666" s="5"/>
      <c r="ATE666" s="5"/>
      <c r="ATF666" s="5"/>
      <c r="ATG666" s="5"/>
      <c r="ATH666" s="5"/>
      <c r="ATI666" s="5"/>
      <c r="ATJ666" s="5"/>
      <c r="ATK666" s="5"/>
      <c r="ATL666" s="5"/>
      <c r="ATM666" s="5"/>
      <c r="ATN666" s="5"/>
      <c r="ATO666" s="5"/>
      <c r="ATP666" s="5"/>
      <c r="ATQ666" s="5"/>
      <c r="ATR666" s="5"/>
      <c r="ATS666" s="5"/>
      <c r="ATT666" s="5"/>
      <c r="ATU666" s="5"/>
      <c r="ATV666" s="5"/>
      <c r="ATW666" s="5"/>
      <c r="ATX666" s="5"/>
    </row>
    <row r="667" spans="1:1220" ht="12.75" customHeight="1" x14ac:dyDescent="0.35">
      <c r="A667" s="76" t="s">
        <v>245</v>
      </c>
      <c r="B667" s="99" t="s">
        <v>143</v>
      </c>
      <c r="C667" s="76" t="s">
        <v>1479</v>
      </c>
      <c r="D667" s="142"/>
    </row>
    <row r="668" spans="1:1220" ht="12.75" customHeight="1" x14ac:dyDescent="0.35">
      <c r="A668" s="76" t="s">
        <v>245</v>
      </c>
      <c r="B668" s="99" t="s">
        <v>147</v>
      </c>
      <c r="C668" s="76" t="s">
        <v>1481</v>
      </c>
      <c r="D668" s="142"/>
    </row>
    <row r="669" spans="1:1220" ht="12.75" customHeight="1" x14ac:dyDescent="0.35">
      <c r="A669" s="76" t="s">
        <v>245</v>
      </c>
      <c r="B669" s="99" t="s">
        <v>153</v>
      </c>
      <c r="C669" s="76" t="s">
        <v>1483</v>
      </c>
      <c r="D669" s="142"/>
    </row>
    <row r="670" spans="1:1220" ht="12.75" customHeight="1" x14ac:dyDescent="0.35">
      <c r="A670" s="76" t="s">
        <v>245</v>
      </c>
      <c r="B670" s="99" t="s">
        <v>157</v>
      </c>
      <c r="C670" s="76" t="s">
        <v>1485</v>
      </c>
      <c r="D670" s="142"/>
    </row>
    <row r="671" spans="1:1220" ht="12.75" customHeight="1" x14ac:dyDescent="0.35">
      <c r="A671" s="76" t="s">
        <v>245</v>
      </c>
      <c r="B671" s="99" t="s">
        <v>1487</v>
      </c>
      <c r="C671" s="76" t="s">
        <v>1420</v>
      </c>
      <c r="D671" s="142"/>
    </row>
    <row r="672" spans="1:1220" ht="12.75" customHeight="1" x14ac:dyDescent="0.35">
      <c r="A672" s="76" t="s">
        <v>245</v>
      </c>
      <c r="B672" s="99" t="s">
        <v>1836</v>
      </c>
      <c r="C672" s="76" t="s">
        <v>2546</v>
      </c>
      <c r="D672" s="142"/>
    </row>
    <row r="673" spans="1:4" ht="12.75" customHeight="1" x14ac:dyDescent="0.35">
      <c r="A673" s="76" t="s">
        <v>245</v>
      </c>
      <c r="B673" s="99" t="s">
        <v>1492</v>
      </c>
      <c r="C673" s="76" t="s">
        <v>2547</v>
      </c>
      <c r="D673" s="142" t="s">
        <v>2548</v>
      </c>
    </row>
    <row r="674" spans="1:4" ht="12.75" customHeight="1" x14ac:dyDescent="0.35">
      <c r="A674" s="76" t="s">
        <v>654</v>
      </c>
      <c r="B674" s="99" t="s">
        <v>2549</v>
      </c>
      <c r="C674" s="76" t="s">
        <v>2550</v>
      </c>
      <c r="D674" s="106"/>
    </row>
    <row r="675" spans="1:4" ht="12.75" customHeight="1" x14ac:dyDescent="0.35">
      <c r="A675" s="76" t="s">
        <v>654</v>
      </c>
      <c r="B675" s="99" t="s">
        <v>2551</v>
      </c>
      <c r="C675" s="76" t="s">
        <v>2552</v>
      </c>
      <c r="D675" s="106"/>
    </row>
    <row r="676" spans="1:4" ht="12.75" customHeight="1" x14ac:dyDescent="0.35">
      <c r="A676" s="76" t="s">
        <v>654</v>
      </c>
      <c r="B676" s="99" t="s">
        <v>2553</v>
      </c>
      <c r="C676" s="76" t="s">
        <v>2554</v>
      </c>
      <c r="D676" s="106"/>
    </row>
    <row r="677" spans="1:4" ht="12.75" customHeight="1" x14ac:dyDescent="0.35">
      <c r="A677" s="76" t="s">
        <v>654</v>
      </c>
      <c r="B677" s="99" t="s">
        <v>2555</v>
      </c>
      <c r="C677" s="76" t="s">
        <v>2556</v>
      </c>
      <c r="D677" s="106"/>
    </row>
    <row r="678" spans="1:4" ht="12.75" customHeight="1" x14ac:dyDescent="0.35">
      <c r="A678" s="76" t="s">
        <v>654</v>
      </c>
      <c r="B678" s="99" t="s">
        <v>2557</v>
      </c>
      <c r="C678" s="76" t="s">
        <v>2558</v>
      </c>
      <c r="D678" s="142"/>
    </row>
    <row r="679" spans="1:4" ht="12.75" customHeight="1" x14ac:dyDescent="0.35">
      <c r="A679" s="76" t="s">
        <v>654</v>
      </c>
      <c r="B679" s="99" t="s">
        <v>2559</v>
      </c>
      <c r="C679" s="76" t="s">
        <v>2560</v>
      </c>
      <c r="D679" s="142"/>
    </row>
    <row r="680" spans="1:4" ht="12.75" customHeight="1" x14ac:dyDescent="0.35">
      <c r="A680" s="76" t="s">
        <v>654</v>
      </c>
      <c r="B680" s="99" t="s">
        <v>2561</v>
      </c>
      <c r="C680" s="76" t="s">
        <v>2562</v>
      </c>
      <c r="D680" s="142"/>
    </row>
    <row r="681" spans="1:4" ht="12.75" customHeight="1" x14ac:dyDescent="0.35">
      <c r="A681" s="76" t="s">
        <v>654</v>
      </c>
      <c r="B681" s="99" t="s">
        <v>2563</v>
      </c>
      <c r="C681" s="76" t="s">
        <v>2564</v>
      </c>
      <c r="D681" s="142"/>
    </row>
    <row r="682" spans="1:4" ht="12.75" customHeight="1" x14ac:dyDescent="0.35">
      <c r="A682" s="76" t="s">
        <v>654</v>
      </c>
      <c r="B682" s="99" t="s">
        <v>2565</v>
      </c>
      <c r="C682" s="76" t="s">
        <v>2566</v>
      </c>
      <c r="D682" s="142"/>
    </row>
    <row r="683" spans="1:4" ht="12.75" customHeight="1" x14ac:dyDescent="0.35">
      <c r="A683" s="76" t="s">
        <v>654</v>
      </c>
      <c r="B683" s="99" t="s">
        <v>2567</v>
      </c>
      <c r="C683" s="76" t="s">
        <v>2568</v>
      </c>
      <c r="D683" s="142"/>
    </row>
    <row r="684" spans="1:4" ht="12.75" customHeight="1" x14ac:dyDescent="0.35">
      <c r="A684" s="76" t="s">
        <v>654</v>
      </c>
      <c r="B684" s="99" t="s">
        <v>2569</v>
      </c>
      <c r="C684" s="76" t="s">
        <v>2570</v>
      </c>
      <c r="D684" s="142"/>
    </row>
    <row r="685" spans="1:4" ht="12.75" customHeight="1" x14ac:dyDescent="0.35">
      <c r="A685" s="76" t="s">
        <v>654</v>
      </c>
      <c r="B685" s="99" t="s">
        <v>2571</v>
      </c>
      <c r="C685" s="76" t="s">
        <v>2572</v>
      </c>
      <c r="D685" s="142"/>
    </row>
    <row r="686" spans="1:4" ht="12.75" customHeight="1" x14ac:dyDescent="0.35">
      <c r="A686" s="76" t="s">
        <v>654</v>
      </c>
      <c r="B686" s="99" t="s">
        <v>2573</v>
      </c>
      <c r="C686" s="76" t="s">
        <v>2574</v>
      </c>
      <c r="D686" s="142"/>
    </row>
    <row r="687" spans="1:4" ht="12.75" customHeight="1" x14ac:dyDescent="0.35">
      <c r="A687" s="76" t="s">
        <v>654</v>
      </c>
      <c r="B687" s="99" t="s">
        <v>2575</v>
      </c>
      <c r="C687" s="76" t="s">
        <v>2576</v>
      </c>
      <c r="D687" s="142"/>
    </row>
    <row r="688" spans="1:4" ht="12.75" customHeight="1" x14ac:dyDescent="0.35">
      <c r="A688" s="76" t="s">
        <v>654</v>
      </c>
      <c r="B688" s="99" t="s">
        <v>2577</v>
      </c>
      <c r="C688" s="76" t="s">
        <v>2578</v>
      </c>
      <c r="D688" s="142"/>
    </row>
    <row r="689" spans="1:1220" ht="12.75" customHeight="1" x14ac:dyDescent="0.35">
      <c r="A689" s="76" t="s">
        <v>654</v>
      </c>
      <c r="B689" s="99" t="s">
        <v>2579</v>
      </c>
      <c r="C689" s="76" t="s">
        <v>2580</v>
      </c>
      <c r="D689" s="142"/>
    </row>
    <row r="690" spans="1:1220" ht="12.75" customHeight="1" x14ac:dyDescent="0.35">
      <c r="A690" s="76" t="s">
        <v>654</v>
      </c>
      <c r="B690" s="99" t="s">
        <v>2581</v>
      </c>
      <c r="C690" s="76" t="s">
        <v>2582</v>
      </c>
      <c r="D690" s="142"/>
    </row>
    <row r="691" spans="1:1220" ht="12.75" customHeight="1" x14ac:dyDescent="0.35">
      <c r="A691" s="76" t="s">
        <v>654</v>
      </c>
      <c r="B691" s="99" t="s">
        <v>2583</v>
      </c>
      <c r="C691" s="76" t="s">
        <v>2584</v>
      </c>
      <c r="D691" s="142"/>
    </row>
    <row r="692" spans="1:1220" ht="12.75" customHeight="1" x14ac:dyDescent="0.35">
      <c r="A692" s="76" t="s">
        <v>654</v>
      </c>
      <c r="B692" s="99" t="s">
        <v>2585</v>
      </c>
      <c r="C692" s="76" t="s">
        <v>2586</v>
      </c>
      <c r="D692" s="142"/>
    </row>
    <row r="693" spans="1:1220" ht="12.75" customHeight="1" x14ac:dyDescent="0.35">
      <c r="A693" s="76" t="s">
        <v>317</v>
      </c>
      <c r="B693" s="99" t="s">
        <v>89</v>
      </c>
      <c r="C693" s="76" t="s">
        <v>2587</v>
      </c>
      <c r="D693" s="142" t="s">
        <v>2588</v>
      </c>
      <c r="E693" s="76" t="s">
        <v>2589</v>
      </c>
    </row>
    <row r="694" spans="1:1220" ht="12.75" customHeight="1" x14ac:dyDescent="0.35">
      <c r="A694" s="76" t="s">
        <v>317</v>
      </c>
      <c r="B694" s="99" t="s">
        <v>99</v>
      </c>
      <c r="C694" s="76" t="s">
        <v>2590</v>
      </c>
      <c r="D694" s="142" t="s">
        <v>2591</v>
      </c>
      <c r="E694" s="76" t="s">
        <v>2592</v>
      </c>
    </row>
    <row r="695" spans="1:1220" ht="12.75" customHeight="1" x14ac:dyDescent="0.35">
      <c r="A695" s="76" t="s">
        <v>317</v>
      </c>
      <c r="B695" s="99" t="s">
        <v>105</v>
      </c>
      <c r="C695" s="76" t="s">
        <v>2593</v>
      </c>
      <c r="D695" s="142" t="s">
        <v>2593</v>
      </c>
      <c r="E695" s="76" t="s">
        <v>2594</v>
      </c>
    </row>
    <row r="696" spans="1:1220" s="9" customFormat="1" ht="12.75" customHeight="1" x14ac:dyDescent="0.35">
      <c r="A696" s="76" t="s">
        <v>317</v>
      </c>
      <c r="B696" s="99" t="s">
        <v>111</v>
      </c>
      <c r="C696" s="76" t="s">
        <v>2595</v>
      </c>
      <c r="D696" s="142" t="s">
        <v>2595</v>
      </c>
      <c r="E696" s="76" t="s">
        <v>2596</v>
      </c>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c r="DX696" s="5"/>
      <c r="DY696" s="5"/>
      <c r="DZ696" s="5"/>
      <c r="EA696" s="5"/>
      <c r="EB696" s="5"/>
      <c r="EC696" s="5"/>
      <c r="ED696" s="5"/>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s="5"/>
      <c r="FG696" s="5"/>
      <c r="FH696" s="5"/>
      <c r="FI696" s="5"/>
      <c r="FJ696" s="5"/>
      <c r="FK696" s="5"/>
      <c r="FL696" s="5"/>
      <c r="FM696" s="5"/>
      <c r="FN696" s="5"/>
      <c r="FO696" s="5"/>
      <c r="FP696" s="5"/>
      <c r="FQ696" s="5"/>
      <c r="FR696" s="5"/>
      <c r="FS696" s="5"/>
      <c r="FT696" s="5"/>
      <c r="FU696" s="5"/>
      <c r="FV696" s="5"/>
      <c r="FW696" s="5"/>
      <c r="FX696" s="5"/>
      <c r="FY696" s="5"/>
      <c r="FZ696" s="5"/>
      <c r="GA696" s="5"/>
      <c r="GB696" s="5"/>
      <c r="GC696" s="5"/>
      <c r="GD696" s="5"/>
      <c r="GE696" s="5"/>
      <c r="GF696" s="5"/>
      <c r="GG696" s="5"/>
      <c r="GH696" s="5"/>
      <c r="GI696" s="5"/>
      <c r="GJ696" s="5"/>
      <c r="GK696" s="5"/>
      <c r="GL696" s="5"/>
      <c r="GM696" s="5"/>
      <c r="GN696" s="5"/>
      <c r="GO696" s="5"/>
      <c r="GP696" s="5"/>
      <c r="GQ696" s="5"/>
      <c r="GR696" s="5"/>
      <c r="GS696" s="5"/>
      <c r="GT696" s="5"/>
      <c r="GU696" s="5"/>
      <c r="GV696" s="5"/>
      <c r="GW696" s="5"/>
      <c r="GX696" s="5"/>
      <c r="GY696" s="5"/>
      <c r="GZ696" s="5"/>
      <c r="HA696" s="5"/>
      <c r="HB696" s="5"/>
      <c r="HC696" s="5"/>
      <c r="HD696" s="5"/>
      <c r="HE696" s="5"/>
      <c r="HF696" s="5"/>
      <c r="HG696" s="5"/>
      <c r="HH696" s="5"/>
      <c r="HI696" s="5"/>
      <c r="HJ696" s="5"/>
      <c r="HK696" s="5"/>
      <c r="HL696" s="5"/>
      <c r="HM696" s="5"/>
      <c r="HN696" s="5"/>
      <c r="HO696" s="5"/>
      <c r="HP696" s="5"/>
      <c r="HQ696" s="5"/>
      <c r="HR696" s="5"/>
      <c r="HS696" s="5"/>
      <c r="HT696" s="5"/>
      <c r="HU696" s="5"/>
      <c r="HV696" s="5"/>
      <c r="HW696" s="5"/>
      <c r="HX696" s="5"/>
      <c r="HY696" s="5"/>
      <c r="HZ696" s="5"/>
      <c r="IA696" s="5"/>
      <c r="IB696" s="5"/>
      <c r="IC696" s="5"/>
      <c r="ID696" s="5"/>
      <c r="IE696" s="5"/>
      <c r="IF696" s="5"/>
      <c r="IG696" s="5"/>
      <c r="IH696" s="5"/>
      <c r="II696" s="5"/>
      <c r="IJ696" s="5"/>
      <c r="IK696" s="5"/>
      <c r="IL696" s="5"/>
      <c r="IM696" s="5"/>
      <c r="IN696" s="5"/>
      <c r="IO696" s="5"/>
      <c r="IP696" s="5"/>
      <c r="IQ696" s="5"/>
      <c r="IR696" s="5"/>
      <c r="IS696" s="5"/>
      <c r="IT696" s="5"/>
      <c r="IU696" s="5"/>
      <c r="IV696" s="5"/>
      <c r="IW696" s="5"/>
      <c r="IX696" s="5"/>
      <c r="IY696" s="5"/>
      <c r="IZ696" s="5"/>
      <c r="JA696" s="5"/>
      <c r="JB696" s="5"/>
      <c r="JC696" s="5"/>
      <c r="JD696" s="5"/>
      <c r="JE696" s="5"/>
      <c r="JF696" s="5"/>
      <c r="JG696" s="5"/>
      <c r="JH696" s="5"/>
      <c r="JI696" s="5"/>
      <c r="JJ696" s="5"/>
      <c r="JK696" s="5"/>
      <c r="JL696" s="5"/>
      <c r="JM696" s="5"/>
      <c r="JN696" s="5"/>
      <c r="JO696" s="5"/>
      <c r="JP696" s="5"/>
      <c r="JQ696" s="5"/>
      <c r="JR696" s="5"/>
      <c r="JS696" s="5"/>
      <c r="JT696" s="5"/>
      <c r="JU696" s="5"/>
      <c r="JV696" s="5"/>
      <c r="JW696" s="5"/>
      <c r="JX696" s="5"/>
      <c r="JY696" s="5"/>
      <c r="JZ696" s="5"/>
      <c r="KA696" s="5"/>
      <c r="KB696" s="5"/>
      <c r="KC696" s="5"/>
      <c r="KD696" s="5"/>
      <c r="KE696" s="5"/>
      <c r="KF696" s="5"/>
      <c r="KG696" s="5"/>
      <c r="KH696" s="5"/>
      <c r="KI696" s="5"/>
      <c r="KJ696" s="5"/>
      <c r="KK696" s="5"/>
      <c r="KL696" s="5"/>
      <c r="KM696" s="5"/>
      <c r="KN696" s="5"/>
      <c r="KO696" s="5"/>
      <c r="KP696" s="5"/>
      <c r="KQ696" s="5"/>
      <c r="KR696" s="5"/>
      <c r="KS696" s="5"/>
      <c r="KT696" s="5"/>
      <c r="KU696" s="5"/>
      <c r="KV696" s="5"/>
      <c r="KW696" s="5"/>
      <c r="KX696" s="5"/>
      <c r="KY696" s="5"/>
      <c r="KZ696" s="5"/>
      <c r="LA696" s="5"/>
      <c r="LB696" s="5"/>
      <c r="LC696" s="5"/>
      <c r="LD696" s="5"/>
      <c r="LE696" s="5"/>
      <c r="LF696" s="5"/>
      <c r="LG696" s="5"/>
      <c r="LH696" s="5"/>
      <c r="LI696" s="5"/>
      <c r="LJ696" s="5"/>
      <c r="LK696" s="5"/>
      <c r="LL696" s="5"/>
      <c r="LM696" s="5"/>
      <c r="LN696" s="5"/>
      <c r="LO696" s="5"/>
      <c r="LP696" s="5"/>
      <c r="LQ696" s="5"/>
      <c r="LR696" s="5"/>
      <c r="LS696" s="5"/>
      <c r="LT696" s="5"/>
      <c r="LU696" s="5"/>
      <c r="LV696" s="5"/>
      <c r="LW696" s="5"/>
      <c r="LX696" s="5"/>
      <c r="LY696" s="5"/>
      <c r="LZ696" s="5"/>
      <c r="MA696" s="5"/>
      <c r="MB696" s="5"/>
      <c r="MC696" s="5"/>
      <c r="MD696" s="5"/>
      <c r="ME696" s="5"/>
      <c r="MF696" s="5"/>
      <c r="MG696" s="5"/>
      <c r="MH696" s="5"/>
      <c r="MI696" s="5"/>
      <c r="MJ696" s="5"/>
      <c r="MK696" s="5"/>
      <c r="ML696" s="5"/>
      <c r="MM696" s="5"/>
      <c r="MN696" s="5"/>
      <c r="MO696" s="5"/>
      <c r="MP696" s="5"/>
      <c r="MQ696" s="5"/>
      <c r="MR696" s="5"/>
      <c r="MS696" s="5"/>
      <c r="MT696" s="5"/>
      <c r="MU696" s="5"/>
      <c r="MV696" s="5"/>
      <c r="MW696" s="5"/>
      <c r="MX696" s="5"/>
      <c r="MY696" s="5"/>
      <c r="MZ696" s="5"/>
      <c r="NA696" s="5"/>
      <c r="NB696" s="5"/>
      <c r="NC696" s="5"/>
      <c r="ND696" s="5"/>
      <c r="NE696" s="5"/>
      <c r="NF696" s="5"/>
      <c r="NG696" s="5"/>
      <c r="NH696" s="5"/>
      <c r="NI696" s="5"/>
      <c r="NJ696" s="5"/>
      <c r="NK696" s="5"/>
      <c r="NL696" s="5"/>
      <c r="NM696" s="5"/>
      <c r="NN696" s="5"/>
      <c r="NO696" s="5"/>
      <c r="NP696" s="5"/>
      <c r="NQ696" s="5"/>
      <c r="NR696" s="5"/>
      <c r="NS696" s="5"/>
      <c r="NT696" s="5"/>
      <c r="NU696" s="5"/>
      <c r="NV696" s="5"/>
      <c r="NW696" s="5"/>
      <c r="NX696" s="5"/>
      <c r="NY696" s="5"/>
      <c r="NZ696" s="5"/>
      <c r="OA696" s="5"/>
      <c r="OB696" s="5"/>
      <c r="OC696" s="5"/>
      <c r="OD696" s="5"/>
      <c r="OE696" s="5"/>
      <c r="OF696" s="5"/>
      <c r="OG696" s="5"/>
      <c r="OH696" s="5"/>
      <c r="OI696" s="5"/>
      <c r="OJ696" s="5"/>
      <c r="OK696" s="5"/>
      <c r="OL696" s="5"/>
      <c r="OM696" s="5"/>
      <c r="ON696" s="5"/>
      <c r="OO696" s="5"/>
      <c r="OP696" s="5"/>
      <c r="OQ696" s="5"/>
      <c r="OR696" s="5"/>
      <c r="OS696" s="5"/>
      <c r="OT696" s="5"/>
      <c r="OU696" s="5"/>
      <c r="OV696" s="5"/>
      <c r="OW696" s="5"/>
      <c r="OX696" s="5"/>
      <c r="OY696" s="5"/>
      <c r="OZ696" s="5"/>
      <c r="PA696" s="5"/>
      <c r="PB696" s="5"/>
      <c r="PC696" s="5"/>
      <c r="PD696" s="5"/>
      <c r="PE696" s="5"/>
      <c r="PF696" s="5"/>
      <c r="PG696" s="5"/>
      <c r="PH696" s="5"/>
      <c r="PI696" s="5"/>
      <c r="PJ696" s="5"/>
      <c r="PK696" s="5"/>
      <c r="PL696" s="5"/>
      <c r="PM696" s="5"/>
      <c r="PN696" s="5"/>
      <c r="PO696" s="5"/>
      <c r="PP696" s="5"/>
      <c r="PQ696" s="5"/>
      <c r="PR696" s="5"/>
      <c r="PS696" s="5"/>
      <c r="PT696" s="5"/>
      <c r="PU696" s="5"/>
      <c r="PV696" s="5"/>
      <c r="PW696" s="5"/>
      <c r="PX696" s="5"/>
      <c r="PY696" s="5"/>
      <c r="PZ696" s="5"/>
      <c r="QA696" s="5"/>
      <c r="QB696" s="5"/>
      <c r="QC696" s="5"/>
      <c r="QD696" s="5"/>
      <c r="QE696" s="5"/>
      <c r="QF696" s="5"/>
      <c r="QG696" s="5"/>
      <c r="QH696" s="5"/>
      <c r="QI696" s="5"/>
      <c r="QJ696" s="5"/>
      <c r="QK696" s="5"/>
      <c r="QL696" s="5"/>
      <c r="QM696" s="5"/>
      <c r="QN696" s="5"/>
      <c r="QO696" s="5"/>
      <c r="QP696" s="5"/>
      <c r="QQ696" s="5"/>
      <c r="QR696" s="5"/>
      <c r="QS696" s="5"/>
      <c r="QT696" s="5"/>
      <c r="QU696" s="5"/>
      <c r="QV696" s="5"/>
      <c r="QW696" s="5"/>
      <c r="QX696" s="5"/>
      <c r="QY696" s="5"/>
      <c r="QZ696" s="5"/>
      <c r="RA696" s="5"/>
      <c r="RB696" s="5"/>
      <c r="RC696" s="5"/>
      <c r="RD696" s="5"/>
      <c r="RE696" s="5"/>
      <c r="RF696" s="5"/>
      <c r="RG696" s="5"/>
      <c r="RH696" s="5"/>
      <c r="RI696" s="5"/>
      <c r="RJ696" s="5"/>
      <c r="RK696" s="5"/>
      <c r="RL696" s="5"/>
      <c r="RM696" s="5"/>
      <c r="RN696" s="5"/>
      <c r="RO696" s="5"/>
      <c r="RP696" s="5"/>
      <c r="RQ696" s="5"/>
      <c r="RR696" s="5"/>
      <c r="RS696" s="5"/>
      <c r="RT696" s="5"/>
      <c r="RU696" s="5"/>
      <c r="RV696" s="5"/>
      <c r="RW696" s="5"/>
      <c r="RX696" s="5"/>
      <c r="RY696" s="5"/>
      <c r="RZ696" s="5"/>
      <c r="SA696" s="5"/>
      <c r="SB696" s="5"/>
      <c r="SC696" s="5"/>
      <c r="SD696" s="5"/>
      <c r="SE696" s="5"/>
      <c r="SF696" s="5"/>
      <c r="SG696" s="5"/>
      <c r="SH696" s="5"/>
      <c r="SI696" s="5"/>
      <c r="SJ696" s="5"/>
      <c r="SK696" s="5"/>
      <c r="SL696" s="5"/>
      <c r="SM696" s="5"/>
      <c r="SN696" s="5"/>
      <c r="SO696" s="5"/>
      <c r="SP696" s="5"/>
      <c r="SQ696" s="5"/>
      <c r="SR696" s="5"/>
      <c r="SS696" s="5"/>
      <c r="ST696" s="5"/>
      <c r="SU696" s="5"/>
      <c r="SV696" s="5"/>
      <c r="SW696" s="5"/>
      <c r="SX696" s="5"/>
      <c r="SY696" s="5"/>
      <c r="SZ696" s="5"/>
      <c r="TA696" s="5"/>
      <c r="TB696" s="5"/>
      <c r="TC696" s="5"/>
      <c r="TD696" s="5"/>
      <c r="TE696" s="5"/>
      <c r="TF696" s="5"/>
      <c r="TG696" s="5"/>
      <c r="TH696" s="5"/>
      <c r="TI696" s="5"/>
      <c r="TJ696" s="5"/>
      <c r="TK696" s="5"/>
      <c r="TL696" s="5"/>
      <c r="TM696" s="5"/>
      <c r="TN696" s="5"/>
      <c r="TO696" s="5"/>
      <c r="TP696" s="5"/>
      <c r="TQ696" s="5"/>
      <c r="TR696" s="5"/>
      <c r="TS696" s="5"/>
      <c r="TT696" s="5"/>
      <c r="TU696" s="5"/>
      <c r="TV696" s="5"/>
      <c r="TW696" s="5"/>
      <c r="TX696" s="5"/>
      <c r="TY696" s="5"/>
      <c r="TZ696" s="5"/>
      <c r="UA696" s="5"/>
      <c r="UB696" s="5"/>
      <c r="UC696" s="5"/>
      <c r="UD696" s="5"/>
      <c r="UE696" s="5"/>
      <c r="UF696" s="5"/>
      <c r="UG696" s="5"/>
      <c r="UH696" s="5"/>
      <c r="UI696" s="5"/>
      <c r="UJ696" s="5"/>
      <c r="UK696" s="5"/>
      <c r="UL696" s="5"/>
      <c r="UM696" s="5"/>
      <c r="UN696" s="5"/>
      <c r="UO696" s="5"/>
      <c r="UP696" s="5"/>
      <c r="UQ696" s="5"/>
      <c r="UR696" s="5"/>
      <c r="US696" s="5"/>
      <c r="UT696" s="5"/>
      <c r="UU696" s="5"/>
      <c r="UV696" s="5"/>
      <c r="UW696" s="5"/>
      <c r="UX696" s="5"/>
      <c r="UY696" s="5"/>
      <c r="UZ696" s="5"/>
      <c r="VA696" s="5"/>
      <c r="VB696" s="5"/>
      <c r="VC696" s="5"/>
      <c r="VD696" s="5"/>
      <c r="VE696" s="5"/>
      <c r="VF696" s="5"/>
      <c r="VG696" s="5"/>
      <c r="VH696" s="5"/>
      <c r="VI696" s="5"/>
      <c r="VJ696" s="5"/>
      <c r="VK696" s="5"/>
      <c r="VL696" s="5"/>
      <c r="VM696" s="5"/>
      <c r="VN696" s="5"/>
      <c r="VO696" s="5"/>
      <c r="VP696" s="5"/>
      <c r="VQ696" s="5"/>
      <c r="VR696" s="5"/>
      <c r="VS696" s="5"/>
      <c r="VT696" s="5"/>
      <c r="VU696" s="5"/>
      <c r="VV696" s="5"/>
      <c r="VW696" s="5"/>
      <c r="VX696" s="5"/>
      <c r="VY696" s="5"/>
      <c r="VZ696" s="5"/>
      <c r="WA696" s="5"/>
      <c r="WB696" s="5"/>
      <c r="WC696" s="5"/>
      <c r="WD696" s="5"/>
      <c r="WE696" s="5"/>
      <c r="WF696" s="5"/>
      <c r="WG696" s="5"/>
      <c r="WH696" s="5"/>
      <c r="WI696" s="5"/>
      <c r="WJ696" s="5"/>
      <c r="WK696" s="5"/>
      <c r="WL696" s="5"/>
      <c r="WM696" s="5"/>
      <c r="WN696" s="5"/>
      <c r="WO696" s="5"/>
      <c r="WP696" s="5"/>
      <c r="WQ696" s="5"/>
      <c r="WR696" s="5"/>
      <c r="WS696" s="5"/>
      <c r="WT696" s="5"/>
      <c r="WU696" s="5"/>
      <c r="WV696" s="5"/>
      <c r="WW696" s="5"/>
      <c r="WX696" s="5"/>
      <c r="WY696" s="5"/>
      <c r="WZ696" s="5"/>
      <c r="XA696" s="5"/>
      <c r="XB696" s="5"/>
      <c r="XC696" s="5"/>
      <c r="XD696" s="5"/>
      <c r="XE696" s="5"/>
      <c r="XF696" s="5"/>
      <c r="XG696" s="5"/>
      <c r="XH696" s="5"/>
      <c r="XI696" s="5"/>
      <c r="XJ696" s="5"/>
      <c r="XK696" s="5"/>
      <c r="XL696" s="5"/>
      <c r="XM696" s="5"/>
      <c r="XN696" s="5"/>
      <c r="XO696" s="5"/>
      <c r="XP696" s="5"/>
      <c r="XQ696" s="5"/>
      <c r="XR696" s="5"/>
      <c r="XS696" s="5"/>
      <c r="XT696" s="5"/>
      <c r="XU696" s="5"/>
      <c r="XV696" s="5"/>
      <c r="XW696" s="5"/>
      <c r="XX696" s="5"/>
      <c r="XY696" s="5"/>
      <c r="XZ696" s="5"/>
      <c r="YA696" s="5"/>
      <c r="YB696" s="5"/>
      <c r="YC696" s="5"/>
      <c r="YD696" s="5"/>
      <c r="YE696" s="5"/>
      <c r="YF696" s="5"/>
      <c r="YG696" s="5"/>
      <c r="YH696" s="5"/>
      <c r="YI696" s="5"/>
      <c r="YJ696" s="5"/>
      <c r="YK696" s="5"/>
      <c r="YL696" s="5"/>
      <c r="YM696" s="5"/>
      <c r="YN696" s="5"/>
      <c r="YO696" s="5"/>
      <c r="YP696" s="5"/>
      <c r="YQ696" s="5"/>
      <c r="YR696" s="5"/>
      <c r="YS696" s="5"/>
      <c r="YT696" s="5"/>
      <c r="YU696" s="5"/>
      <c r="YV696" s="5"/>
      <c r="YW696" s="5"/>
      <c r="YX696" s="5"/>
      <c r="YY696" s="5"/>
      <c r="YZ696" s="5"/>
      <c r="ZA696" s="5"/>
      <c r="ZB696" s="5"/>
      <c r="ZC696" s="5"/>
      <c r="ZD696" s="5"/>
      <c r="ZE696" s="5"/>
      <c r="ZF696" s="5"/>
      <c r="ZG696" s="5"/>
      <c r="ZH696" s="5"/>
      <c r="ZI696" s="5"/>
      <c r="ZJ696" s="5"/>
      <c r="ZK696" s="5"/>
      <c r="ZL696" s="5"/>
      <c r="ZM696" s="5"/>
      <c r="ZN696" s="5"/>
      <c r="ZO696" s="5"/>
      <c r="ZP696" s="5"/>
      <c r="ZQ696" s="5"/>
      <c r="ZR696" s="5"/>
      <c r="ZS696" s="5"/>
      <c r="ZT696" s="5"/>
      <c r="ZU696" s="5"/>
      <c r="ZV696" s="5"/>
      <c r="ZW696" s="5"/>
      <c r="ZX696" s="5"/>
      <c r="ZY696" s="5"/>
      <c r="ZZ696" s="5"/>
      <c r="AAA696" s="5"/>
      <c r="AAB696" s="5"/>
      <c r="AAC696" s="5"/>
      <c r="AAD696" s="5"/>
      <c r="AAE696" s="5"/>
      <c r="AAF696" s="5"/>
      <c r="AAG696" s="5"/>
      <c r="AAH696" s="5"/>
      <c r="AAI696" s="5"/>
      <c r="AAJ696" s="5"/>
      <c r="AAK696" s="5"/>
      <c r="AAL696" s="5"/>
      <c r="AAM696" s="5"/>
      <c r="AAN696" s="5"/>
      <c r="AAO696" s="5"/>
      <c r="AAP696" s="5"/>
      <c r="AAQ696" s="5"/>
      <c r="AAR696" s="5"/>
      <c r="AAS696" s="5"/>
      <c r="AAT696" s="5"/>
      <c r="AAU696" s="5"/>
      <c r="AAV696" s="5"/>
      <c r="AAW696" s="5"/>
      <c r="AAX696" s="5"/>
      <c r="AAY696" s="5"/>
      <c r="AAZ696" s="5"/>
      <c r="ABA696" s="5"/>
      <c r="ABB696" s="5"/>
      <c r="ABC696" s="5"/>
      <c r="ABD696" s="5"/>
      <c r="ABE696" s="5"/>
      <c r="ABF696" s="5"/>
      <c r="ABG696" s="5"/>
      <c r="ABH696" s="5"/>
      <c r="ABI696" s="5"/>
      <c r="ABJ696" s="5"/>
      <c r="ABK696" s="5"/>
      <c r="ABL696" s="5"/>
      <c r="ABM696" s="5"/>
      <c r="ABN696" s="5"/>
      <c r="ABO696" s="5"/>
      <c r="ABP696" s="5"/>
      <c r="ABQ696" s="5"/>
      <c r="ABR696" s="5"/>
      <c r="ABS696" s="5"/>
      <c r="ABT696" s="5"/>
      <c r="ABU696" s="5"/>
      <c r="ABV696" s="5"/>
      <c r="ABW696" s="5"/>
      <c r="ABX696" s="5"/>
      <c r="ABY696" s="5"/>
      <c r="ABZ696" s="5"/>
      <c r="ACA696" s="5"/>
      <c r="ACB696" s="5"/>
      <c r="ACC696" s="5"/>
      <c r="ACD696" s="5"/>
      <c r="ACE696" s="5"/>
      <c r="ACF696" s="5"/>
      <c r="ACG696" s="5"/>
      <c r="ACH696" s="5"/>
      <c r="ACI696" s="5"/>
      <c r="ACJ696" s="5"/>
      <c r="ACK696" s="5"/>
      <c r="ACL696" s="5"/>
      <c r="ACM696" s="5"/>
      <c r="ACN696" s="5"/>
      <c r="ACO696" s="5"/>
      <c r="ACP696" s="5"/>
      <c r="ACQ696" s="5"/>
      <c r="ACR696" s="5"/>
      <c r="ACS696" s="5"/>
      <c r="ACT696" s="5"/>
      <c r="ACU696" s="5"/>
      <c r="ACV696" s="5"/>
      <c r="ACW696" s="5"/>
      <c r="ACX696" s="5"/>
      <c r="ACY696" s="5"/>
      <c r="ACZ696" s="5"/>
      <c r="ADA696" s="5"/>
      <c r="ADB696" s="5"/>
      <c r="ADC696" s="5"/>
      <c r="ADD696" s="5"/>
      <c r="ADE696" s="5"/>
      <c r="ADF696" s="5"/>
      <c r="ADG696" s="5"/>
      <c r="ADH696" s="5"/>
      <c r="ADI696" s="5"/>
      <c r="ADJ696" s="5"/>
      <c r="ADK696" s="5"/>
      <c r="ADL696" s="5"/>
      <c r="ADM696" s="5"/>
      <c r="ADN696" s="5"/>
      <c r="ADO696" s="5"/>
      <c r="ADP696" s="5"/>
      <c r="ADQ696" s="5"/>
      <c r="ADR696" s="5"/>
      <c r="ADS696" s="5"/>
      <c r="ADT696" s="5"/>
      <c r="ADU696" s="5"/>
      <c r="ADV696" s="5"/>
      <c r="ADW696" s="5"/>
      <c r="ADX696" s="5"/>
      <c r="ADY696" s="5"/>
      <c r="ADZ696" s="5"/>
      <c r="AEA696" s="5"/>
      <c r="AEB696" s="5"/>
      <c r="AEC696" s="5"/>
      <c r="AED696" s="5"/>
      <c r="AEE696" s="5"/>
      <c r="AEF696" s="5"/>
      <c r="AEG696" s="5"/>
      <c r="AEH696" s="5"/>
      <c r="AEI696" s="5"/>
      <c r="AEJ696" s="5"/>
      <c r="AEK696" s="5"/>
      <c r="AEL696" s="5"/>
      <c r="AEM696" s="5"/>
      <c r="AEN696" s="5"/>
      <c r="AEO696" s="5"/>
      <c r="AEP696" s="5"/>
      <c r="AEQ696" s="5"/>
      <c r="AER696" s="5"/>
      <c r="AES696" s="5"/>
      <c r="AET696" s="5"/>
      <c r="AEU696" s="5"/>
      <c r="AEV696" s="5"/>
      <c r="AEW696" s="5"/>
      <c r="AEX696" s="5"/>
      <c r="AEY696" s="5"/>
      <c r="AEZ696" s="5"/>
      <c r="AFA696" s="5"/>
      <c r="AFB696" s="5"/>
      <c r="AFC696" s="5"/>
      <c r="AFD696" s="5"/>
      <c r="AFE696" s="5"/>
      <c r="AFF696" s="5"/>
      <c r="AFG696" s="5"/>
      <c r="AFH696" s="5"/>
      <c r="AFI696" s="5"/>
      <c r="AFJ696" s="5"/>
      <c r="AFK696" s="5"/>
      <c r="AFL696" s="5"/>
      <c r="AFM696" s="5"/>
      <c r="AFN696" s="5"/>
      <c r="AFO696" s="5"/>
      <c r="AFP696" s="5"/>
      <c r="AFQ696" s="5"/>
      <c r="AFR696" s="5"/>
      <c r="AFS696" s="5"/>
      <c r="AFT696" s="5"/>
      <c r="AFU696" s="5"/>
      <c r="AFV696" s="5"/>
      <c r="AFW696" s="5"/>
      <c r="AFX696" s="5"/>
      <c r="AFY696" s="5"/>
      <c r="AFZ696" s="5"/>
      <c r="AGA696" s="5"/>
      <c r="AGB696" s="5"/>
      <c r="AGC696" s="5"/>
      <c r="AGD696" s="5"/>
      <c r="AGE696" s="5"/>
      <c r="AGF696" s="5"/>
      <c r="AGG696" s="5"/>
      <c r="AGH696" s="5"/>
      <c r="AGI696" s="5"/>
      <c r="AGJ696" s="5"/>
      <c r="AGK696" s="5"/>
      <c r="AGL696" s="5"/>
      <c r="AGM696" s="5"/>
      <c r="AGN696" s="5"/>
      <c r="AGO696" s="5"/>
      <c r="AGP696" s="5"/>
      <c r="AGQ696" s="5"/>
      <c r="AGR696" s="5"/>
      <c r="AGS696" s="5"/>
      <c r="AGT696" s="5"/>
      <c r="AGU696" s="5"/>
      <c r="AGV696" s="5"/>
      <c r="AGW696" s="5"/>
      <c r="AGX696" s="5"/>
      <c r="AGY696" s="5"/>
      <c r="AGZ696" s="5"/>
      <c r="AHA696" s="5"/>
      <c r="AHB696" s="5"/>
      <c r="AHC696" s="5"/>
      <c r="AHD696" s="5"/>
      <c r="AHE696" s="5"/>
      <c r="AHF696" s="5"/>
      <c r="AHG696" s="5"/>
      <c r="AHH696" s="5"/>
      <c r="AHI696" s="5"/>
      <c r="AHJ696" s="5"/>
      <c r="AHK696" s="5"/>
      <c r="AHL696" s="5"/>
      <c r="AHM696" s="5"/>
      <c r="AHN696" s="5"/>
      <c r="AHO696" s="5"/>
      <c r="AHP696" s="5"/>
      <c r="AHQ696" s="5"/>
      <c r="AHR696" s="5"/>
      <c r="AHS696" s="5"/>
      <c r="AHT696" s="5"/>
      <c r="AHU696" s="5"/>
      <c r="AHV696" s="5"/>
      <c r="AHW696" s="5"/>
      <c r="AHX696" s="5"/>
      <c r="AHY696" s="5"/>
      <c r="AHZ696" s="5"/>
      <c r="AIA696" s="5"/>
      <c r="AIB696" s="5"/>
      <c r="AIC696" s="5"/>
      <c r="AID696" s="5"/>
      <c r="AIE696" s="5"/>
      <c r="AIF696" s="5"/>
      <c r="AIG696" s="5"/>
      <c r="AIH696" s="5"/>
      <c r="AII696" s="5"/>
      <c r="AIJ696" s="5"/>
      <c r="AIK696" s="5"/>
      <c r="AIL696" s="5"/>
      <c r="AIM696" s="5"/>
      <c r="AIN696" s="5"/>
      <c r="AIO696" s="5"/>
      <c r="AIP696" s="5"/>
      <c r="AIQ696" s="5"/>
      <c r="AIR696" s="5"/>
      <c r="AIS696" s="5"/>
      <c r="AIT696" s="5"/>
      <c r="AIU696" s="5"/>
      <c r="AIV696" s="5"/>
      <c r="AIW696" s="5"/>
      <c r="AIX696" s="5"/>
      <c r="AIY696" s="5"/>
      <c r="AIZ696" s="5"/>
      <c r="AJA696" s="5"/>
      <c r="AJB696" s="5"/>
      <c r="AJC696" s="5"/>
      <c r="AJD696" s="5"/>
      <c r="AJE696" s="5"/>
      <c r="AJF696" s="5"/>
      <c r="AJG696" s="5"/>
      <c r="AJH696" s="5"/>
      <c r="AJI696" s="5"/>
      <c r="AJJ696" s="5"/>
      <c r="AJK696" s="5"/>
      <c r="AJL696" s="5"/>
      <c r="AJM696" s="5"/>
      <c r="AJN696" s="5"/>
      <c r="AJO696" s="5"/>
      <c r="AJP696" s="5"/>
      <c r="AJQ696" s="5"/>
      <c r="AJR696" s="5"/>
      <c r="AJS696" s="5"/>
      <c r="AJT696" s="5"/>
      <c r="AJU696" s="5"/>
      <c r="AJV696" s="5"/>
      <c r="AJW696" s="5"/>
      <c r="AJX696" s="5"/>
      <c r="AJY696" s="5"/>
      <c r="AJZ696" s="5"/>
      <c r="AKA696" s="5"/>
      <c r="AKB696" s="5"/>
      <c r="AKC696" s="5"/>
      <c r="AKD696" s="5"/>
      <c r="AKE696" s="5"/>
      <c r="AKF696" s="5"/>
      <c r="AKG696" s="5"/>
      <c r="AKH696" s="5"/>
      <c r="AKI696" s="5"/>
      <c r="AKJ696" s="5"/>
      <c r="AKK696" s="5"/>
      <c r="AKL696" s="5"/>
      <c r="AKM696" s="5"/>
      <c r="AKN696" s="5"/>
      <c r="AKO696" s="5"/>
      <c r="AKP696" s="5"/>
      <c r="AKQ696" s="5"/>
      <c r="AKR696" s="5"/>
      <c r="AKS696" s="5"/>
      <c r="AKT696" s="5"/>
      <c r="AKU696" s="5"/>
      <c r="AKV696" s="5"/>
      <c r="AKW696" s="5"/>
      <c r="AKX696" s="5"/>
      <c r="AKY696" s="5"/>
      <c r="AKZ696" s="5"/>
      <c r="ALA696" s="5"/>
      <c r="ALB696" s="5"/>
      <c r="ALC696" s="5"/>
      <c r="ALD696" s="5"/>
      <c r="ALE696" s="5"/>
      <c r="ALF696" s="5"/>
      <c r="ALG696" s="5"/>
      <c r="ALH696" s="5"/>
      <c r="ALI696" s="5"/>
      <c r="ALJ696" s="5"/>
      <c r="ALK696" s="5"/>
      <c r="ALL696" s="5"/>
      <c r="ALM696" s="5"/>
      <c r="ALN696" s="5"/>
      <c r="ALO696" s="5"/>
      <c r="ALP696" s="5"/>
      <c r="ALQ696" s="5"/>
      <c r="ALR696" s="5"/>
      <c r="ALS696" s="5"/>
      <c r="ALT696" s="5"/>
      <c r="ALU696" s="5"/>
      <c r="ALV696" s="5"/>
      <c r="ALW696" s="5"/>
      <c r="ALX696" s="5"/>
      <c r="ALY696" s="5"/>
      <c r="ALZ696" s="5"/>
      <c r="AMA696" s="5"/>
      <c r="AMB696" s="5"/>
      <c r="AMC696" s="5"/>
      <c r="AMD696" s="5"/>
      <c r="AME696" s="5"/>
      <c r="AMF696" s="5"/>
      <c r="AMG696" s="5"/>
      <c r="AMH696" s="5"/>
      <c r="AMI696" s="5"/>
      <c r="AMJ696" s="5"/>
      <c r="AMK696" s="5"/>
      <c r="AML696" s="5"/>
      <c r="AMM696" s="5"/>
      <c r="AMN696" s="5"/>
      <c r="AMO696" s="5"/>
      <c r="AMP696" s="5"/>
      <c r="AMQ696" s="5"/>
      <c r="AMR696" s="5"/>
      <c r="AMS696" s="5"/>
      <c r="AMT696" s="5"/>
      <c r="AMU696" s="5"/>
      <c r="AMV696" s="5"/>
      <c r="AMW696" s="5"/>
      <c r="AMX696" s="5"/>
      <c r="AMY696" s="5"/>
      <c r="AMZ696" s="5"/>
      <c r="ANA696" s="5"/>
      <c r="ANB696" s="5"/>
      <c r="ANC696" s="5"/>
      <c r="AND696" s="5"/>
      <c r="ANE696" s="5"/>
      <c r="ANF696" s="5"/>
      <c r="ANG696" s="5"/>
      <c r="ANH696" s="5"/>
      <c r="ANI696" s="5"/>
      <c r="ANJ696" s="5"/>
      <c r="ANK696" s="5"/>
      <c r="ANL696" s="5"/>
      <c r="ANM696" s="5"/>
      <c r="ANN696" s="5"/>
      <c r="ANO696" s="5"/>
      <c r="ANP696" s="5"/>
      <c r="ANQ696" s="5"/>
      <c r="ANR696" s="5"/>
      <c r="ANS696" s="5"/>
      <c r="ANT696" s="5"/>
      <c r="ANU696" s="5"/>
      <c r="ANV696" s="5"/>
      <c r="ANW696" s="5"/>
      <c r="ANX696" s="5"/>
      <c r="ANY696" s="5"/>
      <c r="ANZ696" s="5"/>
      <c r="AOA696" s="5"/>
      <c r="AOB696" s="5"/>
      <c r="AOC696" s="5"/>
      <c r="AOD696" s="5"/>
      <c r="AOE696" s="5"/>
      <c r="AOF696" s="5"/>
      <c r="AOG696" s="5"/>
      <c r="AOH696" s="5"/>
      <c r="AOI696" s="5"/>
      <c r="AOJ696" s="5"/>
      <c r="AOK696" s="5"/>
      <c r="AOL696" s="5"/>
      <c r="AOM696" s="5"/>
      <c r="AON696" s="5"/>
      <c r="AOO696" s="5"/>
      <c r="AOP696" s="5"/>
      <c r="AOQ696" s="5"/>
      <c r="AOR696" s="5"/>
      <c r="AOS696" s="5"/>
      <c r="AOT696" s="5"/>
      <c r="AOU696" s="5"/>
      <c r="AOV696" s="5"/>
      <c r="AOW696" s="5"/>
      <c r="AOX696" s="5"/>
      <c r="AOY696" s="5"/>
      <c r="AOZ696" s="5"/>
      <c r="APA696" s="5"/>
      <c r="APB696" s="5"/>
      <c r="APC696" s="5"/>
      <c r="APD696" s="5"/>
      <c r="APE696" s="5"/>
      <c r="APF696" s="5"/>
      <c r="APG696" s="5"/>
      <c r="APH696" s="5"/>
      <c r="API696" s="5"/>
      <c r="APJ696" s="5"/>
      <c r="APK696" s="5"/>
      <c r="APL696" s="5"/>
      <c r="APM696" s="5"/>
      <c r="APN696" s="5"/>
      <c r="APO696" s="5"/>
      <c r="APP696" s="5"/>
      <c r="APQ696" s="5"/>
      <c r="APR696" s="5"/>
      <c r="APS696" s="5"/>
      <c r="APT696" s="5"/>
      <c r="APU696" s="5"/>
      <c r="APV696" s="5"/>
      <c r="APW696" s="5"/>
      <c r="APX696" s="5"/>
      <c r="APY696" s="5"/>
      <c r="APZ696" s="5"/>
      <c r="AQA696" s="5"/>
      <c r="AQB696" s="5"/>
      <c r="AQC696" s="5"/>
      <c r="AQD696" s="5"/>
      <c r="AQE696" s="5"/>
      <c r="AQF696" s="5"/>
      <c r="AQG696" s="5"/>
      <c r="AQH696" s="5"/>
      <c r="AQI696" s="5"/>
      <c r="AQJ696" s="5"/>
      <c r="AQK696" s="5"/>
      <c r="AQL696" s="5"/>
      <c r="AQM696" s="5"/>
      <c r="AQN696" s="5"/>
      <c r="AQO696" s="5"/>
      <c r="AQP696" s="5"/>
      <c r="AQQ696" s="5"/>
      <c r="AQR696" s="5"/>
      <c r="AQS696" s="5"/>
      <c r="AQT696" s="5"/>
      <c r="AQU696" s="5"/>
      <c r="AQV696" s="5"/>
      <c r="AQW696" s="5"/>
      <c r="AQX696" s="5"/>
      <c r="AQY696" s="5"/>
      <c r="AQZ696" s="5"/>
      <c r="ARA696" s="5"/>
      <c r="ARB696" s="5"/>
      <c r="ARC696" s="5"/>
      <c r="ARD696" s="5"/>
      <c r="ARE696" s="5"/>
      <c r="ARF696" s="5"/>
      <c r="ARG696" s="5"/>
      <c r="ARH696" s="5"/>
      <c r="ARI696" s="5"/>
      <c r="ARJ696" s="5"/>
      <c r="ARK696" s="5"/>
      <c r="ARL696" s="5"/>
      <c r="ARM696" s="5"/>
      <c r="ARN696" s="5"/>
      <c r="ARO696" s="5"/>
      <c r="ARP696" s="5"/>
      <c r="ARQ696" s="5"/>
      <c r="ARR696" s="5"/>
      <c r="ARS696" s="5"/>
      <c r="ART696" s="5"/>
      <c r="ARU696" s="5"/>
      <c r="ARV696" s="5"/>
      <c r="ARW696" s="5"/>
      <c r="ARX696" s="5"/>
      <c r="ARY696" s="5"/>
      <c r="ARZ696" s="5"/>
      <c r="ASA696" s="5"/>
      <c r="ASB696" s="5"/>
      <c r="ASC696" s="5"/>
      <c r="ASD696" s="5"/>
      <c r="ASE696" s="5"/>
      <c r="ASF696" s="5"/>
      <c r="ASG696" s="5"/>
      <c r="ASH696" s="5"/>
      <c r="ASI696" s="5"/>
      <c r="ASJ696" s="5"/>
      <c r="ASK696" s="5"/>
      <c r="ASL696" s="5"/>
      <c r="ASM696" s="5"/>
      <c r="ASN696" s="5"/>
      <c r="ASO696" s="5"/>
      <c r="ASP696" s="5"/>
      <c r="ASQ696" s="5"/>
      <c r="ASR696" s="5"/>
      <c r="ASS696" s="5"/>
      <c r="AST696" s="5"/>
      <c r="ASU696" s="5"/>
      <c r="ASV696" s="5"/>
      <c r="ASW696" s="5"/>
      <c r="ASX696" s="5"/>
      <c r="ASY696" s="5"/>
      <c r="ASZ696" s="5"/>
      <c r="ATA696" s="5"/>
      <c r="ATB696" s="5"/>
      <c r="ATC696" s="5"/>
      <c r="ATD696" s="5"/>
      <c r="ATE696" s="5"/>
      <c r="ATF696" s="5"/>
      <c r="ATG696" s="5"/>
      <c r="ATH696" s="5"/>
      <c r="ATI696" s="5"/>
      <c r="ATJ696" s="5"/>
      <c r="ATK696" s="5"/>
      <c r="ATL696" s="5"/>
      <c r="ATM696" s="5"/>
      <c r="ATN696" s="5"/>
      <c r="ATO696" s="5"/>
      <c r="ATP696" s="5"/>
      <c r="ATQ696" s="5"/>
      <c r="ATR696" s="5"/>
      <c r="ATS696" s="5"/>
      <c r="ATT696" s="5"/>
      <c r="ATU696" s="5"/>
      <c r="ATV696" s="5"/>
      <c r="ATW696" s="5"/>
      <c r="ATX696" s="5"/>
    </row>
    <row r="697" spans="1:1220" s="9" customFormat="1" ht="12.75" customHeight="1" x14ac:dyDescent="0.35">
      <c r="A697" s="76" t="s">
        <v>229</v>
      </c>
      <c r="B697" s="99" t="s">
        <v>89</v>
      </c>
      <c r="C697" s="76" t="s">
        <v>2597</v>
      </c>
      <c r="D697" s="142" t="s">
        <v>2597</v>
      </c>
      <c r="E697" s="76"/>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c r="FK697" s="5"/>
      <c r="FL697" s="5"/>
      <c r="FM697" s="5"/>
      <c r="FN697" s="5"/>
      <c r="FO697" s="5"/>
      <c r="FP697" s="5"/>
      <c r="FQ697" s="5"/>
      <c r="FR697" s="5"/>
      <c r="FS697" s="5"/>
      <c r="FT697" s="5"/>
      <c r="FU697" s="5"/>
      <c r="FV697" s="5"/>
      <c r="FW697" s="5"/>
      <c r="FX697" s="5"/>
      <c r="FY697" s="5"/>
      <c r="FZ697" s="5"/>
      <c r="GA697" s="5"/>
      <c r="GB697" s="5"/>
      <c r="GC697" s="5"/>
      <c r="GD697" s="5"/>
      <c r="GE697" s="5"/>
      <c r="GF697" s="5"/>
      <c r="GG697" s="5"/>
      <c r="GH697" s="5"/>
      <c r="GI697" s="5"/>
      <c r="GJ697" s="5"/>
      <c r="GK697" s="5"/>
      <c r="GL697" s="5"/>
      <c r="GM697" s="5"/>
      <c r="GN697" s="5"/>
      <c r="GO697" s="5"/>
      <c r="GP697" s="5"/>
      <c r="GQ697" s="5"/>
      <c r="GR697" s="5"/>
      <c r="GS697" s="5"/>
      <c r="GT697" s="5"/>
      <c r="GU697" s="5"/>
      <c r="GV697" s="5"/>
      <c r="GW697" s="5"/>
      <c r="GX697" s="5"/>
      <c r="GY697" s="5"/>
      <c r="GZ697" s="5"/>
      <c r="HA697" s="5"/>
      <c r="HB697" s="5"/>
      <c r="HC697" s="5"/>
      <c r="HD697" s="5"/>
      <c r="HE697" s="5"/>
      <c r="HF697" s="5"/>
      <c r="HG697" s="5"/>
      <c r="HH697" s="5"/>
      <c r="HI697" s="5"/>
      <c r="HJ697" s="5"/>
      <c r="HK697" s="5"/>
      <c r="HL697" s="5"/>
      <c r="HM697" s="5"/>
      <c r="HN697" s="5"/>
      <c r="HO697" s="5"/>
      <c r="HP697" s="5"/>
      <c r="HQ697" s="5"/>
      <c r="HR697" s="5"/>
      <c r="HS697" s="5"/>
      <c r="HT697" s="5"/>
      <c r="HU697" s="5"/>
      <c r="HV697" s="5"/>
      <c r="HW697" s="5"/>
      <c r="HX697" s="5"/>
      <c r="HY697" s="5"/>
      <c r="HZ697" s="5"/>
      <c r="IA697" s="5"/>
      <c r="IB697" s="5"/>
      <c r="IC697" s="5"/>
      <c r="ID697" s="5"/>
      <c r="IE697" s="5"/>
      <c r="IF697" s="5"/>
      <c r="IG697" s="5"/>
      <c r="IH697" s="5"/>
      <c r="II697" s="5"/>
      <c r="IJ697" s="5"/>
      <c r="IK697" s="5"/>
      <c r="IL697" s="5"/>
      <c r="IM697" s="5"/>
      <c r="IN697" s="5"/>
      <c r="IO697" s="5"/>
      <c r="IP697" s="5"/>
      <c r="IQ697" s="5"/>
      <c r="IR697" s="5"/>
      <c r="IS697" s="5"/>
      <c r="IT697" s="5"/>
      <c r="IU697" s="5"/>
      <c r="IV697" s="5"/>
      <c r="IW697" s="5"/>
      <c r="IX697" s="5"/>
      <c r="IY697" s="5"/>
      <c r="IZ697" s="5"/>
      <c r="JA697" s="5"/>
      <c r="JB697" s="5"/>
      <c r="JC697" s="5"/>
      <c r="JD697" s="5"/>
      <c r="JE697" s="5"/>
      <c r="JF697" s="5"/>
      <c r="JG697" s="5"/>
      <c r="JH697" s="5"/>
      <c r="JI697" s="5"/>
      <c r="JJ697" s="5"/>
      <c r="JK697" s="5"/>
      <c r="JL697" s="5"/>
      <c r="JM697" s="5"/>
      <c r="JN697" s="5"/>
      <c r="JO697" s="5"/>
      <c r="JP697" s="5"/>
      <c r="JQ697" s="5"/>
      <c r="JR697" s="5"/>
      <c r="JS697" s="5"/>
      <c r="JT697" s="5"/>
      <c r="JU697" s="5"/>
      <c r="JV697" s="5"/>
      <c r="JW697" s="5"/>
      <c r="JX697" s="5"/>
      <c r="JY697" s="5"/>
      <c r="JZ697" s="5"/>
      <c r="KA697" s="5"/>
      <c r="KB697" s="5"/>
      <c r="KC697" s="5"/>
      <c r="KD697" s="5"/>
      <c r="KE697" s="5"/>
      <c r="KF697" s="5"/>
      <c r="KG697" s="5"/>
      <c r="KH697" s="5"/>
      <c r="KI697" s="5"/>
      <c r="KJ697" s="5"/>
      <c r="KK697" s="5"/>
      <c r="KL697" s="5"/>
      <c r="KM697" s="5"/>
      <c r="KN697" s="5"/>
      <c r="KO697" s="5"/>
      <c r="KP697" s="5"/>
      <c r="KQ697" s="5"/>
      <c r="KR697" s="5"/>
      <c r="KS697" s="5"/>
      <c r="KT697" s="5"/>
      <c r="KU697" s="5"/>
      <c r="KV697" s="5"/>
      <c r="KW697" s="5"/>
      <c r="KX697" s="5"/>
      <c r="KY697" s="5"/>
      <c r="KZ697" s="5"/>
      <c r="LA697" s="5"/>
      <c r="LB697" s="5"/>
      <c r="LC697" s="5"/>
      <c r="LD697" s="5"/>
      <c r="LE697" s="5"/>
      <c r="LF697" s="5"/>
      <c r="LG697" s="5"/>
      <c r="LH697" s="5"/>
      <c r="LI697" s="5"/>
      <c r="LJ697" s="5"/>
      <c r="LK697" s="5"/>
      <c r="LL697" s="5"/>
      <c r="LM697" s="5"/>
      <c r="LN697" s="5"/>
      <c r="LO697" s="5"/>
      <c r="LP697" s="5"/>
      <c r="LQ697" s="5"/>
      <c r="LR697" s="5"/>
      <c r="LS697" s="5"/>
      <c r="LT697" s="5"/>
      <c r="LU697" s="5"/>
      <c r="LV697" s="5"/>
      <c r="LW697" s="5"/>
      <c r="LX697" s="5"/>
      <c r="LY697" s="5"/>
      <c r="LZ697" s="5"/>
      <c r="MA697" s="5"/>
      <c r="MB697" s="5"/>
      <c r="MC697" s="5"/>
      <c r="MD697" s="5"/>
      <c r="ME697" s="5"/>
      <c r="MF697" s="5"/>
      <c r="MG697" s="5"/>
      <c r="MH697" s="5"/>
      <c r="MI697" s="5"/>
      <c r="MJ697" s="5"/>
      <c r="MK697" s="5"/>
      <c r="ML697" s="5"/>
      <c r="MM697" s="5"/>
      <c r="MN697" s="5"/>
      <c r="MO697" s="5"/>
      <c r="MP697" s="5"/>
      <c r="MQ697" s="5"/>
      <c r="MR697" s="5"/>
      <c r="MS697" s="5"/>
      <c r="MT697" s="5"/>
      <c r="MU697" s="5"/>
      <c r="MV697" s="5"/>
      <c r="MW697" s="5"/>
      <c r="MX697" s="5"/>
      <c r="MY697" s="5"/>
      <c r="MZ697" s="5"/>
      <c r="NA697" s="5"/>
      <c r="NB697" s="5"/>
      <c r="NC697" s="5"/>
      <c r="ND697" s="5"/>
      <c r="NE697" s="5"/>
      <c r="NF697" s="5"/>
      <c r="NG697" s="5"/>
      <c r="NH697" s="5"/>
      <c r="NI697" s="5"/>
      <c r="NJ697" s="5"/>
      <c r="NK697" s="5"/>
      <c r="NL697" s="5"/>
      <c r="NM697" s="5"/>
      <c r="NN697" s="5"/>
      <c r="NO697" s="5"/>
      <c r="NP697" s="5"/>
      <c r="NQ697" s="5"/>
      <c r="NR697" s="5"/>
      <c r="NS697" s="5"/>
      <c r="NT697" s="5"/>
      <c r="NU697" s="5"/>
      <c r="NV697" s="5"/>
      <c r="NW697" s="5"/>
      <c r="NX697" s="5"/>
      <c r="NY697" s="5"/>
      <c r="NZ697" s="5"/>
      <c r="OA697" s="5"/>
      <c r="OB697" s="5"/>
      <c r="OC697" s="5"/>
      <c r="OD697" s="5"/>
      <c r="OE697" s="5"/>
      <c r="OF697" s="5"/>
      <c r="OG697" s="5"/>
      <c r="OH697" s="5"/>
      <c r="OI697" s="5"/>
      <c r="OJ697" s="5"/>
      <c r="OK697" s="5"/>
      <c r="OL697" s="5"/>
      <c r="OM697" s="5"/>
      <c r="ON697" s="5"/>
      <c r="OO697" s="5"/>
      <c r="OP697" s="5"/>
      <c r="OQ697" s="5"/>
      <c r="OR697" s="5"/>
      <c r="OS697" s="5"/>
      <c r="OT697" s="5"/>
      <c r="OU697" s="5"/>
      <c r="OV697" s="5"/>
      <c r="OW697" s="5"/>
      <c r="OX697" s="5"/>
      <c r="OY697" s="5"/>
      <c r="OZ697" s="5"/>
      <c r="PA697" s="5"/>
      <c r="PB697" s="5"/>
      <c r="PC697" s="5"/>
      <c r="PD697" s="5"/>
      <c r="PE697" s="5"/>
      <c r="PF697" s="5"/>
      <c r="PG697" s="5"/>
      <c r="PH697" s="5"/>
      <c r="PI697" s="5"/>
      <c r="PJ697" s="5"/>
      <c r="PK697" s="5"/>
      <c r="PL697" s="5"/>
      <c r="PM697" s="5"/>
      <c r="PN697" s="5"/>
      <c r="PO697" s="5"/>
      <c r="PP697" s="5"/>
      <c r="PQ697" s="5"/>
      <c r="PR697" s="5"/>
      <c r="PS697" s="5"/>
      <c r="PT697" s="5"/>
      <c r="PU697" s="5"/>
      <c r="PV697" s="5"/>
      <c r="PW697" s="5"/>
      <c r="PX697" s="5"/>
      <c r="PY697" s="5"/>
      <c r="PZ697" s="5"/>
      <c r="QA697" s="5"/>
      <c r="QB697" s="5"/>
      <c r="QC697" s="5"/>
      <c r="QD697" s="5"/>
      <c r="QE697" s="5"/>
      <c r="QF697" s="5"/>
      <c r="QG697" s="5"/>
      <c r="QH697" s="5"/>
      <c r="QI697" s="5"/>
      <c r="QJ697" s="5"/>
      <c r="QK697" s="5"/>
      <c r="QL697" s="5"/>
      <c r="QM697" s="5"/>
      <c r="QN697" s="5"/>
      <c r="QO697" s="5"/>
      <c r="QP697" s="5"/>
      <c r="QQ697" s="5"/>
      <c r="QR697" s="5"/>
      <c r="QS697" s="5"/>
      <c r="QT697" s="5"/>
      <c r="QU697" s="5"/>
      <c r="QV697" s="5"/>
      <c r="QW697" s="5"/>
      <c r="QX697" s="5"/>
      <c r="QY697" s="5"/>
      <c r="QZ697" s="5"/>
      <c r="RA697" s="5"/>
      <c r="RB697" s="5"/>
      <c r="RC697" s="5"/>
      <c r="RD697" s="5"/>
      <c r="RE697" s="5"/>
      <c r="RF697" s="5"/>
      <c r="RG697" s="5"/>
      <c r="RH697" s="5"/>
      <c r="RI697" s="5"/>
      <c r="RJ697" s="5"/>
      <c r="RK697" s="5"/>
      <c r="RL697" s="5"/>
      <c r="RM697" s="5"/>
      <c r="RN697" s="5"/>
      <c r="RO697" s="5"/>
      <c r="RP697" s="5"/>
      <c r="RQ697" s="5"/>
      <c r="RR697" s="5"/>
      <c r="RS697" s="5"/>
      <c r="RT697" s="5"/>
      <c r="RU697" s="5"/>
      <c r="RV697" s="5"/>
      <c r="RW697" s="5"/>
      <c r="RX697" s="5"/>
      <c r="RY697" s="5"/>
      <c r="RZ697" s="5"/>
      <c r="SA697" s="5"/>
      <c r="SB697" s="5"/>
      <c r="SC697" s="5"/>
      <c r="SD697" s="5"/>
      <c r="SE697" s="5"/>
      <c r="SF697" s="5"/>
      <c r="SG697" s="5"/>
      <c r="SH697" s="5"/>
      <c r="SI697" s="5"/>
      <c r="SJ697" s="5"/>
      <c r="SK697" s="5"/>
      <c r="SL697" s="5"/>
      <c r="SM697" s="5"/>
      <c r="SN697" s="5"/>
      <c r="SO697" s="5"/>
      <c r="SP697" s="5"/>
      <c r="SQ697" s="5"/>
      <c r="SR697" s="5"/>
      <c r="SS697" s="5"/>
      <c r="ST697" s="5"/>
      <c r="SU697" s="5"/>
      <c r="SV697" s="5"/>
      <c r="SW697" s="5"/>
      <c r="SX697" s="5"/>
      <c r="SY697" s="5"/>
      <c r="SZ697" s="5"/>
      <c r="TA697" s="5"/>
      <c r="TB697" s="5"/>
      <c r="TC697" s="5"/>
      <c r="TD697" s="5"/>
      <c r="TE697" s="5"/>
      <c r="TF697" s="5"/>
      <c r="TG697" s="5"/>
      <c r="TH697" s="5"/>
      <c r="TI697" s="5"/>
      <c r="TJ697" s="5"/>
      <c r="TK697" s="5"/>
      <c r="TL697" s="5"/>
      <c r="TM697" s="5"/>
      <c r="TN697" s="5"/>
      <c r="TO697" s="5"/>
      <c r="TP697" s="5"/>
      <c r="TQ697" s="5"/>
      <c r="TR697" s="5"/>
      <c r="TS697" s="5"/>
      <c r="TT697" s="5"/>
      <c r="TU697" s="5"/>
      <c r="TV697" s="5"/>
      <c r="TW697" s="5"/>
      <c r="TX697" s="5"/>
      <c r="TY697" s="5"/>
      <c r="TZ697" s="5"/>
      <c r="UA697" s="5"/>
      <c r="UB697" s="5"/>
      <c r="UC697" s="5"/>
      <c r="UD697" s="5"/>
      <c r="UE697" s="5"/>
      <c r="UF697" s="5"/>
      <c r="UG697" s="5"/>
      <c r="UH697" s="5"/>
      <c r="UI697" s="5"/>
      <c r="UJ697" s="5"/>
      <c r="UK697" s="5"/>
      <c r="UL697" s="5"/>
      <c r="UM697" s="5"/>
      <c r="UN697" s="5"/>
      <c r="UO697" s="5"/>
      <c r="UP697" s="5"/>
      <c r="UQ697" s="5"/>
      <c r="UR697" s="5"/>
      <c r="US697" s="5"/>
      <c r="UT697" s="5"/>
      <c r="UU697" s="5"/>
      <c r="UV697" s="5"/>
      <c r="UW697" s="5"/>
      <c r="UX697" s="5"/>
      <c r="UY697" s="5"/>
      <c r="UZ697" s="5"/>
      <c r="VA697" s="5"/>
      <c r="VB697" s="5"/>
      <c r="VC697" s="5"/>
      <c r="VD697" s="5"/>
      <c r="VE697" s="5"/>
      <c r="VF697" s="5"/>
      <c r="VG697" s="5"/>
      <c r="VH697" s="5"/>
      <c r="VI697" s="5"/>
      <c r="VJ697" s="5"/>
      <c r="VK697" s="5"/>
      <c r="VL697" s="5"/>
      <c r="VM697" s="5"/>
      <c r="VN697" s="5"/>
      <c r="VO697" s="5"/>
      <c r="VP697" s="5"/>
      <c r="VQ697" s="5"/>
      <c r="VR697" s="5"/>
      <c r="VS697" s="5"/>
      <c r="VT697" s="5"/>
      <c r="VU697" s="5"/>
      <c r="VV697" s="5"/>
      <c r="VW697" s="5"/>
      <c r="VX697" s="5"/>
      <c r="VY697" s="5"/>
      <c r="VZ697" s="5"/>
      <c r="WA697" s="5"/>
      <c r="WB697" s="5"/>
      <c r="WC697" s="5"/>
      <c r="WD697" s="5"/>
      <c r="WE697" s="5"/>
      <c r="WF697" s="5"/>
      <c r="WG697" s="5"/>
      <c r="WH697" s="5"/>
      <c r="WI697" s="5"/>
      <c r="WJ697" s="5"/>
      <c r="WK697" s="5"/>
      <c r="WL697" s="5"/>
      <c r="WM697" s="5"/>
      <c r="WN697" s="5"/>
      <c r="WO697" s="5"/>
      <c r="WP697" s="5"/>
      <c r="WQ697" s="5"/>
      <c r="WR697" s="5"/>
      <c r="WS697" s="5"/>
      <c r="WT697" s="5"/>
      <c r="WU697" s="5"/>
      <c r="WV697" s="5"/>
      <c r="WW697" s="5"/>
      <c r="WX697" s="5"/>
      <c r="WY697" s="5"/>
      <c r="WZ697" s="5"/>
      <c r="XA697" s="5"/>
      <c r="XB697" s="5"/>
      <c r="XC697" s="5"/>
      <c r="XD697" s="5"/>
      <c r="XE697" s="5"/>
      <c r="XF697" s="5"/>
      <c r="XG697" s="5"/>
      <c r="XH697" s="5"/>
      <c r="XI697" s="5"/>
      <c r="XJ697" s="5"/>
      <c r="XK697" s="5"/>
      <c r="XL697" s="5"/>
      <c r="XM697" s="5"/>
      <c r="XN697" s="5"/>
      <c r="XO697" s="5"/>
      <c r="XP697" s="5"/>
      <c r="XQ697" s="5"/>
      <c r="XR697" s="5"/>
      <c r="XS697" s="5"/>
      <c r="XT697" s="5"/>
      <c r="XU697" s="5"/>
      <c r="XV697" s="5"/>
      <c r="XW697" s="5"/>
      <c r="XX697" s="5"/>
      <c r="XY697" s="5"/>
      <c r="XZ697" s="5"/>
      <c r="YA697" s="5"/>
      <c r="YB697" s="5"/>
      <c r="YC697" s="5"/>
      <c r="YD697" s="5"/>
      <c r="YE697" s="5"/>
      <c r="YF697" s="5"/>
      <c r="YG697" s="5"/>
      <c r="YH697" s="5"/>
      <c r="YI697" s="5"/>
      <c r="YJ697" s="5"/>
      <c r="YK697" s="5"/>
      <c r="YL697" s="5"/>
      <c r="YM697" s="5"/>
      <c r="YN697" s="5"/>
      <c r="YO697" s="5"/>
      <c r="YP697" s="5"/>
      <c r="YQ697" s="5"/>
      <c r="YR697" s="5"/>
      <c r="YS697" s="5"/>
      <c r="YT697" s="5"/>
      <c r="YU697" s="5"/>
      <c r="YV697" s="5"/>
      <c r="YW697" s="5"/>
      <c r="YX697" s="5"/>
      <c r="YY697" s="5"/>
      <c r="YZ697" s="5"/>
      <c r="ZA697" s="5"/>
      <c r="ZB697" s="5"/>
      <c r="ZC697" s="5"/>
      <c r="ZD697" s="5"/>
      <c r="ZE697" s="5"/>
      <c r="ZF697" s="5"/>
      <c r="ZG697" s="5"/>
      <c r="ZH697" s="5"/>
      <c r="ZI697" s="5"/>
      <c r="ZJ697" s="5"/>
      <c r="ZK697" s="5"/>
      <c r="ZL697" s="5"/>
      <c r="ZM697" s="5"/>
      <c r="ZN697" s="5"/>
      <c r="ZO697" s="5"/>
      <c r="ZP697" s="5"/>
      <c r="ZQ697" s="5"/>
      <c r="ZR697" s="5"/>
      <c r="ZS697" s="5"/>
      <c r="ZT697" s="5"/>
      <c r="ZU697" s="5"/>
      <c r="ZV697" s="5"/>
      <c r="ZW697" s="5"/>
      <c r="ZX697" s="5"/>
      <c r="ZY697" s="5"/>
      <c r="ZZ697" s="5"/>
      <c r="AAA697" s="5"/>
      <c r="AAB697" s="5"/>
      <c r="AAC697" s="5"/>
      <c r="AAD697" s="5"/>
      <c r="AAE697" s="5"/>
      <c r="AAF697" s="5"/>
      <c r="AAG697" s="5"/>
      <c r="AAH697" s="5"/>
      <c r="AAI697" s="5"/>
      <c r="AAJ697" s="5"/>
      <c r="AAK697" s="5"/>
      <c r="AAL697" s="5"/>
      <c r="AAM697" s="5"/>
      <c r="AAN697" s="5"/>
      <c r="AAO697" s="5"/>
      <c r="AAP697" s="5"/>
      <c r="AAQ697" s="5"/>
      <c r="AAR697" s="5"/>
      <c r="AAS697" s="5"/>
      <c r="AAT697" s="5"/>
      <c r="AAU697" s="5"/>
      <c r="AAV697" s="5"/>
      <c r="AAW697" s="5"/>
      <c r="AAX697" s="5"/>
      <c r="AAY697" s="5"/>
      <c r="AAZ697" s="5"/>
      <c r="ABA697" s="5"/>
      <c r="ABB697" s="5"/>
      <c r="ABC697" s="5"/>
      <c r="ABD697" s="5"/>
      <c r="ABE697" s="5"/>
      <c r="ABF697" s="5"/>
      <c r="ABG697" s="5"/>
      <c r="ABH697" s="5"/>
      <c r="ABI697" s="5"/>
      <c r="ABJ697" s="5"/>
      <c r="ABK697" s="5"/>
      <c r="ABL697" s="5"/>
      <c r="ABM697" s="5"/>
      <c r="ABN697" s="5"/>
      <c r="ABO697" s="5"/>
      <c r="ABP697" s="5"/>
      <c r="ABQ697" s="5"/>
      <c r="ABR697" s="5"/>
      <c r="ABS697" s="5"/>
      <c r="ABT697" s="5"/>
      <c r="ABU697" s="5"/>
      <c r="ABV697" s="5"/>
      <c r="ABW697" s="5"/>
      <c r="ABX697" s="5"/>
      <c r="ABY697" s="5"/>
      <c r="ABZ697" s="5"/>
      <c r="ACA697" s="5"/>
      <c r="ACB697" s="5"/>
      <c r="ACC697" s="5"/>
      <c r="ACD697" s="5"/>
      <c r="ACE697" s="5"/>
      <c r="ACF697" s="5"/>
      <c r="ACG697" s="5"/>
      <c r="ACH697" s="5"/>
      <c r="ACI697" s="5"/>
      <c r="ACJ697" s="5"/>
      <c r="ACK697" s="5"/>
      <c r="ACL697" s="5"/>
      <c r="ACM697" s="5"/>
      <c r="ACN697" s="5"/>
      <c r="ACO697" s="5"/>
      <c r="ACP697" s="5"/>
      <c r="ACQ697" s="5"/>
      <c r="ACR697" s="5"/>
      <c r="ACS697" s="5"/>
      <c r="ACT697" s="5"/>
      <c r="ACU697" s="5"/>
      <c r="ACV697" s="5"/>
      <c r="ACW697" s="5"/>
      <c r="ACX697" s="5"/>
      <c r="ACY697" s="5"/>
      <c r="ACZ697" s="5"/>
      <c r="ADA697" s="5"/>
      <c r="ADB697" s="5"/>
      <c r="ADC697" s="5"/>
      <c r="ADD697" s="5"/>
      <c r="ADE697" s="5"/>
      <c r="ADF697" s="5"/>
      <c r="ADG697" s="5"/>
      <c r="ADH697" s="5"/>
      <c r="ADI697" s="5"/>
      <c r="ADJ697" s="5"/>
      <c r="ADK697" s="5"/>
      <c r="ADL697" s="5"/>
      <c r="ADM697" s="5"/>
      <c r="ADN697" s="5"/>
      <c r="ADO697" s="5"/>
      <c r="ADP697" s="5"/>
      <c r="ADQ697" s="5"/>
      <c r="ADR697" s="5"/>
      <c r="ADS697" s="5"/>
      <c r="ADT697" s="5"/>
      <c r="ADU697" s="5"/>
      <c r="ADV697" s="5"/>
      <c r="ADW697" s="5"/>
      <c r="ADX697" s="5"/>
      <c r="ADY697" s="5"/>
      <c r="ADZ697" s="5"/>
      <c r="AEA697" s="5"/>
      <c r="AEB697" s="5"/>
      <c r="AEC697" s="5"/>
      <c r="AED697" s="5"/>
      <c r="AEE697" s="5"/>
      <c r="AEF697" s="5"/>
      <c r="AEG697" s="5"/>
      <c r="AEH697" s="5"/>
      <c r="AEI697" s="5"/>
      <c r="AEJ697" s="5"/>
      <c r="AEK697" s="5"/>
      <c r="AEL697" s="5"/>
      <c r="AEM697" s="5"/>
      <c r="AEN697" s="5"/>
      <c r="AEO697" s="5"/>
      <c r="AEP697" s="5"/>
      <c r="AEQ697" s="5"/>
      <c r="AER697" s="5"/>
      <c r="AES697" s="5"/>
      <c r="AET697" s="5"/>
      <c r="AEU697" s="5"/>
      <c r="AEV697" s="5"/>
      <c r="AEW697" s="5"/>
      <c r="AEX697" s="5"/>
      <c r="AEY697" s="5"/>
      <c r="AEZ697" s="5"/>
      <c r="AFA697" s="5"/>
      <c r="AFB697" s="5"/>
      <c r="AFC697" s="5"/>
      <c r="AFD697" s="5"/>
      <c r="AFE697" s="5"/>
      <c r="AFF697" s="5"/>
      <c r="AFG697" s="5"/>
      <c r="AFH697" s="5"/>
      <c r="AFI697" s="5"/>
      <c r="AFJ697" s="5"/>
      <c r="AFK697" s="5"/>
      <c r="AFL697" s="5"/>
      <c r="AFM697" s="5"/>
      <c r="AFN697" s="5"/>
      <c r="AFO697" s="5"/>
      <c r="AFP697" s="5"/>
      <c r="AFQ697" s="5"/>
      <c r="AFR697" s="5"/>
      <c r="AFS697" s="5"/>
      <c r="AFT697" s="5"/>
      <c r="AFU697" s="5"/>
      <c r="AFV697" s="5"/>
      <c r="AFW697" s="5"/>
      <c r="AFX697" s="5"/>
      <c r="AFY697" s="5"/>
      <c r="AFZ697" s="5"/>
      <c r="AGA697" s="5"/>
      <c r="AGB697" s="5"/>
      <c r="AGC697" s="5"/>
      <c r="AGD697" s="5"/>
      <c r="AGE697" s="5"/>
      <c r="AGF697" s="5"/>
      <c r="AGG697" s="5"/>
      <c r="AGH697" s="5"/>
      <c r="AGI697" s="5"/>
      <c r="AGJ697" s="5"/>
      <c r="AGK697" s="5"/>
      <c r="AGL697" s="5"/>
      <c r="AGM697" s="5"/>
      <c r="AGN697" s="5"/>
      <c r="AGO697" s="5"/>
      <c r="AGP697" s="5"/>
      <c r="AGQ697" s="5"/>
      <c r="AGR697" s="5"/>
      <c r="AGS697" s="5"/>
      <c r="AGT697" s="5"/>
      <c r="AGU697" s="5"/>
      <c r="AGV697" s="5"/>
      <c r="AGW697" s="5"/>
      <c r="AGX697" s="5"/>
      <c r="AGY697" s="5"/>
      <c r="AGZ697" s="5"/>
      <c r="AHA697" s="5"/>
      <c r="AHB697" s="5"/>
      <c r="AHC697" s="5"/>
      <c r="AHD697" s="5"/>
      <c r="AHE697" s="5"/>
      <c r="AHF697" s="5"/>
      <c r="AHG697" s="5"/>
      <c r="AHH697" s="5"/>
      <c r="AHI697" s="5"/>
      <c r="AHJ697" s="5"/>
      <c r="AHK697" s="5"/>
      <c r="AHL697" s="5"/>
      <c r="AHM697" s="5"/>
      <c r="AHN697" s="5"/>
      <c r="AHO697" s="5"/>
      <c r="AHP697" s="5"/>
      <c r="AHQ697" s="5"/>
      <c r="AHR697" s="5"/>
      <c r="AHS697" s="5"/>
      <c r="AHT697" s="5"/>
      <c r="AHU697" s="5"/>
      <c r="AHV697" s="5"/>
      <c r="AHW697" s="5"/>
      <c r="AHX697" s="5"/>
      <c r="AHY697" s="5"/>
      <c r="AHZ697" s="5"/>
      <c r="AIA697" s="5"/>
      <c r="AIB697" s="5"/>
      <c r="AIC697" s="5"/>
      <c r="AID697" s="5"/>
      <c r="AIE697" s="5"/>
      <c r="AIF697" s="5"/>
      <c r="AIG697" s="5"/>
      <c r="AIH697" s="5"/>
      <c r="AII697" s="5"/>
      <c r="AIJ697" s="5"/>
      <c r="AIK697" s="5"/>
      <c r="AIL697" s="5"/>
      <c r="AIM697" s="5"/>
      <c r="AIN697" s="5"/>
      <c r="AIO697" s="5"/>
      <c r="AIP697" s="5"/>
      <c r="AIQ697" s="5"/>
      <c r="AIR697" s="5"/>
      <c r="AIS697" s="5"/>
      <c r="AIT697" s="5"/>
      <c r="AIU697" s="5"/>
      <c r="AIV697" s="5"/>
      <c r="AIW697" s="5"/>
      <c r="AIX697" s="5"/>
      <c r="AIY697" s="5"/>
      <c r="AIZ697" s="5"/>
      <c r="AJA697" s="5"/>
      <c r="AJB697" s="5"/>
      <c r="AJC697" s="5"/>
      <c r="AJD697" s="5"/>
      <c r="AJE697" s="5"/>
      <c r="AJF697" s="5"/>
      <c r="AJG697" s="5"/>
      <c r="AJH697" s="5"/>
      <c r="AJI697" s="5"/>
      <c r="AJJ697" s="5"/>
      <c r="AJK697" s="5"/>
      <c r="AJL697" s="5"/>
      <c r="AJM697" s="5"/>
      <c r="AJN697" s="5"/>
      <c r="AJO697" s="5"/>
      <c r="AJP697" s="5"/>
      <c r="AJQ697" s="5"/>
      <c r="AJR697" s="5"/>
      <c r="AJS697" s="5"/>
      <c r="AJT697" s="5"/>
      <c r="AJU697" s="5"/>
      <c r="AJV697" s="5"/>
      <c r="AJW697" s="5"/>
      <c r="AJX697" s="5"/>
      <c r="AJY697" s="5"/>
      <c r="AJZ697" s="5"/>
      <c r="AKA697" s="5"/>
      <c r="AKB697" s="5"/>
      <c r="AKC697" s="5"/>
      <c r="AKD697" s="5"/>
      <c r="AKE697" s="5"/>
      <c r="AKF697" s="5"/>
      <c r="AKG697" s="5"/>
      <c r="AKH697" s="5"/>
      <c r="AKI697" s="5"/>
      <c r="AKJ697" s="5"/>
      <c r="AKK697" s="5"/>
      <c r="AKL697" s="5"/>
      <c r="AKM697" s="5"/>
      <c r="AKN697" s="5"/>
      <c r="AKO697" s="5"/>
      <c r="AKP697" s="5"/>
      <c r="AKQ697" s="5"/>
      <c r="AKR697" s="5"/>
      <c r="AKS697" s="5"/>
      <c r="AKT697" s="5"/>
      <c r="AKU697" s="5"/>
      <c r="AKV697" s="5"/>
      <c r="AKW697" s="5"/>
      <c r="AKX697" s="5"/>
      <c r="AKY697" s="5"/>
      <c r="AKZ697" s="5"/>
      <c r="ALA697" s="5"/>
      <c r="ALB697" s="5"/>
      <c r="ALC697" s="5"/>
      <c r="ALD697" s="5"/>
      <c r="ALE697" s="5"/>
      <c r="ALF697" s="5"/>
      <c r="ALG697" s="5"/>
      <c r="ALH697" s="5"/>
      <c r="ALI697" s="5"/>
      <c r="ALJ697" s="5"/>
      <c r="ALK697" s="5"/>
      <c r="ALL697" s="5"/>
      <c r="ALM697" s="5"/>
      <c r="ALN697" s="5"/>
      <c r="ALO697" s="5"/>
      <c r="ALP697" s="5"/>
      <c r="ALQ697" s="5"/>
      <c r="ALR697" s="5"/>
      <c r="ALS697" s="5"/>
      <c r="ALT697" s="5"/>
      <c r="ALU697" s="5"/>
      <c r="ALV697" s="5"/>
      <c r="ALW697" s="5"/>
      <c r="ALX697" s="5"/>
      <c r="ALY697" s="5"/>
      <c r="ALZ697" s="5"/>
      <c r="AMA697" s="5"/>
      <c r="AMB697" s="5"/>
      <c r="AMC697" s="5"/>
      <c r="AMD697" s="5"/>
      <c r="AME697" s="5"/>
      <c r="AMF697" s="5"/>
      <c r="AMG697" s="5"/>
      <c r="AMH697" s="5"/>
      <c r="AMI697" s="5"/>
      <c r="AMJ697" s="5"/>
      <c r="AMK697" s="5"/>
      <c r="AML697" s="5"/>
      <c r="AMM697" s="5"/>
      <c r="AMN697" s="5"/>
      <c r="AMO697" s="5"/>
      <c r="AMP697" s="5"/>
      <c r="AMQ697" s="5"/>
      <c r="AMR697" s="5"/>
      <c r="AMS697" s="5"/>
      <c r="AMT697" s="5"/>
      <c r="AMU697" s="5"/>
      <c r="AMV697" s="5"/>
      <c r="AMW697" s="5"/>
      <c r="AMX697" s="5"/>
      <c r="AMY697" s="5"/>
      <c r="AMZ697" s="5"/>
      <c r="ANA697" s="5"/>
      <c r="ANB697" s="5"/>
      <c r="ANC697" s="5"/>
      <c r="AND697" s="5"/>
      <c r="ANE697" s="5"/>
      <c r="ANF697" s="5"/>
      <c r="ANG697" s="5"/>
      <c r="ANH697" s="5"/>
      <c r="ANI697" s="5"/>
      <c r="ANJ697" s="5"/>
      <c r="ANK697" s="5"/>
      <c r="ANL697" s="5"/>
      <c r="ANM697" s="5"/>
      <c r="ANN697" s="5"/>
      <c r="ANO697" s="5"/>
      <c r="ANP697" s="5"/>
      <c r="ANQ697" s="5"/>
      <c r="ANR697" s="5"/>
      <c r="ANS697" s="5"/>
      <c r="ANT697" s="5"/>
      <c r="ANU697" s="5"/>
      <c r="ANV697" s="5"/>
      <c r="ANW697" s="5"/>
      <c r="ANX697" s="5"/>
      <c r="ANY697" s="5"/>
      <c r="ANZ697" s="5"/>
      <c r="AOA697" s="5"/>
      <c r="AOB697" s="5"/>
      <c r="AOC697" s="5"/>
      <c r="AOD697" s="5"/>
      <c r="AOE697" s="5"/>
      <c r="AOF697" s="5"/>
      <c r="AOG697" s="5"/>
      <c r="AOH697" s="5"/>
      <c r="AOI697" s="5"/>
      <c r="AOJ697" s="5"/>
      <c r="AOK697" s="5"/>
      <c r="AOL697" s="5"/>
      <c r="AOM697" s="5"/>
      <c r="AON697" s="5"/>
      <c r="AOO697" s="5"/>
      <c r="AOP697" s="5"/>
      <c r="AOQ697" s="5"/>
      <c r="AOR697" s="5"/>
      <c r="AOS697" s="5"/>
      <c r="AOT697" s="5"/>
      <c r="AOU697" s="5"/>
      <c r="AOV697" s="5"/>
      <c r="AOW697" s="5"/>
      <c r="AOX697" s="5"/>
      <c r="AOY697" s="5"/>
      <c r="AOZ697" s="5"/>
      <c r="APA697" s="5"/>
      <c r="APB697" s="5"/>
      <c r="APC697" s="5"/>
      <c r="APD697" s="5"/>
      <c r="APE697" s="5"/>
      <c r="APF697" s="5"/>
      <c r="APG697" s="5"/>
      <c r="APH697" s="5"/>
      <c r="API697" s="5"/>
      <c r="APJ697" s="5"/>
      <c r="APK697" s="5"/>
      <c r="APL697" s="5"/>
      <c r="APM697" s="5"/>
      <c r="APN697" s="5"/>
      <c r="APO697" s="5"/>
      <c r="APP697" s="5"/>
      <c r="APQ697" s="5"/>
      <c r="APR697" s="5"/>
      <c r="APS697" s="5"/>
      <c r="APT697" s="5"/>
      <c r="APU697" s="5"/>
      <c r="APV697" s="5"/>
      <c r="APW697" s="5"/>
      <c r="APX697" s="5"/>
      <c r="APY697" s="5"/>
      <c r="APZ697" s="5"/>
      <c r="AQA697" s="5"/>
      <c r="AQB697" s="5"/>
      <c r="AQC697" s="5"/>
      <c r="AQD697" s="5"/>
      <c r="AQE697" s="5"/>
      <c r="AQF697" s="5"/>
      <c r="AQG697" s="5"/>
      <c r="AQH697" s="5"/>
      <c r="AQI697" s="5"/>
      <c r="AQJ697" s="5"/>
      <c r="AQK697" s="5"/>
      <c r="AQL697" s="5"/>
      <c r="AQM697" s="5"/>
      <c r="AQN697" s="5"/>
      <c r="AQO697" s="5"/>
      <c r="AQP697" s="5"/>
      <c r="AQQ697" s="5"/>
      <c r="AQR697" s="5"/>
      <c r="AQS697" s="5"/>
      <c r="AQT697" s="5"/>
      <c r="AQU697" s="5"/>
      <c r="AQV697" s="5"/>
      <c r="AQW697" s="5"/>
      <c r="AQX697" s="5"/>
      <c r="AQY697" s="5"/>
      <c r="AQZ697" s="5"/>
      <c r="ARA697" s="5"/>
      <c r="ARB697" s="5"/>
      <c r="ARC697" s="5"/>
      <c r="ARD697" s="5"/>
      <c r="ARE697" s="5"/>
      <c r="ARF697" s="5"/>
      <c r="ARG697" s="5"/>
      <c r="ARH697" s="5"/>
      <c r="ARI697" s="5"/>
      <c r="ARJ697" s="5"/>
      <c r="ARK697" s="5"/>
      <c r="ARL697" s="5"/>
      <c r="ARM697" s="5"/>
      <c r="ARN697" s="5"/>
      <c r="ARO697" s="5"/>
      <c r="ARP697" s="5"/>
      <c r="ARQ697" s="5"/>
      <c r="ARR697" s="5"/>
      <c r="ARS697" s="5"/>
      <c r="ART697" s="5"/>
      <c r="ARU697" s="5"/>
      <c r="ARV697" s="5"/>
      <c r="ARW697" s="5"/>
      <c r="ARX697" s="5"/>
      <c r="ARY697" s="5"/>
      <c r="ARZ697" s="5"/>
      <c r="ASA697" s="5"/>
      <c r="ASB697" s="5"/>
      <c r="ASC697" s="5"/>
      <c r="ASD697" s="5"/>
      <c r="ASE697" s="5"/>
      <c r="ASF697" s="5"/>
      <c r="ASG697" s="5"/>
      <c r="ASH697" s="5"/>
      <c r="ASI697" s="5"/>
      <c r="ASJ697" s="5"/>
      <c r="ASK697" s="5"/>
      <c r="ASL697" s="5"/>
      <c r="ASM697" s="5"/>
      <c r="ASN697" s="5"/>
      <c r="ASO697" s="5"/>
      <c r="ASP697" s="5"/>
      <c r="ASQ697" s="5"/>
      <c r="ASR697" s="5"/>
      <c r="ASS697" s="5"/>
      <c r="AST697" s="5"/>
      <c r="ASU697" s="5"/>
      <c r="ASV697" s="5"/>
      <c r="ASW697" s="5"/>
      <c r="ASX697" s="5"/>
      <c r="ASY697" s="5"/>
      <c r="ASZ697" s="5"/>
      <c r="ATA697" s="5"/>
      <c r="ATB697" s="5"/>
      <c r="ATC697" s="5"/>
      <c r="ATD697" s="5"/>
      <c r="ATE697" s="5"/>
      <c r="ATF697" s="5"/>
      <c r="ATG697" s="5"/>
      <c r="ATH697" s="5"/>
      <c r="ATI697" s="5"/>
      <c r="ATJ697" s="5"/>
      <c r="ATK697" s="5"/>
      <c r="ATL697" s="5"/>
      <c r="ATM697" s="5"/>
      <c r="ATN697" s="5"/>
      <c r="ATO697" s="5"/>
      <c r="ATP697" s="5"/>
      <c r="ATQ697" s="5"/>
      <c r="ATR697" s="5"/>
      <c r="ATS697" s="5"/>
      <c r="ATT697" s="5"/>
      <c r="ATU697" s="5"/>
      <c r="ATV697" s="5"/>
      <c r="ATW697" s="5"/>
      <c r="ATX697" s="5"/>
    </row>
    <row r="698" spans="1:1220" s="9" customFormat="1" ht="12.75" customHeight="1" x14ac:dyDescent="0.35">
      <c r="A698" s="76" t="s">
        <v>229</v>
      </c>
      <c r="B698" s="99" t="s">
        <v>99</v>
      </c>
      <c r="C698" s="76" t="s">
        <v>2598</v>
      </c>
      <c r="D698" s="142" t="s">
        <v>2598</v>
      </c>
      <c r="E698" s="76"/>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c r="DX698" s="5"/>
      <c r="DY698" s="5"/>
      <c r="DZ698" s="5"/>
      <c r="EA698" s="5"/>
      <c r="EB698" s="5"/>
      <c r="EC698" s="5"/>
      <c r="ED698" s="5"/>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s="5"/>
      <c r="FG698" s="5"/>
      <c r="FH698" s="5"/>
      <c r="FI698" s="5"/>
      <c r="FJ698" s="5"/>
      <c r="FK698" s="5"/>
      <c r="FL698" s="5"/>
      <c r="FM698" s="5"/>
      <c r="FN698" s="5"/>
      <c r="FO698" s="5"/>
      <c r="FP698" s="5"/>
      <c r="FQ698" s="5"/>
      <c r="FR698" s="5"/>
      <c r="FS698" s="5"/>
      <c r="FT698" s="5"/>
      <c r="FU698" s="5"/>
      <c r="FV698" s="5"/>
      <c r="FW698" s="5"/>
      <c r="FX698" s="5"/>
      <c r="FY698" s="5"/>
      <c r="FZ698" s="5"/>
      <c r="GA698" s="5"/>
      <c r="GB698" s="5"/>
      <c r="GC698" s="5"/>
      <c r="GD698" s="5"/>
      <c r="GE698" s="5"/>
      <c r="GF698" s="5"/>
      <c r="GG698" s="5"/>
      <c r="GH698" s="5"/>
      <c r="GI698" s="5"/>
      <c r="GJ698" s="5"/>
      <c r="GK698" s="5"/>
      <c r="GL698" s="5"/>
      <c r="GM698" s="5"/>
      <c r="GN698" s="5"/>
      <c r="GO698" s="5"/>
      <c r="GP698" s="5"/>
      <c r="GQ698" s="5"/>
      <c r="GR698" s="5"/>
      <c r="GS698" s="5"/>
      <c r="GT698" s="5"/>
      <c r="GU698" s="5"/>
      <c r="GV698" s="5"/>
      <c r="GW698" s="5"/>
      <c r="GX698" s="5"/>
      <c r="GY698" s="5"/>
      <c r="GZ698" s="5"/>
      <c r="HA698" s="5"/>
      <c r="HB698" s="5"/>
      <c r="HC698" s="5"/>
      <c r="HD698" s="5"/>
      <c r="HE698" s="5"/>
      <c r="HF698" s="5"/>
      <c r="HG698" s="5"/>
      <c r="HH698" s="5"/>
      <c r="HI698" s="5"/>
      <c r="HJ698" s="5"/>
      <c r="HK698" s="5"/>
      <c r="HL698" s="5"/>
      <c r="HM698" s="5"/>
      <c r="HN698" s="5"/>
      <c r="HO698" s="5"/>
      <c r="HP698" s="5"/>
      <c r="HQ698" s="5"/>
      <c r="HR698" s="5"/>
      <c r="HS698" s="5"/>
      <c r="HT698" s="5"/>
      <c r="HU698" s="5"/>
      <c r="HV698" s="5"/>
      <c r="HW698" s="5"/>
      <c r="HX698" s="5"/>
      <c r="HY698" s="5"/>
      <c r="HZ698" s="5"/>
      <c r="IA698" s="5"/>
      <c r="IB698" s="5"/>
      <c r="IC698" s="5"/>
      <c r="ID698" s="5"/>
      <c r="IE698" s="5"/>
      <c r="IF698" s="5"/>
      <c r="IG698" s="5"/>
      <c r="IH698" s="5"/>
      <c r="II698" s="5"/>
      <c r="IJ698" s="5"/>
      <c r="IK698" s="5"/>
      <c r="IL698" s="5"/>
      <c r="IM698" s="5"/>
      <c r="IN698" s="5"/>
      <c r="IO698" s="5"/>
      <c r="IP698" s="5"/>
      <c r="IQ698" s="5"/>
      <c r="IR698" s="5"/>
      <c r="IS698" s="5"/>
      <c r="IT698" s="5"/>
      <c r="IU698" s="5"/>
      <c r="IV698" s="5"/>
      <c r="IW698" s="5"/>
      <c r="IX698" s="5"/>
      <c r="IY698" s="5"/>
      <c r="IZ698" s="5"/>
      <c r="JA698" s="5"/>
      <c r="JB698" s="5"/>
      <c r="JC698" s="5"/>
      <c r="JD698" s="5"/>
      <c r="JE698" s="5"/>
      <c r="JF698" s="5"/>
      <c r="JG698" s="5"/>
      <c r="JH698" s="5"/>
      <c r="JI698" s="5"/>
      <c r="JJ698" s="5"/>
      <c r="JK698" s="5"/>
      <c r="JL698" s="5"/>
      <c r="JM698" s="5"/>
      <c r="JN698" s="5"/>
      <c r="JO698" s="5"/>
      <c r="JP698" s="5"/>
      <c r="JQ698" s="5"/>
      <c r="JR698" s="5"/>
      <c r="JS698" s="5"/>
      <c r="JT698" s="5"/>
      <c r="JU698" s="5"/>
      <c r="JV698" s="5"/>
      <c r="JW698" s="5"/>
      <c r="JX698" s="5"/>
      <c r="JY698" s="5"/>
      <c r="JZ698" s="5"/>
      <c r="KA698" s="5"/>
      <c r="KB698" s="5"/>
      <c r="KC698" s="5"/>
      <c r="KD698" s="5"/>
      <c r="KE698" s="5"/>
      <c r="KF698" s="5"/>
      <c r="KG698" s="5"/>
      <c r="KH698" s="5"/>
      <c r="KI698" s="5"/>
      <c r="KJ698" s="5"/>
      <c r="KK698" s="5"/>
      <c r="KL698" s="5"/>
      <c r="KM698" s="5"/>
      <c r="KN698" s="5"/>
      <c r="KO698" s="5"/>
      <c r="KP698" s="5"/>
      <c r="KQ698" s="5"/>
      <c r="KR698" s="5"/>
      <c r="KS698" s="5"/>
      <c r="KT698" s="5"/>
      <c r="KU698" s="5"/>
      <c r="KV698" s="5"/>
      <c r="KW698" s="5"/>
      <c r="KX698" s="5"/>
      <c r="KY698" s="5"/>
      <c r="KZ698" s="5"/>
      <c r="LA698" s="5"/>
      <c r="LB698" s="5"/>
      <c r="LC698" s="5"/>
      <c r="LD698" s="5"/>
      <c r="LE698" s="5"/>
      <c r="LF698" s="5"/>
      <c r="LG698" s="5"/>
      <c r="LH698" s="5"/>
      <c r="LI698" s="5"/>
      <c r="LJ698" s="5"/>
      <c r="LK698" s="5"/>
      <c r="LL698" s="5"/>
      <c r="LM698" s="5"/>
      <c r="LN698" s="5"/>
      <c r="LO698" s="5"/>
      <c r="LP698" s="5"/>
      <c r="LQ698" s="5"/>
      <c r="LR698" s="5"/>
      <c r="LS698" s="5"/>
      <c r="LT698" s="5"/>
      <c r="LU698" s="5"/>
      <c r="LV698" s="5"/>
      <c r="LW698" s="5"/>
      <c r="LX698" s="5"/>
      <c r="LY698" s="5"/>
      <c r="LZ698" s="5"/>
      <c r="MA698" s="5"/>
      <c r="MB698" s="5"/>
      <c r="MC698" s="5"/>
      <c r="MD698" s="5"/>
      <c r="ME698" s="5"/>
      <c r="MF698" s="5"/>
      <c r="MG698" s="5"/>
      <c r="MH698" s="5"/>
      <c r="MI698" s="5"/>
      <c r="MJ698" s="5"/>
      <c r="MK698" s="5"/>
      <c r="ML698" s="5"/>
      <c r="MM698" s="5"/>
      <c r="MN698" s="5"/>
      <c r="MO698" s="5"/>
      <c r="MP698" s="5"/>
      <c r="MQ698" s="5"/>
      <c r="MR698" s="5"/>
      <c r="MS698" s="5"/>
      <c r="MT698" s="5"/>
      <c r="MU698" s="5"/>
      <c r="MV698" s="5"/>
      <c r="MW698" s="5"/>
      <c r="MX698" s="5"/>
      <c r="MY698" s="5"/>
      <c r="MZ698" s="5"/>
      <c r="NA698" s="5"/>
      <c r="NB698" s="5"/>
      <c r="NC698" s="5"/>
      <c r="ND698" s="5"/>
      <c r="NE698" s="5"/>
      <c r="NF698" s="5"/>
      <c r="NG698" s="5"/>
      <c r="NH698" s="5"/>
      <c r="NI698" s="5"/>
      <c r="NJ698" s="5"/>
      <c r="NK698" s="5"/>
      <c r="NL698" s="5"/>
      <c r="NM698" s="5"/>
      <c r="NN698" s="5"/>
      <c r="NO698" s="5"/>
      <c r="NP698" s="5"/>
      <c r="NQ698" s="5"/>
      <c r="NR698" s="5"/>
      <c r="NS698" s="5"/>
      <c r="NT698" s="5"/>
      <c r="NU698" s="5"/>
      <c r="NV698" s="5"/>
      <c r="NW698" s="5"/>
      <c r="NX698" s="5"/>
      <c r="NY698" s="5"/>
      <c r="NZ698" s="5"/>
      <c r="OA698" s="5"/>
      <c r="OB698" s="5"/>
      <c r="OC698" s="5"/>
      <c r="OD698" s="5"/>
      <c r="OE698" s="5"/>
      <c r="OF698" s="5"/>
      <c r="OG698" s="5"/>
      <c r="OH698" s="5"/>
      <c r="OI698" s="5"/>
      <c r="OJ698" s="5"/>
      <c r="OK698" s="5"/>
      <c r="OL698" s="5"/>
      <c r="OM698" s="5"/>
      <c r="ON698" s="5"/>
      <c r="OO698" s="5"/>
      <c r="OP698" s="5"/>
      <c r="OQ698" s="5"/>
      <c r="OR698" s="5"/>
      <c r="OS698" s="5"/>
      <c r="OT698" s="5"/>
      <c r="OU698" s="5"/>
      <c r="OV698" s="5"/>
      <c r="OW698" s="5"/>
      <c r="OX698" s="5"/>
      <c r="OY698" s="5"/>
      <c r="OZ698" s="5"/>
      <c r="PA698" s="5"/>
      <c r="PB698" s="5"/>
      <c r="PC698" s="5"/>
      <c r="PD698" s="5"/>
      <c r="PE698" s="5"/>
      <c r="PF698" s="5"/>
      <c r="PG698" s="5"/>
      <c r="PH698" s="5"/>
      <c r="PI698" s="5"/>
      <c r="PJ698" s="5"/>
      <c r="PK698" s="5"/>
      <c r="PL698" s="5"/>
      <c r="PM698" s="5"/>
      <c r="PN698" s="5"/>
      <c r="PO698" s="5"/>
      <c r="PP698" s="5"/>
      <c r="PQ698" s="5"/>
      <c r="PR698" s="5"/>
      <c r="PS698" s="5"/>
      <c r="PT698" s="5"/>
      <c r="PU698" s="5"/>
      <c r="PV698" s="5"/>
      <c r="PW698" s="5"/>
      <c r="PX698" s="5"/>
      <c r="PY698" s="5"/>
      <c r="PZ698" s="5"/>
      <c r="QA698" s="5"/>
      <c r="QB698" s="5"/>
      <c r="QC698" s="5"/>
      <c r="QD698" s="5"/>
      <c r="QE698" s="5"/>
      <c r="QF698" s="5"/>
      <c r="QG698" s="5"/>
      <c r="QH698" s="5"/>
      <c r="QI698" s="5"/>
      <c r="QJ698" s="5"/>
      <c r="QK698" s="5"/>
      <c r="QL698" s="5"/>
      <c r="QM698" s="5"/>
      <c r="QN698" s="5"/>
      <c r="QO698" s="5"/>
      <c r="QP698" s="5"/>
      <c r="QQ698" s="5"/>
      <c r="QR698" s="5"/>
      <c r="QS698" s="5"/>
      <c r="QT698" s="5"/>
      <c r="QU698" s="5"/>
      <c r="QV698" s="5"/>
      <c r="QW698" s="5"/>
      <c r="QX698" s="5"/>
      <c r="QY698" s="5"/>
      <c r="QZ698" s="5"/>
      <c r="RA698" s="5"/>
      <c r="RB698" s="5"/>
      <c r="RC698" s="5"/>
      <c r="RD698" s="5"/>
      <c r="RE698" s="5"/>
      <c r="RF698" s="5"/>
      <c r="RG698" s="5"/>
      <c r="RH698" s="5"/>
      <c r="RI698" s="5"/>
      <c r="RJ698" s="5"/>
      <c r="RK698" s="5"/>
      <c r="RL698" s="5"/>
      <c r="RM698" s="5"/>
      <c r="RN698" s="5"/>
      <c r="RO698" s="5"/>
      <c r="RP698" s="5"/>
      <c r="RQ698" s="5"/>
      <c r="RR698" s="5"/>
      <c r="RS698" s="5"/>
      <c r="RT698" s="5"/>
      <c r="RU698" s="5"/>
      <c r="RV698" s="5"/>
      <c r="RW698" s="5"/>
      <c r="RX698" s="5"/>
      <c r="RY698" s="5"/>
      <c r="RZ698" s="5"/>
      <c r="SA698" s="5"/>
      <c r="SB698" s="5"/>
      <c r="SC698" s="5"/>
      <c r="SD698" s="5"/>
      <c r="SE698" s="5"/>
      <c r="SF698" s="5"/>
      <c r="SG698" s="5"/>
      <c r="SH698" s="5"/>
      <c r="SI698" s="5"/>
      <c r="SJ698" s="5"/>
      <c r="SK698" s="5"/>
      <c r="SL698" s="5"/>
      <c r="SM698" s="5"/>
      <c r="SN698" s="5"/>
      <c r="SO698" s="5"/>
      <c r="SP698" s="5"/>
      <c r="SQ698" s="5"/>
      <c r="SR698" s="5"/>
      <c r="SS698" s="5"/>
      <c r="ST698" s="5"/>
      <c r="SU698" s="5"/>
      <c r="SV698" s="5"/>
      <c r="SW698" s="5"/>
      <c r="SX698" s="5"/>
      <c r="SY698" s="5"/>
      <c r="SZ698" s="5"/>
      <c r="TA698" s="5"/>
      <c r="TB698" s="5"/>
      <c r="TC698" s="5"/>
      <c r="TD698" s="5"/>
      <c r="TE698" s="5"/>
      <c r="TF698" s="5"/>
      <c r="TG698" s="5"/>
      <c r="TH698" s="5"/>
      <c r="TI698" s="5"/>
      <c r="TJ698" s="5"/>
      <c r="TK698" s="5"/>
      <c r="TL698" s="5"/>
      <c r="TM698" s="5"/>
      <c r="TN698" s="5"/>
      <c r="TO698" s="5"/>
      <c r="TP698" s="5"/>
      <c r="TQ698" s="5"/>
      <c r="TR698" s="5"/>
      <c r="TS698" s="5"/>
      <c r="TT698" s="5"/>
      <c r="TU698" s="5"/>
      <c r="TV698" s="5"/>
      <c r="TW698" s="5"/>
      <c r="TX698" s="5"/>
      <c r="TY698" s="5"/>
      <c r="TZ698" s="5"/>
      <c r="UA698" s="5"/>
      <c r="UB698" s="5"/>
      <c r="UC698" s="5"/>
      <c r="UD698" s="5"/>
      <c r="UE698" s="5"/>
      <c r="UF698" s="5"/>
      <c r="UG698" s="5"/>
      <c r="UH698" s="5"/>
      <c r="UI698" s="5"/>
      <c r="UJ698" s="5"/>
      <c r="UK698" s="5"/>
      <c r="UL698" s="5"/>
      <c r="UM698" s="5"/>
      <c r="UN698" s="5"/>
      <c r="UO698" s="5"/>
      <c r="UP698" s="5"/>
      <c r="UQ698" s="5"/>
      <c r="UR698" s="5"/>
      <c r="US698" s="5"/>
      <c r="UT698" s="5"/>
      <c r="UU698" s="5"/>
      <c r="UV698" s="5"/>
      <c r="UW698" s="5"/>
      <c r="UX698" s="5"/>
      <c r="UY698" s="5"/>
      <c r="UZ698" s="5"/>
      <c r="VA698" s="5"/>
      <c r="VB698" s="5"/>
      <c r="VC698" s="5"/>
      <c r="VD698" s="5"/>
      <c r="VE698" s="5"/>
      <c r="VF698" s="5"/>
      <c r="VG698" s="5"/>
      <c r="VH698" s="5"/>
      <c r="VI698" s="5"/>
      <c r="VJ698" s="5"/>
      <c r="VK698" s="5"/>
      <c r="VL698" s="5"/>
      <c r="VM698" s="5"/>
      <c r="VN698" s="5"/>
      <c r="VO698" s="5"/>
      <c r="VP698" s="5"/>
      <c r="VQ698" s="5"/>
      <c r="VR698" s="5"/>
      <c r="VS698" s="5"/>
      <c r="VT698" s="5"/>
      <c r="VU698" s="5"/>
      <c r="VV698" s="5"/>
      <c r="VW698" s="5"/>
      <c r="VX698" s="5"/>
      <c r="VY698" s="5"/>
      <c r="VZ698" s="5"/>
      <c r="WA698" s="5"/>
      <c r="WB698" s="5"/>
      <c r="WC698" s="5"/>
      <c r="WD698" s="5"/>
      <c r="WE698" s="5"/>
      <c r="WF698" s="5"/>
      <c r="WG698" s="5"/>
      <c r="WH698" s="5"/>
      <c r="WI698" s="5"/>
      <c r="WJ698" s="5"/>
      <c r="WK698" s="5"/>
      <c r="WL698" s="5"/>
      <c r="WM698" s="5"/>
      <c r="WN698" s="5"/>
      <c r="WO698" s="5"/>
      <c r="WP698" s="5"/>
      <c r="WQ698" s="5"/>
      <c r="WR698" s="5"/>
      <c r="WS698" s="5"/>
      <c r="WT698" s="5"/>
      <c r="WU698" s="5"/>
      <c r="WV698" s="5"/>
      <c r="WW698" s="5"/>
      <c r="WX698" s="5"/>
      <c r="WY698" s="5"/>
      <c r="WZ698" s="5"/>
      <c r="XA698" s="5"/>
      <c r="XB698" s="5"/>
      <c r="XC698" s="5"/>
      <c r="XD698" s="5"/>
      <c r="XE698" s="5"/>
      <c r="XF698" s="5"/>
      <c r="XG698" s="5"/>
      <c r="XH698" s="5"/>
      <c r="XI698" s="5"/>
      <c r="XJ698" s="5"/>
      <c r="XK698" s="5"/>
      <c r="XL698" s="5"/>
      <c r="XM698" s="5"/>
      <c r="XN698" s="5"/>
      <c r="XO698" s="5"/>
      <c r="XP698" s="5"/>
      <c r="XQ698" s="5"/>
      <c r="XR698" s="5"/>
      <c r="XS698" s="5"/>
      <c r="XT698" s="5"/>
      <c r="XU698" s="5"/>
      <c r="XV698" s="5"/>
      <c r="XW698" s="5"/>
      <c r="XX698" s="5"/>
      <c r="XY698" s="5"/>
      <c r="XZ698" s="5"/>
      <c r="YA698" s="5"/>
      <c r="YB698" s="5"/>
      <c r="YC698" s="5"/>
      <c r="YD698" s="5"/>
      <c r="YE698" s="5"/>
      <c r="YF698" s="5"/>
      <c r="YG698" s="5"/>
      <c r="YH698" s="5"/>
      <c r="YI698" s="5"/>
      <c r="YJ698" s="5"/>
      <c r="YK698" s="5"/>
      <c r="YL698" s="5"/>
      <c r="YM698" s="5"/>
      <c r="YN698" s="5"/>
      <c r="YO698" s="5"/>
      <c r="YP698" s="5"/>
      <c r="YQ698" s="5"/>
      <c r="YR698" s="5"/>
      <c r="YS698" s="5"/>
      <c r="YT698" s="5"/>
      <c r="YU698" s="5"/>
      <c r="YV698" s="5"/>
      <c r="YW698" s="5"/>
      <c r="YX698" s="5"/>
      <c r="YY698" s="5"/>
      <c r="YZ698" s="5"/>
      <c r="ZA698" s="5"/>
      <c r="ZB698" s="5"/>
      <c r="ZC698" s="5"/>
      <c r="ZD698" s="5"/>
      <c r="ZE698" s="5"/>
      <c r="ZF698" s="5"/>
      <c r="ZG698" s="5"/>
      <c r="ZH698" s="5"/>
      <c r="ZI698" s="5"/>
      <c r="ZJ698" s="5"/>
      <c r="ZK698" s="5"/>
      <c r="ZL698" s="5"/>
      <c r="ZM698" s="5"/>
      <c r="ZN698" s="5"/>
      <c r="ZO698" s="5"/>
      <c r="ZP698" s="5"/>
      <c r="ZQ698" s="5"/>
      <c r="ZR698" s="5"/>
      <c r="ZS698" s="5"/>
      <c r="ZT698" s="5"/>
      <c r="ZU698" s="5"/>
      <c r="ZV698" s="5"/>
      <c r="ZW698" s="5"/>
      <c r="ZX698" s="5"/>
      <c r="ZY698" s="5"/>
      <c r="ZZ698" s="5"/>
      <c r="AAA698" s="5"/>
      <c r="AAB698" s="5"/>
      <c r="AAC698" s="5"/>
      <c r="AAD698" s="5"/>
      <c r="AAE698" s="5"/>
      <c r="AAF698" s="5"/>
      <c r="AAG698" s="5"/>
      <c r="AAH698" s="5"/>
      <c r="AAI698" s="5"/>
      <c r="AAJ698" s="5"/>
      <c r="AAK698" s="5"/>
      <c r="AAL698" s="5"/>
      <c r="AAM698" s="5"/>
      <c r="AAN698" s="5"/>
      <c r="AAO698" s="5"/>
      <c r="AAP698" s="5"/>
      <c r="AAQ698" s="5"/>
      <c r="AAR698" s="5"/>
      <c r="AAS698" s="5"/>
      <c r="AAT698" s="5"/>
      <c r="AAU698" s="5"/>
      <c r="AAV698" s="5"/>
      <c r="AAW698" s="5"/>
      <c r="AAX698" s="5"/>
      <c r="AAY698" s="5"/>
      <c r="AAZ698" s="5"/>
      <c r="ABA698" s="5"/>
      <c r="ABB698" s="5"/>
      <c r="ABC698" s="5"/>
      <c r="ABD698" s="5"/>
      <c r="ABE698" s="5"/>
      <c r="ABF698" s="5"/>
      <c r="ABG698" s="5"/>
      <c r="ABH698" s="5"/>
      <c r="ABI698" s="5"/>
      <c r="ABJ698" s="5"/>
      <c r="ABK698" s="5"/>
      <c r="ABL698" s="5"/>
      <c r="ABM698" s="5"/>
      <c r="ABN698" s="5"/>
      <c r="ABO698" s="5"/>
      <c r="ABP698" s="5"/>
      <c r="ABQ698" s="5"/>
      <c r="ABR698" s="5"/>
      <c r="ABS698" s="5"/>
      <c r="ABT698" s="5"/>
      <c r="ABU698" s="5"/>
      <c r="ABV698" s="5"/>
      <c r="ABW698" s="5"/>
      <c r="ABX698" s="5"/>
      <c r="ABY698" s="5"/>
      <c r="ABZ698" s="5"/>
      <c r="ACA698" s="5"/>
      <c r="ACB698" s="5"/>
      <c r="ACC698" s="5"/>
      <c r="ACD698" s="5"/>
      <c r="ACE698" s="5"/>
      <c r="ACF698" s="5"/>
      <c r="ACG698" s="5"/>
      <c r="ACH698" s="5"/>
      <c r="ACI698" s="5"/>
      <c r="ACJ698" s="5"/>
      <c r="ACK698" s="5"/>
      <c r="ACL698" s="5"/>
      <c r="ACM698" s="5"/>
      <c r="ACN698" s="5"/>
      <c r="ACO698" s="5"/>
      <c r="ACP698" s="5"/>
      <c r="ACQ698" s="5"/>
      <c r="ACR698" s="5"/>
      <c r="ACS698" s="5"/>
      <c r="ACT698" s="5"/>
      <c r="ACU698" s="5"/>
      <c r="ACV698" s="5"/>
      <c r="ACW698" s="5"/>
      <c r="ACX698" s="5"/>
      <c r="ACY698" s="5"/>
      <c r="ACZ698" s="5"/>
      <c r="ADA698" s="5"/>
      <c r="ADB698" s="5"/>
      <c r="ADC698" s="5"/>
      <c r="ADD698" s="5"/>
      <c r="ADE698" s="5"/>
      <c r="ADF698" s="5"/>
      <c r="ADG698" s="5"/>
      <c r="ADH698" s="5"/>
      <c r="ADI698" s="5"/>
      <c r="ADJ698" s="5"/>
      <c r="ADK698" s="5"/>
      <c r="ADL698" s="5"/>
      <c r="ADM698" s="5"/>
      <c r="ADN698" s="5"/>
      <c r="ADO698" s="5"/>
      <c r="ADP698" s="5"/>
      <c r="ADQ698" s="5"/>
      <c r="ADR698" s="5"/>
      <c r="ADS698" s="5"/>
      <c r="ADT698" s="5"/>
      <c r="ADU698" s="5"/>
      <c r="ADV698" s="5"/>
      <c r="ADW698" s="5"/>
      <c r="ADX698" s="5"/>
      <c r="ADY698" s="5"/>
      <c r="ADZ698" s="5"/>
      <c r="AEA698" s="5"/>
      <c r="AEB698" s="5"/>
      <c r="AEC698" s="5"/>
      <c r="AED698" s="5"/>
      <c r="AEE698" s="5"/>
      <c r="AEF698" s="5"/>
      <c r="AEG698" s="5"/>
      <c r="AEH698" s="5"/>
      <c r="AEI698" s="5"/>
      <c r="AEJ698" s="5"/>
      <c r="AEK698" s="5"/>
      <c r="AEL698" s="5"/>
      <c r="AEM698" s="5"/>
      <c r="AEN698" s="5"/>
      <c r="AEO698" s="5"/>
      <c r="AEP698" s="5"/>
      <c r="AEQ698" s="5"/>
      <c r="AER698" s="5"/>
      <c r="AES698" s="5"/>
      <c r="AET698" s="5"/>
      <c r="AEU698" s="5"/>
      <c r="AEV698" s="5"/>
      <c r="AEW698" s="5"/>
      <c r="AEX698" s="5"/>
      <c r="AEY698" s="5"/>
      <c r="AEZ698" s="5"/>
      <c r="AFA698" s="5"/>
      <c r="AFB698" s="5"/>
      <c r="AFC698" s="5"/>
      <c r="AFD698" s="5"/>
      <c r="AFE698" s="5"/>
      <c r="AFF698" s="5"/>
      <c r="AFG698" s="5"/>
      <c r="AFH698" s="5"/>
      <c r="AFI698" s="5"/>
      <c r="AFJ698" s="5"/>
      <c r="AFK698" s="5"/>
      <c r="AFL698" s="5"/>
      <c r="AFM698" s="5"/>
      <c r="AFN698" s="5"/>
      <c r="AFO698" s="5"/>
      <c r="AFP698" s="5"/>
      <c r="AFQ698" s="5"/>
      <c r="AFR698" s="5"/>
      <c r="AFS698" s="5"/>
      <c r="AFT698" s="5"/>
      <c r="AFU698" s="5"/>
      <c r="AFV698" s="5"/>
      <c r="AFW698" s="5"/>
      <c r="AFX698" s="5"/>
      <c r="AFY698" s="5"/>
      <c r="AFZ698" s="5"/>
      <c r="AGA698" s="5"/>
      <c r="AGB698" s="5"/>
      <c r="AGC698" s="5"/>
      <c r="AGD698" s="5"/>
      <c r="AGE698" s="5"/>
      <c r="AGF698" s="5"/>
      <c r="AGG698" s="5"/>
      <c r="AGH698" s="5"/>
      <c r="AGI698" s="5"/>
      <c r="AGJ698" s="5"/>
      <c r="AGK698" s="5"/>
      <c r="AGL698" s="5"/>
      <c r="AGM698" s="5"/>
      <c r="AGN698" s="5"/>
      <c r="AGO698" s="5"/>
      <c r="AGP698" s="5"/>
      <c r="AGQ698" s="5"/>
      <c r="AGR698" s="5"/>
      <c r="AGS698" s="5"/>
      <c r="AGT698" s="5"/>
      <c r="AGU698" s="5"/>
      <c r="AGV698" s="5"/>
      <c r="AGW698" s="5"/>
      <c r="AGX698" s="5"/>
      <c r="AGY698" s="5"/>
      <c r="AGZ698" s="5"/>
      <c r="AHA698" s="5"/>
      <c r="AHB698" s="5"/>
      <c r="AHC698" s="5"/>
      <c r="AHD698" s="5"/>
      <c r="AHE698" s="5"/>
      <c r="AHF698" s="5"/>
      <c r="AHG698" s="5"/>
      <c r="AHH698" s="5"/>
      <c r="AHI698" s="5"/>
      <c r="AHJ698" s="5"/>
      <c r="AHK698" s="5"/>
      <c r="AHL698" s="5"/>
      <c r="AHM698" s="5"/>
      <c r="AHN698" s="5"/>
      <c r="AHO698" s="5"/>
      <c r="AHP698" s="5"/>
      <c r="AHQ698" s="5"/>
      <c r="AHR698" s="5"/>
      <c r="AHS698" s="5"/>
      <c r="AHT698" s="5"/>
      <c r="AHU698" s="5"/>
      <c r="AHV698" s="5"/>
      <c r="AHW698" s="5"/>
      <c r="AHX698" s="5"/>
      <c r="AHY698" s="5"/>
      <c r="AHZ698" s="5"/>
      <c r="AIA698" s="5"/>
      <c r="AIB698" s="5"/>
      <c r="AIC698" s="5"/>
      <c r="AID698" s="5"/>
      <c r="AIE698" s="5"/>
      <c r="AIF698" s="5"/>
      <c r="AIG698" s="5"/>
      <c r="AIH698" s="5"/>
      <c r="AII698" s="5"/>
      <c r="AIJ698" s="5"/>
      <c r="AIK698" s="5"/>
      <c r="AIL698" s="5"/>
      <c r="AIM698" s="5"/>
      <c r="AIN698" s="5"/>
      <c r="AIO698" s="5"/>
      <c r="AIP698" s="5"/>
      <c r="AIQ698" s="5"/>
      <c r="AIR698" s="5"/>
      <c r="AIS698" s="5"/>
      <c r="AIT698" s="5"/>
      <c r="AIU698" s="5"/>
      <c r="AIV698" s="5"/>
      <c r="AIW698" s="5"/>
      <c r="AIX698" s="5"/>
      <c r="AIY698" s="5"/>
      <c r="AIZ698" s="5"/>
      <c r="AJA698" s="5"/>
      <c r="AJB698" s="5"/>
      <c r="AJC698" s="5"/>
      <c r="AJD698" s="5"/>
      <c r="AJE698" s="5"/>
      <c r="AJF698" s="5"/>
      <c r="AJG698" s="5"/>
      <c r="AJH698" s="5"/>
      <c r="AJI698" s="5"/>
      <c r="AJJ698" s="5"/>
      <c r="AJK698" s="5"/>
      <c r="AJL698" s="5"/>
      <c r="AJM698" s="5"/>
      <c r="AJN698" s="5"/>
      <c r="AJO698" s="5"/>
      <c r="AJP698" s="5"/>
      <c r="AJQ698" s="5"/>
      <c r="AJR698" s="5"/>
      <c r="AJS698" s="5"/>
      <c r="AJT698" s="5"/>
      <c r="AJU698" s="5"/>
      <c r="AJV698" s="5"/>
      <c r="AJW698" s="5"/>
      <c r="AJX698" s="5"/>
      <c r="AJY698" s="5"/>
      <c r="AJZ698" s="5"/>
      <c r="AKA698" s="5"/>
      <c r="AKB698" s="5"/>
      <c r="AKC698" s="5"/>
      <c r="AKD698" s="5"/>
      <c r="AKE698" s="5"/>
      <c r="AKF698" s="5"/>
      <c r="AKG698" s="5"/>
      <c r="AKH698" s="5"/>
      <c r="AKI698" s="5"/>
      <c r="AKJ698" s="5"/>
      <c r="AKK698" s="5"/>
      <c r="AKL698" s="5"/>
      <c r="AKM698" s="5"/>
      <c r="AKN698" s="5"/>
      <c r="AKO698" s="5"/>
      <c r="AKP698" s="5"/>
      <c r="AKQ698" s="5"/>
      <c r="AKR698" s="5"/>
      <c r="AKS698" s="5"/>
      <c r="AKT698" s="5"/>
      <c r="AKU698" s="5"/>
      <c r="AKV698" s="5"/>
      <c r="AKW698" s="5"/>
      <c r="AKX698" s="5"/>
      <c r="AKY698" s="5"/>
      <c r="AKZ698" s="5"/>
      <c r="ALA698" s="5"/>
      <c r="ALB698" s="5"/>
      <c r="ALC698" s="5"/>
      <c r="ALD698" s="5"/>
      <c r="ALE698" s="5"/>
      <c r="ALF698" s="5"/>
      <c r="ALG698" s="5"/>
      <c r="ALH698" s="5"/>
      <c r="ALI698" s="5"/>
      <c r="ALJ698" s="5"/>
      <c r="ALK698" s="5"/>
      <c r="ALL698" s="5"/>
      <c r="ALM698" s="5"/>
      <c r="ALN698" s="5"/>
      <c r="ALO698" s="5"/>
      <c r="ALP698" s="5"/>
      <c r="ALQ698" s="5"/>
      <c r="ALR698" s="5"/>
      <c r="ALS698" s="5"/>
      <c r="ALT698" s="5"/>
      <c r="ALU698" s="5"/>
      <c r="ALV698" s="5"/>
      <c r="ALW698" s="5"/>
      <c r="ALX698" s="5"/>
      <c r="ALY698" s="5"/>
      <c r="ALZ698" s="5"/>
      <c r="AMA698" s="5"/>
      <c r="AMB698" s="5"/>
      <c r="AMC698" s="5"/>
      <c r="AMD698" s="5"/>
      <c r="AME698" s="5"/>
      <c r="AMF698" s="5"/>
      <c r="AMG698" s="5"/>
      <c r="AMH698" s="5"/>
      <c r="AMI698" s="5"/>
      <c r="AMJ698" s="5"/>
      <c r="AMK698" s="5"/>
      <c r="AML698" s="5"/>
      <c r="AMM698" s="5"/>
      <c r="AMN698" s="5"/>
      <c r="AMO698" s="5"/>
      <c r="AMP698" s="5"/>
      <c r="AMQ698" s="5"/>
      <c r="AMR698" s="5"/>
      <c r="AMS698" s="5"/>
      <c r="AMT698" s="5"/>
      <c r="AMU698" s="5"/>
      <c r="AMV698" s="5"/>
      <c r="AMW698" s="5"/>
      <c r="AMX698" s="5"/>
      <c r="AMY698" s="5"/>
      <c r="AMZ698" s="5"/>
      <c r="ANA698" s="5"/>
      <c r="ANB698" s="5"/>
      <c r="ANC698" s="5"/>
      <c r="AND698" s="5"/>
      <c r="ANE698" s="5"/>
      <c r="ANF698" s="5"/>
      <c r="ANG698" s="5"/>
      <c r="ANH698" s="5"/>
      <c r="ANI698" s="5"/>
      <c r="ANJ698" s="5"/>
      <c r="ANK698" s="5"/>
      <c r="ANL698" s="5"/>
      <c r="ANM698" s="5"/>
      <c r="ANN698" s="5"/>
      <c r="ANO698" s="5"/>
      <c r="ANP698" s="5"/>
      <c r="ANQ698" s="5"/>
      <c r="ANR698" s="5"/>
      <c r="ANS698" s="5"/>
      <c r="ANT698" s="5"/>
      <c r="ANU698" s="5"/>
      <c r="ANV698" s="5"/>
      <c r="ANW698" s="5"/>
      <c r="ANX698" s="5"/>
      <c r="ANY698" s="5"/>
      <c r="ANZ698" s="5"/>
      <c r="AOA698" s="5"/>
      <c r="AOB698" s="5"/>
      <c r="AOC698" s="5"/>
      <c r="AOD698" s="5"/>
      <c r="AOE698" s="5"/>
      <c r="AOF698" s="5"/>
      <c r="AOG698" s="5"/>
      <c r="AOH698" s="5"/>
      <c r="AOI698" s="5"/>
      <c r="AOJ698" s="5"/>
      <c r="AOK698" s="5"/>
      <c r="AOL698" s="5"/>
      <c r="AOM698" s="5"/>
      <c r="AON698" s="5"/>
      <c r="AOO698" s="5"/>
      <c r="AOP698" s="5"/>
      <c r="AOQ698" s="5"/>
      <c r="AOR698" s="5"/>
      <c r="AOS698" s="5"/>
      <c r="AOT698" s="5"/>
      <c r="AOU698" s="5"/>
      <c r="AOV698" s="5"/>
      <c r="AOW698" s="5"/>
      <c r="AOX698" s="5"/>
      <c r="AOY698" s="5"/>
      <c r="AOZ698" s="5"/>
      <c r="APA698" s="5"/>
      <c r="APB698" s="5"/>
      <c r="APC698" s="5"/>
      <c r="APD698" s="5"/>
      <c r="APE698" s="5"/>
      <c r="APF698" s="5"/>
      <c r="APG698" s="5"/>
      <c r="APH698" s="5"/>
      <c r="API698" s="5"/>
      <c r="APJ698" s="5"/>
      <c r="APK698" s="5"/>
      <c r="APL698" s="5"/>
      <c r="APM698" s="5"/>
      <c r="APN698" s="5"/>
      <c r="APO698" s="5"/>
      <c r="APP698" s="5"/>
      <c r="APQ698" s="5"/>
      <c r="APR698" s="5"/>
      <c r="APS698" s="5"/>
      <c r="APT698" s="5"/>
      <c r="APU698" s="5"/>
      <c r="APV698" s="5"/>
      <c r="APW698" s="5"/>
      <c r="APX698" s="5"/>
      <c r="APY698" s="5"/>
      <c r="APZ698" s="5"/>
      <c r="AQA698" s="5"/>
      <c r="AQB698" s="5"/>
      <c r="AQC698" s="5"/>
      <c r="AQD698" s="5"/>
      <c r="AQE698" s="5"/>
      <c r="AQF698" s="5"/>
      <c r="AQG698" s="5"/>
      <c r="AQH698" s="5"/>
      <c r="AQI698" s="5"/>
      <c r="AQJ698" s="5"/>
      <c r="AQK698" s="5"/>
      <c r="AQL698" s="5"/>
      <c r="AQM698" s="5"/>
      <c r="AQN698" s="5"/>
      <c r="AQO698" s="5"/>
      <c r="AQP698" s="5"/>
      <c r="AQQ698" s="5"/>
      <c r="AQR698" s="5"/>
      <c r="AQS698" s="5"/>
      <c r="AQT698" s="5"/>
      <c r="AQU698" s="5"/>
      <c r="AQV698" s="5"/>
      <c r="AQW698" s="5"/>
      <c r="AQX698" s="5"/>
      <c r="AQY698" s="5"/>
      <c r="AQZ698" s="5"/>
      <c r="ARA698" s="5"/>
      <c r="ARB698" s="5"/>
      <c r="ARC698" s="5"/>
      <c r="ARD698" s="5"/>
      <c r="ARE698" s="5"/>
      <c r="ARF698" s="5"/>
      <c r="ARG698" s="5"/>
      <c r="ARH698" s="5"/>
      <c r="ARI698" s="5"/>
      <c r="ARJ698" s="5"/>
      <c r="ARK698" s="5"/>
      <c r="ARL698" s="5"/>
      <c r="ARM698" s="5"/>
      <c r="ARN698" s="5"/>
      <c r="ARO698" s="5"/>
      <c r="ARP698" s="5"/>
      <c r="ARQ698" s="5"/>
      <c r="ARR698" s="5"/>
      <c r="ARS698" s="5"/>
      <c r="ART698" s="5"/>
      <c r="ARU698" s="5"/>
      <c r="ARV698" s="5"/>
      <c r="ARW698" s="5"/>
      <c r="ARX698" s="5"/>
      <c r="ARY698" s="5"/>
      <c r="ARZ698" s="5"/>
      <c r="ASA698" s="5"/>
      <c r="ASB698" s="5"/>
      <c r="ASC698" s="5"/>
      <c r="ASD698" s="5"/>
      <c r="ASE698" s="5"/>
      <c r="ASF698" s="5"/>
      <c r="ASG698" s="5"/>
      <c r="ASH698" s="5"/>
      <c r="ASI698" s="5"/>
      <c r="ASJ698" s="5"/>
      <c r="ASK698" s="5"/>
      <c r="ASL698" s="5"/>
      <c r="ASM698" s="5"/>
      <c r="ASN698" s="5"/>
      <c r="ASO698" s="5"/>
      <c r="ASP698" s="5"/>
      <c r="ASQ698" s="5"/>
      <c r="ASR698" s="5"/>
      <c r="ASS698" s="5"/>
      <c r="AST698" s="5"/>
      <c r="ASU698" s="5"/>
      <c r="ASV698" s="5"/>
      <c r="ASW698" s="5"/>
      <c r="ASX698" s="5"/>
      <c r="ASY698" s="5"/>
      <c r="ASZ698" s="5"/>
      <c r="ATA698" s="5"/>
      <c r="ATB698" s="5"/>
      <c r="ATC698" s="5"/>
      <c r="ATD698" s="5"/>
      <c r="ATE698" s="5"/>
      <c r="ATF698" s="5"/>
      <c r="ATG698" s="5"/>
      <c r="ATH698" s="5"/>
      <c r="ATI698" s="5"/>
      <c r="ATJ698" s="5"/>
      <c r="ATK698" s="5"/>
      <c r="ATL698" s="5"/>
      <c r="ATM698" s="5"/>
      <c r="ATN698" s="5"/>
      <c r="ATO698" s="5"/>
      <c r="ATP698" s="5"/>
      <c r="ATQ698" s="5"/>
      <c r="ATR698" s="5"/>
      <c r="ATS698" s="5"/>
      <c r="ATT698" s="5"/>
      <c r="ATU698" s="5"/>
      <c r="ATV698" s="5"/>
      <c r="ATW698" s="5"/>
      <c r="ATX698" s="5"/>
    </row>
    <row r="699" spans="1:1220" s="9" customFormat="1" ht="12.75" customHeight="1" x14ac:dyDescent="0.35">
      <c r="A699" s="76" t="s">
        <v>229</v>
      </c>
      <c r="B699" s="99" t="s">
        <v>105</v>
      </c>
      <c r="C699" s="76" t="s">
        <v>2599</v>
      </c>
      <c r="D699" s="142" t="s">
        <v>2599</v>
      </c>
      <c r="E699" s="76"/>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c r="DX699" s="5"/>
      <c r="DY699" s="5"/>
      <c r="DZ699" s="5"/>
      <c r="EA699" s="5"/>
      <c r="EB699" s="5"/>
      <c r="EC699" s="5"/>
      <c r="ED699" s="5"/>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s="5"/>
      <c r="FG699" s="5"/>
      <c r="FH699" s="5"/>
      <c r="FI699" s="5"/>
      <c r="FJ699" s="5"/>
      <c r="FK699" s="5"/>
      <c r="FL699" s="5"/>
      <c r="FM699" s="5"/>
      <c r="FN699" s="5"/>
      <c r="FO699" s="5"/>
      <c r="FP699" s="5"/>
      <c r="FQ699" s="5"/>
      <c r="FR699" s="5"/>
      <c r="FS699" s="5"/>
      <c r="FT699" s="5"/>
      <c r="FU699" s="5"/>
      <c r="FV699" s="5"/>
      <c r="FW699" s="5"/>
      <c r="FX699" s="5"/>
      <c r="FY699" s="5"/>
      <c r="FZ699" s="5"/>
      <c r="GA699" s="5"/>
      <c r="GB699" s="5"/>
      <c r="GC699" s="5"/>
      <c r="GD699" s="5"/>
      <c r="GE699" s="5"/>
      <c r="GF699" s="5"/>
      <c r="GG699" s="5"/>
      <c r="GH699" s="5"/>
      <c r="GI699" s="5"/>
      <c r="GJ699" s="5"/>
      <c r="GK699" s="5"/>
      <c r="GL699" s="5"/>
      <c r="GM699" s="5"/>
      <c r="GN699" s="5"/>
      <c r="GO699" s="5"/>
      <c r="GP699" s="5"/>
      <c r="GQ699" s="5"/>
      <c r="GR699" s="5"/>
      <c r="GS699" s="5"/>
      <c r="GT699" s="5"/>
      <c r="GU699" s="5"/>
      <c r="GV699" s="5"/>
      <c r="GW699" s="5"/>
      <c r="GX699" s="5"/>
      <c r="GY699" s="5"/>
      <c r="GZ699" s="5"/>
      <c r="HA699" s="5"/>
      <c r="HB699" s="5"/>
      <c r="HC699" s="5"/>
      <c r="HD699" s="5"/>
      <c r="HE699" s="5"/>
      <c r="HF699" s="5"/>
      <c r="HG699" s="5"/>
      <c r="HH699" s="5"/>
      <c r="HI699" s="5"/>
      <c r="HJ699" s="5"/>
      <c r="HK699" s="5"/>
      <c r="HL699" s="5"/>
      <c r="HM699" s="5"/>
      <c r="HN699" s="5"/>
      <c r="HO699" s="5"/>
      <c r="HP699" s="5"/>
      <c r="HQ699" s="5"/>
      <c r="HR699" s="5"/>
      <c r="HS699" s="5"/>
      <c r="HT699" s="5"/>
      <c r="HU699" s="5"/>
      <c r="HV699" s="5"/>
      <c r="HW699" s="5"/>
      <c r="HX699" s="5"/>
      <c r="HY699" s="5"/>
      <c r="HZ699" s="5"/>
      <c r="IA699" s="5"/>
      <c r="IB699" s="5"/>
      <c r="IC699" s="5"/>
      <c r="ID699" s="5"/>
      <c r="IE699" s="5"/>
      <c r="IF699" s="5"/>
      <c r="IG699" s="5"/>
      <c r="IH699" s="5"/>
      <c r="II699" s="5"/>
      <c r="IJ699" s="5"/>
      <c r="IK699" s="5"/>
      <c r="IL699" s="5"/>
      <c r="IM699" s="5"/>
      <c r="IN699" s="5"/>
      <c r="IO699" s="5"/>
      <c r="IP699" s="5"/>
      <c r="IQ699" s="5"/>
      <c r="IR699" s="5"/>
      <c r="IS699" s="5"/>
      <c r="IT699" s="5"/>
      <c r="IU699" s="5"/>
      <c r="IV699" s="5"/>
      <c r="IW699" s="5"/>
      <c r="IX699" s="5"/>
      <c r="IY699" s="5"/>
      <c r="IZ699" s="5"/>
      <c r="JA699" s="5"/>
      <c r="JB699" s="5"/>
      <c r="JC699" s="5"/>
      <c r="JD699" s="5"/>
      <c r="JE699" s="5"/>
      <c r="JF699" s="5"/>
      <c r="JG699" s="5"/>
      <c r="JH699" s="5"/>
      <c r="JI699" s="5"/>
      <c r="JJ699" s="5"/>
      <c r="JK699" s="5"/>
      <c r="JL699" s="5"/>
      <c r="JM699" s="5"/>
      <c r="JN699" s="5"/>
      <c r="JO699" s="5"/>
      <c r="JP699" s="5"/>
      <c r="JQ699" s="5"/>
      <c r="JR699" s="5"/>
      <c r="JS699" s="5"/>
      <c r="JT699" s="5"/>
      <c r="JU699" s="5"/>
      <c r="JV699" s="5"/>
      <c r="JW699" s="5"/>
      <c r="JX699" s="5"/>
      <c r="JY699" s="5"/>
      <c r="JZ699" s="5"/>
      <c r="KA699" s="5"/>
      <c r="KB699" s="5"/>
      <c r="KC699" s="5"/>
      <c r="KD699" s="5"/>
      <c r="KE699" s="5"/>
      <c r="KF699" s="5"/>
      <c r="KG699" s="5"/>
      <c r="KH699" s="5"/>
      <c r="KI699" s="5"/>
      <c r="KJ699" s="5"/>
      <c r="KK699" s="5"/>
      <c r="KL699" s="5"/>
      <c r="KM699" s="5"/>
      <c r="KN699" s="5"/>
      <c r="KO699" s="5"/>
      <c r="KP699" s="5"/>
      <c r="KQ699" s="5"/>
      <c r="KR699" s="5"/>
      <c r="KS699" s="5"/>
      <c r="KT699" s="5"/>
      <c r="KU699" s="5"/>
      <c r="KV699" s="5"/>
      <c r="KW699" s="5"/>
      <c r="KX699" s="5"/>
      <c r="KY699" s="5"/>
      <c r="KZ699" s="5"/>
      <c r="LA699" s="5"/>
      <c r="LB699" s="5"/>
      <c r="LC699" s="5"/>
      <c r="LD699" s="5"/>
      <c r="LE699" s="5"/>
      <c r="LF699" s="5"/>
      <c r="LG699" s="5"/>
      <c r="LH699" s="5"/>
      <c r="LI699" s="5"/>
      <c r="LJ699" s="5"/>
      <c r="LK699" s="5"/>
      <c r="LL699" s="5"/>
      <c r="LM699" s="5"/>
      <c r="LN699" s="5"/>
      <c r="LO699" s="5"/>
      <c r="LP699" s="5"/>
      <c r="LQ699" s="5"/>
      <c r="LR699" s="5"/>
      <c r="LS699" s="5"/>
      <c r="LT699" s="5"/>
      <c r="LU699" s="5"/>
      <c r="LV699" s="5"/>
      <c r="LW699" s="5"/>
      <c r="LX699" s="5"/>
      <c r="LY699" s="5"/>
      <c r="LZ699" s="5"/>
      <c r="MA699" s="5"/>
      <c r="MB699" s="5"/>
      <c r="MC699" s="5"/>
      <c r="MD699" s="5"/>
      <c r="ME699" s="5"/>
      <c r="MF699" s="5"/>
      <c r="MG699" s="5"/>
      <c r="MH699" s="5"/>
      <c r="MI699" s="5"/>
      <c r="MJ699" s="5"/>
      <c r="MK699" s="5"/>
      <c r="ML699" s="5"/>
      <c r="MM699" s="5"/>
      <c r="MN699" s="5"/>
      <c r="MO699" s="5"/>
      <c r="MP699" s="5"/>
      <c r="MQ699" s="5"/>
      <c r="MR699" s="5"/>
      <c r="MS699" s="5"/>
      <c r="MT699" s="5"/>
      <c r="MU699" s="5"/>
      <c r="MV699" s="5"/>
      <c r="MW699" s="5"/>
      <c r="MX699" s="5"/>
      <c r="MY699" s="5"/>
      <c r="MZ699" s="5"/>
      <c r="NA699" s="5"/>
      <c r="NB699" s="5"/>
      <c r="NC699" s="5"/>
      <c r="ND699" s="5"/>
      <c r="NE699" s="5"/>
      <c r="NF699" s="5"/>
      <c r="NG699" s="5"/>
      <c r="NH699" s="5"/>
      <c r="NI699" s="5"/>
      <c r="NJ699" s="5"/>
      <c r="NK699" s="5"/>
      <c r="NL699" s="5"/>
      <c r="NM699" s="5"/>
      <c r="NN699" s="5"/>
      <c r="NO699" s="5"/>
      <c r="NP699" s="5"/>
      <c r="NQ699" s="5"/>
      <c r="NR699" s="5"/>
      <c r="NS699" s="5"/>
      <c r="NT699" s="5"/>
      <c r="NU699" s="5"/>
      <c r="NV699" s="5"/>
      <c r="NW699" s="5"/>
      <c r="NX699" s="5"/>
      <c r="NY699" s="5"/>
      <c r="NZ699" s="5"/>
      <c r="OA699" s="5"/>
      <c r="OB699" s="5"/>
      <c r="OC699" s="5"/>
      <c r="OD699" s="5"/>
      <c r="OE699" s="5"/>
      <c r="OF699" s="5"/>
      <c r="OG699" s="5"/>
      <c r="OH699" s="5"/>
      <c r="OI699" s="5"/>
      <c r="OJ699" s="5"/>
      <c r="OK699" s="5"/>
      <c r="OL699" s="5"/>
      <c r="OM699" s="5"/>
      <c r="ON699" s="5"/>
      <c r="OO699" s="5"/>
      <c r="OP699" s="5"/>
      <c r="OQ699" s="5"/>
      <c r="OR699" s="5"/>
      <c r="OS699" s="5"/>
      <c r="OT699" s="5"/>
      <c r="OU699" s="5"/>
      <c r="OV699" s="5"/>
      <c r="OW699" s="5"/>
      <c r="OX699" s="5"/>
      <c r="OY699" s="5"/>
      <c r="OZ699" s="5"/>
      <c r="PA699" s="5"/>
      <c r="PB699" s="5"/>
      <c r="PC699" s="5"/>
      <c r="PD699" s="5"/>
      <c r="PE699" s="5"/>
      <c r="PF699" s="5"/>
      <c r="PG699" s="5"/>
      <c r="PH699" s="5"/>
      <c r="PI699" s="5"/>
      <c r="PJ699" s="5"/>
      <c r="PK699" s="5"/>
      <c r="PL699" s="5"/>
      <c r="PM699" s="5"/>
      <c r="PN699" s="5"/>
      <c r="PO699" s="5"/>
      <c r="PP699" s="5"/>
      <c r="PQ699" s="5"/>
      <c r="PR699" s="5"/>
      <c r="PS699" s="5"/>
      <c r="PT699" s="5"/>
      <c r="PU699" s="5"/>
      <c r="PV699" s="5"/>
      <c r="PW699" s="5"/>
      <c r="PX699" s="5"/>
      <c r="PY699" s="5"/>
      <c r="PZ699" s="5"/>
      <c r="QA699" s="5"/>
      <c r="QB699" s="5"/>
      <c r="QC699" s="5"/>
      <c r="QD699" s="5"/>
      <c r="QE699" s="5"/>
      <c r="QF699" s="5"/>
      <c r="QG699" s="5"/>
      <c r="QH699" s="5"/>
      <c r="QI699" s="5"/>
      <c r="QJ699" s="5"/>
      <c r="QK699" s="5"/>
      <c r="QL699" s="5"/>
      <c r="QM699" s="5"/>
      <c r="QN699" s="5"/>
      <c r="QO699" s="5"/>
      <c r="QP699" s="5"/>
      <c r="QQ699" s="5"/>
      <c r="QR699" s="5"/>
      <c r="QS699" s="5"/>
      <c r="QT699" s="5"/>
      <c r="QU699" s="5"/>
      <c r="QV699" s="5"/>
      <c r="QW699" s="5"/>
      <c r="QX699" s="5"/>
      <c r="QY699" s="5"/>
      <c r="QZ699" s="5"/>
      <c r="RA699" s="5"/>
      <c r="RB699" s="5"/>
      <c r="RC699" s="5"/>
      <c r="RD699" s="5"/>
      <c r="RE699" s="5"/>
      <c r="RF699" s="5"/>
      <c r="RG699" s="5"/>
      <c r="RH699" s="5"/>
      <c r="RI699" s="5"/>
      <c r="RJ699" s="5"/>
      <c r="RK699" s="5"/>
      <c r="RL699" s="5"/>
      <c r="RM699" s="5"/>
      <c r="RN699" s="5"/>
      <c r="RO699" s="5"/>
      <c r="RP699" s="5"/>
      <c r="RQ699" s="5"/>
      <c r="RR699" s="5"/>
      <c r="RS699" s="5"/>
      <c r="RT699" s="5"/>
      <c r="RU699" s="5"/>
      <c r="RV699" s="5"/>
      <c r="RW699" s="5"/>
      <c r="RX699" s="5"/>
      <c r="RY699" s="5"/>
      <c r="RZ699" s="5"/>
      <c r="SA699" s="5"/>
      <c r="SB699" s="5"/>
      <c r="SC699" s="5"/>
      <c r="SD699" s="5"/>
      <c r="SE699" s="5"/>
      <c r="SF699" s="5"/>
      <c r="SG699" s="5"/>
      <c r="SH699" s="5"/>
      <c r="SI699" s="5"/>
      <c r="SJ699" s="5"/>
      <c r="SK699" s="5"/>
      <c r="SL699" s="5"/>
      <c r="SM699" s="5"/>
      <c r="SN699" s="5"/>
      <c r="SO699" s="5"/>
      <c r="SP699" s="5"/>
      <c r="SQ699" s="5"/>
      <c r="SR699" s="5"/>
      <c r="SS699" s="5"/>
      <c r="ST699" s="5"/>
      <c r="SU699" s="5"/>
      <c r="SV699" s="5"/>
      <c r="SW699" s="5"/>
      <c r="SX699" s="5"/>
      <c r="SY699" s="5"/>
      <c r="SZ699" s="5"/>
      <c r="TA699" s="5"/>
      <c r="TB699" s="5"/>
      <c r="TC699" s="5"/>
      <c r="TD699" s="5"/>
      <c r="TE699" s="5"/>
      <c r="TF699" s="5"/>
      <c r="TG699" s="5"/>
      <c r="TH699" s="5"/>
      <c r="TI699" s="5"/>
      <c r="TJ699" s="5"/>
      <c r="TK699" s="5"/>
      <c r="TL699" s="5"/>
      <c r="TM699" s="5"/>
      <c r="TN699" s="5"/>
      <c r="TO699" s="5"/>
      <c r="TP699" s="5"/>
      <c r="TQ699" s="5"/>
      <c r="TR699" s="5"/>
      <c r="TS699" s="5"/>
      <c r="TT699" s="5"/>
      <c r="TU699" s="5"/>
      <c r="TV699" s="5"/>
      <c r="TW699" s="5"/>
      <c r="TX699" s="5"/>
      <c r="TY699" s="5"/>
      <c r="TZ699" s="5"/>
      <c r="UA699" s="5"/>
      <c r="UB699" s="5"/>
      <c r="UC699" s="5"/>
      <c r="UD699" s="5"/>
      <c r="UE699" s="5"/>
      <c r="UF699" s="5"/>
      <c r="UG699" s="5"/>
      <c r="UH699" s="5"/>
      <c r="UI699" s="5"/>
      <c r="UJ699" s="5"/>
      <c r="UK699" s="5"/>
      <c r="UL699" s="5"/>
      <c r="UM699" s="5"/>
      <c r="UN699" s="5"/>
      <c r="UO699" s="5"/>
      <c r="UP699" s="5"/>
      <c r="UQ699" s="5"/>
      <c r="UR699" s="5"/>
      <c r="US699" s="5"/>
      <c r="UT699" s="5"/>
      <c r="UU699" s="5"/>
      <c r="UV699" s="5"/>
      <c r="UW699" s="5"/>
      <c r="UX699" s="5"/>
      <c r="UY699" s="5"/>
      <c r="UZ699" s="5"/>
      <c r="VA699" s="5"/>
      <c r="VB699" s="5"/>
      <c r="VC699" s="5"/>
      <c r="VD699" s="5"/>
      <c r="VE699" s="5"/>
      <c r="VF699" s="5"/>
      <c r="VG699" s="5"/>
      <c r="VH699" s="5"/>
      <c r="VI699" s="5"/>
      <c r="VJ699" s="5"/>
      <c r="VK699" s="5"/>
      <c r="VL699" s="5"/>
      <c r="VM699" s="5"/>
      <c r="VN699" s="5"/>
      <c r="VO699" s="5"/>
      <c r="VP699" s="5"/>
      <c r="VQ699" s="5"/>
      <c r="VR699" s="5"/>
      <c r="VS699" s="5"/>
      <c r="VT699" s="5"/>
      <c r="VU699" s="5"/>
      <c r="VV699" s="5"/>
      <c r="VW699" s="5"/>
      <c r="VX699" s="5"/>
      <c r="VY699" s="5"/>
      <c r="VZ699" s="5"/>
      <c r="WA699" s="5"/>
      <c r="WB699" s="5"/>
      <c r="WC699" s="5"/>
      <c r="WD699" s="5"/>
      <c r="WE699" s="5"/>
      <c r="WF699" s="5"/>
      <c r="WG699" s="5"/>
      <c r="WH699" s="5"/>
      <c r="WI699" s="5"/>
      <c r="WJ699" s="5"/>
      <c r="WK699" s="5"/>
      <c r="WL699" s="5"/>
      <c r="WM699" s="5"/>
      <c r="WN699" s="5"/>
      <c r="WO699" s="5"/>
      <c r="WP699" s="5"/>
      <c r="WQ699" s="5"/>
      <c r="WR699" s="5"/>
      <c r="WS699" s="5"/>
      <c r="WT699" s="5"/>
      <c r="WU699" s="5"/>
      <c r="WV699" s="5"/>
      <c r="WW699" s="5"/>
      <c r="WX699" s="5"/>
      <c r="WY699" s="5"/>
      <c r="WZ699" s="5"/>
      <c r="XA699" s="5"/>
      <c r="XB699" s="5"/>
      <c r="XC699" s="5"/>
      <c r="XD699" s="5"/>
      <c r="XE699" s="5"/>
      <c r="XF699" s="5"/>
      <c r="XG699" s="5"/>
      <c r="XH699" s="5"/>
      <c r="XI699" s="5"/>
      <c r="XJ699" s="5"/>
      <c r="XK699" s="5"/>
      <c r="XL699" s="5"/>
      <c r="XM699" s="5"/>
      <c r="XN699" s="5"/>
      <c r="XO699" s="5"/>
      <c r="XP699" s="5"/>
      <c r="XQ699" s="5"/>
      <c r="XR699" s="5"/>
      <c r="XS699" s="5"/>
      <c r="XT699" s="5"/>
      <c r="XU699" s="5"/>
      <c r="XV699" s="5"/>
      <c r="XW699" s="5"/>
      <c r="XX699" s="5"/>
      <c r="XY699" s="5"/>
      <c r="XZ699" s="5"/>
      <c r="YA699" s="5"/>
      <c r="YB699" s="5"/>
      <c r="YC699" s="5"/>
      <c r="YD699" s="5"/>
      <c r="YE699" s="5"/>
      <c r="YF699" s="5"/>
      <c r="YG699" s="5"/>
      <c r="YH699" s="5"/>
      <c r="YI699" s="5"/>
      <c r="YJ699" s="5"/>
      <c r="YK699" s="5"/>
      <c r="YL699" s="5"/>
      <c r="YM699" s="5"/>
      <c r="YN699" s="5"/>
      <c r="YO699" s="5"/>
      <c r="YP699" s="5"/>
      <c r="YQ699" s="5"/>
      <c r="YR699" s="5"/>
      <c r="YS699" s="5"/>
      <c r="YT699" s="5"/>
      <c r="YU699" s="5"/>
      <c r="YV699" s="5"/>
      <c r="YW699" s="5"/>
      <c r="YX699" s="5"/>
      <c r="YY699" s="5"/>
      <c r="YZ699" s="5"/>
      <c r="ZA699" s="5"/>
      <c r="ZB699" s="5"/>
      <c r="ZC699" s="5"/>
      <c r="ZD699" s="5"/>
      <c r="ZE699" s="5"/>
      <c r="ZF699" s="5"/>
      <c r="ZG699" s="5"/>
      <c r="ZH699" s="5"/>
      <c r="ZI699" s="5"/>
      <c r="ZJ699" s="5"/>
      <c r="ZK699" s="5"/>
      <c r="ZL699" s="5"/>
      <c r="ZM699" s="5"/>
      <c r="ZN699" s="5"/>
      <c r="ZO699" s="5"/>
      <c r="ZP699" s="5"/>
      <c r="ZQ699" s="5"/>
      <c r="ZR699" s="5"/>
      <c r="ZS699" s="5"/>
      <c r="ZT699" s="5"/>
      <c r="ZU699" s="5"/>
      <c r="ZV699" s="5"/>
      <c r="ZW699" s="5"/>
      <c r="ZX699" s="5"/>
      <c r="ZY699" s="5"/>
      <c r="ZZ699" s="5"/>
      <c r="AAA699" s="5"/>
      <c r="AAB699" s="5"/>
      <c r="AAC699" s="5"/>
      <c r="AAD699" s="5"/>
      <c r="AAE699" s="5"/>
      <c r="AAF699" s="5"/>
      <c r="AAG699" s="5"/>
      <c r="AAH699" s="5"/>
      <c r="AAI699" s="5"/>
      <c r="AAJ699" s="5"/>
      <c r="AAK699" s="5"/>
      <c r="AAL699" s="5"/>
      <c r="AAM699" s="5"/>
      <c r="AAN699" s="5"/>
      <c r="AAO699" s="5"/>
      <c r="AAP699" s="5"/>
      <c r="AAQ699" s="5"/>
      <c r="AAR699" s="5"/>
      <c r="AAS699" s="5"/>
      <c r="AAT699" s="5"/>
      <c r="AAU699" s="5"/>
      <c r="AAV699" s="5"/>
      <c r="AAW699" s="5"/>
      <c r="AAX699" s="5"/>
      <c r="AAY699" s="5"/>
      <c r="AAZ699" s="5"/>
      <c r="ABA699" s="5"/>
      <c r="ABB699" s="5"/>
      <c r="ABC699" s="5"/>
      <c r="ABD699" s="5"/>
      <c r="ABE699" s="5"/>
      <c r="ABF699" s="5"/>
      <c r="ABG699" s="5"/>
      <c r="ABH699" s="5"/>
      <c r="ABI699" s="5"/>
      <c r="ABJ699" s="5"/>
      <c r="ABK699" s="5"/>
      <c r="ABL699" s="5"/>
      <c r="ABM699" s="5"/>
      <c r="ABN699" s="5"/>
      <c r="ABO699" s="5"/>
      <c r="ABP699" s="5"/>
      <c r="ABQ699" s="5"/>
      <c r="ABR699" s="5"/>
      <c r="ABS699" s="5"/>
      <c r="ABT699" s="5"/>
      <c r="ABU699" s="5"/>
      <c r="ABV699" s="5"/>
      <c r="ABW699" s="5"/>
      <c r="ABX699" s="5"/>
      <c r="ABY699" s="5"/>
      <c r="ABZ699" s="5"/>
      <c r="ACA699" s="5"/>
      <c r="ACB699" s="5"/>
      <c r="ACC699" s="5"/>
      <c r="ACD699" s="5"/>
      <c r="ACE699" s="5"/>
      <c r="ACF699" s="5"/>
      <c r="ACG699" s="5"/>
      <c r="ACH699" s="5"/>
      <c r="ACI699" s="5"/>
      <c r="ACJ699" s="5"/>
      <c r="ACK699" s="5"/>
      <c r="ACL699" s="5"/>
      <c r="ACM699" s="5"/>
      <c r="ACN699" s="5"/>
      <c r="ACO699" s="5"/>
      <c r="ACP699" s="5"/>
      <c r="ACQ699" s="5"/>
      <c r="ACR699" s="5"/>
      <c r="ACS699" s="5"/>
      <c r="ACT699" s="5"/>
      <c r="ACU699" s="5"/>
      <c r="ACV699" s="5"/>
      <c r="ACW699" s="5"/>
      <c r="ACX699" s="5"/>
      <c r="ACY699" s="5"/>
      <c r="ACZ699" s="5"/>
      <c r="ADA699" s="5"/>
      <c r="ADB699" s="5"/>
      <c r="ADC699" s="5"/>
      <c r="ADD699" s="5"/>
      <c r="ADE699" s="5"/>
      <c r="ADF699" s="5"/>
      <c r="ADG699" s="5"/>
      <c r="ADH699" s="5"/>
      <c r="ADI699" s="5"/>
      <c r="ADJ699" s="5"/>
      <c r="ADK699" s="5"/>
      <c r="ADL699" s="5"/>
      <c r="ADM699" s="5"/>
      <c r="ADN699" s="5"/>
      <c r="ADO699" s="5"/>
      <c r="ADP699" s="5"/>
      <c r="ADQ699" s="5"/>
      <c r="ADR699" s="5"/>
      <c r="ADS699" s="5"/>
      <c r="ADT699" s="5"/>
      <c r="ADU699" s="5"/>
      <c r="ADV699" s="5"/>
      <c r="ADW699" s="5"/>
      <c r="ADX699" s="5"/>
      <c r="ADY699" s="5"/>
      <c r="ADZ699" s="5"/>
      <c r="AEA699" s="5"/>
      <c r="AEB699" s="5"/>
      <c r="AEC699" s="5"/>
      <c r="AED699" s="5"/>
      <c r="AEE699" s="5"/>
      <c r="AEF699" s="5"/>
      <c r="AEG699" s="5"/>
      <c r="AEH699" s="5"/>
      <c r="AEI699" s="5"/>
      <c r="AEJ699" s="5"/>
      <c r="AEK699" s="5"/>
      <c r="AEL699" s="5"/>
      <c r="AEM699" s="5"/>
      <c r="AEN699" s="5"/>
      <c r="AEO699" s="5"/>
      <c r="AEP699" s="5"/>
      <c r="AEQ699" s="5"/>
      <c r="AER699" s="5"/>
      <c r="AES699" s="5"/>
      <c r="AET699" s="5"/>
      <c r="AEU699" s="5"/>
      <c r="AEV699" s="5"/>
      <c r="AEW699" s="5"/>
      <c r="AEX699" s="5"/>
      <c r="AEY699" s="5"/>
      <c r="AEZ699" s="5"/>
      <c r="AFA699" s="5"/>
      <c r="AFB699" s="5"/>
      <c r="AFC699" s="5"/>
      <c r="AFD699" s="5"/>
      <c r="AFE699" s="5"/>
      <c r="AFF699" s="5"/>
      <c r="AFG699" s="5"/>
      <c r="AFH699" s="5"/>
      <c r="AFI699" s="5"/>
      <c r="AFJ699" s="5"/>
      <c r="AFK699" s="5"/>
      <c r="AFL699" s="5"/>
      <c r="AFM699" s="5"/>
      <c r="AFN699" s="5"/>
      <c r="AFO699" s="5"/>
      <c r="AFP699" s="5"/>
      <c r="AFQ699" s="5"/>
      <c r="AFR699" s="5"/>
      <c r="AFS699" s="5"/>
      <c r="AFT699" s="5"/>
      <c r="AFU699" s="5"/>
      <c r="AFV699" s="5"/>
      <c r="AFW699" s="5"/>
      <c r="AFX699" s="5"/>
      <c r="AFY699" s="5"/>
      <c r="AFZ699" s="5"/>
      <c r="AGA699" s="5"/>
      <c r="AGB699" s="5"/>
      <c r="AGC699" s="5"/>
      <c r="AGD699" s="5"/>
      <c r="AGE699" s="5"/>
      <c r="AGF699" s="5"/>
      <c r="AGG699" s="5"/>
      <c r="AGH699" s="5"/>
      <c r="AGI699" s="5"/>
      <c r="AGJ699" s="5"/>
      <c r="AGK699" s="5"/>
      <c r="AGL699" s="5"/>
      <c r="AGM699" s="5"/>
      <c r="AGN699" s="5"/>
      <c r="AGO699" s="5"/>
      <c r="AGP699" s="5"/>
      <c r="AGQ699" s="5"/>
      <c r="AGR699" s="5"/>
      <c r="AGS699" s="5"/>
      <c r="AGT699" s="5"/>
      <c r="AGU699" s="5"/>
      <c r="AGV699" s="5"/>
      <c r="AGW699" s="5"/>
      <c r="AGX699" s="5"/>
      <c r="AGY699" s="5"/>
      <c r="AGZ699" s="5"/>
      <c r="AHA699" s="5"/>
      <c r="AHB699" s="5"/>
      <c r="AHC699" s="5"/>
      <c r="AHD699" s="5"/>
      <c r="AHE699" s="5"/>
      <c r="AHF699" s="5"/>
      <c r="AHG699" s="5"/>
      <c r="AHH699" s="5"/>
      <c r="AHI699" s="5"/>
      <c r="AHJ699" s="5"/>
      <c r="AHK699" s="5"/>
      <c r="AHL699" s="5"/>
      <c r="AHM699" s="5"/>
      <c r="AHN699" s="5"/>
      <c r="AHO699" s="5"/>
      <c r="AHP699" s="5"/>
      <c r="AHQ699" s="5"/>
      <c r="AHR699" s="5"/>
      <c r="AHS699" s="5"/>
      <c r="AHT699" s="5"/>
      <c r="AHU699" s="5"/>
      <c r="AHV699" s="5"/>
      <c r="AHW699" s="5"/>
      <c r="AHX699" s="5"/>
      <c r="AHY699" s="5"/>
      <c r="AHZ699" s="5"/>
      <c r="AIA699" s="5"/>
      <c r="AIB699" s="5"/>
      <c r="AIC699" s="5"/>
      <c r="AID699" s="5"/>
      <c r="AIE699" s="5"/>
      <c r="AIF699" s="5"/>
      <c r="AIG699" s="5"/>
      <c r="AIH699" s="5"/>
      <c r="AII699" s="5"/>
      <c r="AIJ699" s="5"/>
      <c r="AIK699" s="5"/>
      <c r="AIL699" s="5"/>
      <c r="AIM699" s="5"/>
      <c r="AIN699" s="5"/>
      <c r="AIO699" s="5"/>
      <c r="AIP699" s="5"/>
      <c r="AIQ699" s="5"/>
      <c r="AIR699" s="5"/>
      <c r="AIS699" s="5"/>
      <c r="AIT699" s="5"/>
      <c r="AIU699" s="5"/>
      <c r="AIV699" s="5"/>
      <c r="AIW699" s="5"/>
      <c r="AIX699" s="5"/>
      <c r="AIY699" s="5"/>
      <c r="AIZ699" s="5"/>
      <c r="AJA699" s="5"/>
      <c r="AJB699" s="5"/>
      <c r="AJC699" s="5"/>
      <c r="AJD699" s="5"/>
      <c r="AJE699" s="5"/>
      <c r="AJF699" s="5"/>
      <c r="AJG699" s="5"/>
      <c r="AJH699" s="5"/>
      <c r="AJI699" s="5"/>
      <c r="AJJ699" s="5"/>
      <c r="AJK699" s="5"/>
      <c r="AJL699" s="5"/>
      <c r="AJM699" s="5"/>
      <c r="AJN699" s="5"/>
      <c r="AJO699" s="5"/>
      <c r="AJP699" s="5"/>
      <c r="AJQ699" s="5"/>
      <c r="AJR699" s="5"/>
      <c r="AJS699" s="5"/>
      <c r="AJT699" s="5"/>
      <c r="AJU699" s="5"/>
      <c r="AJV699" s="5"/>
      <c r="AJW699" s="5"/>
      <c r="AJX699" s="5"/>
      <c r="AJY699" s="5"/>
      <c r="AJZ699" s="5"/>
      <c r="AKA699" s="5"/>
      <c r="AKB699" s="5"/>
      <c r="AKC699" s="5"/>
      <c r="AKD699" s="5"/>
      <c r="AKE699" s="5"/>
      <c r="AKF699" s="5"/>
      <c r="AKG699" s="5"/>
      <c r="AKH699" s="5"/>
      <c r="AKI699" s="5"/>
      <c r="AKJ699" s="5"/>
      <c r="AKK699" s="5"/>
      <c r="AKL699" s="5"/>
      <c r="AKM699" s="5"/>
      <c r="AKN699" s="5"/>
      <c r="AKO699" s="5"/>
      <c r="AKP699" s="5"/>
      <c r="AKQ699" s="5"/>
      <c r="AKR699" s="5"/>
      <c r="AKS699" s="5"/>
      <c r="AKT699" s="5"/>
      <c r="AKU699" s="5"/>
      <c r="AKV699" s="5"/>
      <c r="AKW699" s="5"/>
      <c r="AKX699" s="5"/>
      <c r="AKY699" s="5"/>
      <c r="AKZ699" s="5"/>
      <c r="ALA699" s="5"/>
      <c r="ALB699" s="5"/>
      <c r="ALC699" s="5"/>
      <c r="ALD699" s="5"/>
      <c r="ALE699" s="5"/>
      <c r="ALF699" s="5"/>
      <c r="ALG699" s="5"/>
      <c r="ALH699" s="5"/>
      <c r="ALI699" s="5"/>
      <c r="ALJ699" s="5"/>
      <c r="ALK699" s="5"/>
      <c r="ALL699" s="5"/>
      <c r="ALM699" s="5"/>
      <c r="ALN699" s="5"/>
      <c r="ALO699" s="5"/>
      <c r="ALP699" s="5"/>
      <c r="ALQ699" s="5"/>
      <c r="ALR699" s="5"/>
      <c r="ALS699" s="5"/>
      <c r="ALT699" s="5"/>
      <c r="ALU699" s="5"/>
      <c r="ALV699" s="5"/>
      <c r="ALW699" s="5"/>
      <c r="ALX699" s="5"/>
      <c r="ALY699" s="5"/>
      <c r="ALZ699" s="5"/>
      <c r="AMA699" s="5"/>
      <c r="AMB699" s="5"/>
      <c r="AMC699" s="5"/>
      <c r="AMD699" s="5"/>
      <c r="AME699" s="5"/>
      <c r="AMF699" s="5"/>
      <c r="AMG699" s="5"/>
      <c r="AMH699" s="5"/>
      <c r="AMI699" s="5"/>
      <c r="AMJ699" s="5"/>
      <c r="AMK699" s="5"/>
      <c r="AML699" s="5"/>
      <c r="AMM699" s="5"/>
      <c r="AMN699" s="5"/>
      <c r="AMO699" s="5"/>
      <c r="AMP699" s="5"/>
      <c r="AMQ699" s="5"/>
      <c r="AMR699" s="5"/>
      <c r="AMS699" s="5"/>
      <c r="AMT699" s="5"/>
      <c r="AMU699" s="5"/>
      <c r="AMV699" s="5"/>
      <c r="AMW699" s="5"/>
      <c r="AMX699" s="5"/>
      <c r="AMY699" s="5"/>
      <c r="AMZ699" s="5"/>
      <c r="ANA699" s="5"/>
      <c r="ANB699" s="5"/>
      <c r="ANC699" s="5"/>
      <c r="AND699" s="5"/>
      <c r="ANE699" s="5"/>
      <c r="ANF699" s="5"/>
      <c r="ANG699" s="5"/>
      <c r="ANH699" s="5"/>
      <c r="ANI699" s="5"/>
      <c r="ANJ699" s="5"/>
      <c r="ANK699" s="5"/>
      <c r="ANL699" s="5"/>
      <c r="ANM699" s="5"/>
      <c r="ANN699" s="5"/>
      <c r="ANO699" s="5"/>
      <c r="ANP699" s="5"/>
      <c r="ANQ699" s="5"/>
      <c r="ANR699" s="5"/>
      <c r="ANS699" s="5"/>
      <c r="ANT699" s="5"/>
      <c r="ANU699" s="5"/>
      <c r="ANV699" s="5"/>
      <c r="ANW699" s="5"/>
      <c r="ANX699" s="5"/>
      <c r="ANY699" s="5"/>
      <c r="ANZ699" s="5"/>
      <c r="AOA699" s="5"/>
      <c r="AOB699" s="5"/>
      <c r="AOC699" s="5"/>
      <c r="AOD699" s="5"/>
      <c r="AOE699" s="5"/>
      <c r="AOF699" s="5"/>
      <c r="AOG699" s="5"/>
      <c r="AOH699" s="5"/>
      <c r="AOI699" s="5"/>
      <c r="AOJ699" s="5"/>
      <c r="AOK699" s="5"/>
      <c r="AOL699" s="5"/>
      <c r="AOM699" s="5"/>
      <c r="AON699" s="5"/>
      <c r="AOO699" s="5"/>
      <c r="AOP699" s="5"/>
      <c r="AOQ699" s="5"/>
      <c r="AOR699" s="5"/>
      <c r="AOS699" s="5"/>
      <c r="AOT699" s="5"/>
      <c r="AOU699" s="5"/>
      <c r="AOV699" s="5"/>
      <c r="AOW699" s="5"/>
      <c r="AOX699" s="5"/>
      <c r="AOY699" s="5"/>
      <c r="AOZ699" s="5"/>
      <c r="APA699" s="5"/>
      <c r="APB699" s="5"/>
      <c r="APC699" s="5"/>
      <c r="APD699" s="5"/>
      <c r="APE699" s="5"/>
      <c r="APF699" s="5"/>
      <c r="APG699" s="5"/>
      <c r="APH699" s="5"/>
      <c r="API699" s="5"/>
      <c r="APJ699" s="5"/>
      <c r="APK699" s="5"/>
      <c r="APL699" s="5"/>
      <c r="APM699" s="5"/>
      <c r="APN699" s="5"/>
      <c r="APO699" s="5"/>
      <c r="APP699" s="5"/>
      <c r="APQ699" s="5"/>
      <c r="APR699" s="5"/>
      <c r="APS699" s="5"/>
      <c r="APT699" s="5"/>
      <c r="APU699" s="5"/>
      <c r="APV699" s="5"/>
      <c r="APW699" s="5"/>
      <c r="APX699" s="5"/>
      <c r="APY699" s="5"/>
      <c r="APZ699" s="5"/>
      <c r="AQA699" s="5"/>
      <c r="AQB699" s="5"/>
      <c r="AQC699" s="5"/>
      <c r="AQD699" s="5"/>
      <c r="AQE699" s="5"/>
      <c r="AQF699" s="5"/>
      <c r="AQG699" s="5"/>
      <c r="AQH699" s="5"/>
      <c r="AQI699" s="5"/>
      <c r="AQJ699" s="5"/>
      <c r="AQK699" s="5"/>
      <c r="AQL699" s="5"/>
      <c r="AQM699" s="5"/>
      <c r="AQN699" s="5"/>
      <c r="AQO699" s="5"/>
      <c r="AQP699" s="5"/>
      <c r="AQQ699" s="5"/>
      <c r="AQR699" s="5"/>
      <c r="AQS699" s="5"/>
      <c r="AQT699" s="5"/>
      <c r="AQU699" s="5"/>
      <c r="AQV699" s="5"/>
      <c r="AQW699" s="5"/>
      <c r="AQX699" s="5"/>
      <c r="AQY699" s="5"/>
      <c r="AQZ699" s="5"/>
      <c r="ARA699" s="5"/>
      <c r="ARB699" s="5"/>
      <c r="ARC699" s="5"/>
      <c r="ARD699" s="5"/>
      <c r="ARE699" s="5"/>
      <c r="ARF699" s="5"/>
      <c r="ARG699" s="5"/>
      <c r="ARH699" s="5"/>
      <c r="ARI699" s="5"/>
      <c r="ARJ699" s="5"/>
      <c r="ARK699" s="5"/>
      <c r="ARL699" s="5"/>
      <c r="ARM699" s="5"/>
      <c r="ARN699" s="5"/>
      <c r="ARO699" s="5"/>
      <c r="ARP699" s="5"/>
      <c r="ARQ699" s="5"/>
      <c r="ARR699" s="5"/>
      <c r="ARS699" s="5"/>
      <c r="ART699" s="5"/>
      <c r="ARU699" s="5"/>
      <c r="ARV699" s="5"/>
      <c r="ARW699" s="5"/>
      <c r="ARX699" s="5"/>
      <c r="ARY699" s="5"/>
      <c r="ARZ699" s="5"/>
      <c r="ASA699" s="5"/>
      <c r="ASB699" s="5"/>
      <c r="ASC699" s="5"/>
      <c r="ASD699" s="5"/>
      <c r="ASE699" s="5"/>
      <c r="ASF699" s="5"/>
      <c r="ASG699" s="5"/>
      <c r="ASH699" s="5"/>
      <c r="ASI699" s="5"/>
      <c r="ASJ699" s="5"/>
      <c r="ASK699" s="5"/>
      <c r="ASL699" s="5"/>
      <c r="ASM699" s="5"/>
      <c r="ASN699" s="5"/>
      <c r="ASO699" s="5"/>
      <c r="ASP699" s="5"/>
      <c r="ASQ699" s="5"/>
      <c r="ASR699" s="5"/>
      <c r="ASS699" s="5"/>
      <c r="AST699" s="5"/>
      <c r="ASU699" s="5"/>
      <c r="ASV699" s="5"/>
      <c r="ASW699" s="5"/>
      <c r="ASX699" s="5"/>
      <c r="ASY699" s="5"/>
      <c r="ASZ699" s="5"/>
      <c r="ATA699" s="5"/>
      <c r="ATB699" s="5"/>
      <c r="ATC699" s="5"/>
      <c r="ATD699" s="5"/>
      <c r="ATE699" s="5"/>
      <c r="ATF699" s="5"/>
      <c r="ATG699" s="5"/>
      <c r="ATH699" s="5"/>
      <c r="ATI699" s="5"/>
      <c r="ATJ699" s="5"/>
      <c r="ATK699" s="5"/>
      <c r="ATL699" s="5"/>
      <c r="ATM699" s="5"/>
      <c r="ATN699" s="5"/>
      <c r="ATO699" s="5"/>
      <c r="ATP699" s="5"/>
      <c r="ATQ699" s="5"/>
      <c r="ATR699" s="5"/>
      <c r="ATS699" s="5"/>
      <c r="ATT699" s="5"/>
      <c r="ATU699" s="5"/>
      <c r="ATV699" s="5"/>
      <c r="ATW699" s="5"/>
      <c r="ATX699" s="5"/>
    </row>
    <row r="700" spans="1:1220" s="9" customFormat="1" ht="12.75" customHeight="1" x14ac:dyDescent="0.35">
      <c r="A700" s="76" t="s">
        <v>229</v>
      </c>
      <c r="B700" s="99" t="s">
        <v>111</v>
      </c>
      <c r="C700" s="76" t="s">
        <v>2600</v>
      </c>
      <c r="D700" s="142" t="s">
        <v>2600</v>
      </c>
      <c r="E700" s="76"/>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c r="DS700" s="5"/>
      <c r="DT700" s="5"/>
      <c r="DU700" s="5"/>
      <c r="DV700" s="5"/>
      <c r="DW700" s="5"/>
      <c r="DX700" s="5"/>
      <c r="DY700" s="5"/>
      <c r="DZ700" s="5"/>
      <c r="EA700" s="5"/>
      <c r="EB700" s="5"/>
      <c r="EC700" s="5"/>
      <c r="ED700" s="5"/>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s="5"/>
      <c r="FG700" s="5"/>
      <c r="FH700" s="5"/>
      <c r="FI700" s="5"/>
      <c r="FJ700" s="5"/>
      <c r="FK700" s="5"/>
      <c r="FL700" s="5"/>
      <c r="FM700" s="5"/>
      <c r="FN700" s="5"/>
      <c r="FO700" s="5"/>
      <c r="FP700" s="5"/>
      <c r="FQ700" s="5"/>
      <c r="FR700" s="5"/>
      <c r="FS700" s="5"/>
      <c r="FT700" s="5"/>
      <c r="FU700" s="5"/>
      <c r="FV700" s="5"/>
      <c r="FW700" s="5"/>
      <c r="FX700" s="5"/>
      <c r="FY700" s="5"/>
      <c r="FZ700" s="5"/>
      <c r="GA700" s="5"/>
      <c r="GB700" s="5"/>
      <c r="GC700" s="5"/>
      <c r="GD700" s="5"/>
      <c r="GE700" s="5"/>
      <c r="GF700" s="5"/>
      <c r="GG700" s="5"/>
      <c r="GH700" s="5"/>
      <c r="GI700" s="5"/>
      <c r="GJ700" s="5"/>
      <c r="GK700" s="5"/>
      <c r="GL700" s="5"/>
      <c r="GM700" s="5"/>
      <c r="GN700" s="5"/>
      <c r="GO700" s="5"/>
      <c r="GP700" s="5"/>
      <c r="GQ700" s="5"/>
      <c r="GR700" s="5"/>
      <c r="GS700" s="5"/>
      <c r="GT700" s="5"/>
      <c r="GU700" s="5"/>
      <c r="GV700" s="5"/>
      <c r="GW700" s="5"/>
      <c r="GX700" s="5"/>
      <c r="GY700" s="5"/>
      <c r="GZ700" s="5"/>
      <c r="HA700" s="5"/>
      <c r="HB700" s="5"/>
      <c r="HC700" s="5"/>
      <c r="HD700" s="5"/>
      <c r="HE700" s="5"/>
      <c r="HF700" s="5"/>
      <c r="HG700" s="5"/>
      <c r="HH700" s="5"/>
      <c r="HI700" s="5"/>
      <c r="HJ700" s="5"/>
      <c r="HK700" s="5"/>
      <c r="HL700" s="5"/>
      <c r="HM700" s="5"/>
      <c r="HN700" s="5"/>
      <c r="HO700" s="5"/>
      <c r="HP700" s="5"/>
      <c r="HQ700" s="5"/>
      <c r="HR700" s="5"/>
      <c r="HS700" s="5"/>
      <c r="HT700" s="5"/>
      <c r="HU700" s="5"/>
      <c r="HV700" s="5"/>
      <c r="HW700" s="5"/>
      <c r="HX700" s="5"/>
      <c r="HY700" s="5"/>
      <c r="HZ700" s="5"/>
      <c r="IA700" s="5"/>
      <c r="IB700" s="5"/>
      <c r="IC700" s="5"/>
      <c r="ID700" s="5"/>
      <c r="IE700" s="5"/>
      <c r="IF700" s="5"/>
      <c r="IG700" s="5"/>
      <c r="IH700" s="5"/>
      <c r="II700" s="5"/>
      <c r="IJ700" s="5"/>
      <c r="IK700" s="5"/>
      <c r="IL700" s="5"/>
      <c r="IM700" s="5"/>
      <c r="IN700" s="5"/>
      <c r="IO700" s="5"/>
      <c r="IP700" s="5"/>
      <c r="IQ700" s="5"/>
      <c r="IR700" s="5"/>
      <c r="IS700" s="5"/>
      <c r="IT700" s="5"/>
      <c r="IU700" s="5"/>
      <c r="IV700" s="5"/>
      <c r="IW700" s="5"/>
      <c r="IX700" s="5"/>
      <c r="IY700" s="5"/>
      <c r="IZ700" s="5"/>
      <c r="JA700" s="5"/>
      <c r="JB700" s="5"/>
      <c r="JC700" s="5"/>
      <c r="JD700" s="5"/>
      <c r="JE700" s="5"/>
      <c r="JF700" s="5"/>
      <c r="JG700" s="5"/>
      <c r="JH700" s="5"/>
      <c r="JI700" s="5"/>
      <c r="JJ700" s="5"/>
      <c r="JK700" s="5"/>
      <c r="JL700" s="5"/>
      <c r="JM700" s="5"/>
      <c r="JN700" s="5"/>
      <c r="JO700" s="5"/>
      <c r="JP700" s="5"/>
      <c r="JQ700" s="5"/>
      <c r="JR700" s="5"/>
      <c r="JS700" s="5"/>
      <c r="JT700" s="5"/>
      <c r="JU700" s="5"/>
      <c r="JV700" s="5"/>
      <c r="JW700" s="5"/>
      <c r="JX700" s="5"/>
      <c r="JY700" s="5"/>
      <c r="JZ700" s="5"/>
      <c r="KA700" s="5"/>
      <c r="KB700" s="5"/>
      <c r="KC700" s="5"/>
      <c r="KD700" s="5"/>
      <c r="KE700" s="5"/>
      <c r="KF700" s="5"/>
      <c r="KG700" s="5"/>
      <c r="KH700" s="5"/>
      <c r="KI700" s="5"/>
      <c r="KJ700" s="5"/>
      <c r="KK700" s="5"/>
      <c r="KL700" s="5"/>
      <c r="KM700" s="5"/>
      <c r="KN700" s="5"/>
      <c r="KO700" s="5"/>
      <c r="KP700" s="5"/>
      <c r="KQ700" s="5"/>
      <c r="KR700" s="5"/>
      <c r="KS700" s="5"/>
      <c r="KT700" s="5"/>
      <c r="KU700" s="5"/>
      <c r="KV700" s="5"/>
      <c r="KW700" s="5"/>
      <c r="KX700" s="5"/>
      <c r="KY700" s="5"/>
      <c r="KZ700" s="5"/>
      <c r="LA700" s="5"/>
      <c r="LB700" s="5"/>
      <c r="LC700" s="5"/>
      <c r="LD700" s="5"/>
      <c r="LE700" s="5"/>
      <c r="LF700" s="5"/>
      <c r="LG700" s="5"/>
      <c r="LH700" s="5"/>
      <c r="LI700" s="5"/>
      <c r="LJ700" s="5"/>
      <c r="LK700" s="5"/>
      <c r="LL700" s="5"/>
      <c r="LM700" s="5"/>
      <c r="LN700" s="5"/>
      <c r="LO700" s="5"/>
      <c r="LP700" s="5"/>
      <c r="LQ700" s="5"/>
      <c r="LR700" s="5"/>
      <c r="LS700" s="5"/>
      <c r="LT700" s="5"/>
      <c r="LU700" s="5"/>
      <c r="LV700" s="5"/>
      <c r="LW700" s="5"/>
      <c r="LX700" s="5"/>
      <c r="LY700" s="5"/>
      <c r="LZ700" s="5"/>
      <c r="MA700" s="5"/>
      <c r="MB700" s="5"/>
      <c r="MC700" s="5"/>
      <c r="MD700" s="5"/>
      <c r="ME700" s="5"/>
      <c r="MF700" s="5"/>
      <c r="MG700" s="5"/>
      <c r="MH700" s="5"/>
      <c r="MI700" s="5"/>
      <c r="MJ700" s="5"/>
      <c r="MK700" s="5"/>
      <c r="ML700" s="5"/>
      <c r="MM700" s="5"/>
      <c r="MN700" s="5"/>
      <c r="MO700" s="5"/>
      <c r="MP700" s="5"/>
      <c r="MQ700" s="5"/>
      <c r="MR700" s="5"/>
      <c r="MS700" s="5"/>
      <c r="MT700" s="5"/>
      <c r="MU700" s="5"/>
      <c r="MV700" s="5"/>
      <c r="MW700" s="5"/>
      <c r="MX700" s="5"/>
      <c r="MY700" s="5"/>
      <c r="MZ700" s="5"/>
      <c r="NA700" s="5"/>
      <c r="NB700" s="5"/>
      <c r="NC700" s="5"/>
      <c r="ND700" s="5"/>
      <c r="NE700" s="5"/>
      <c r="NF700" s="5"/>
      <c r="NG700" s="5"/>
      <c r="NH700" s="5"/>
      <c r="NI700" s="5"/>
      <c r="NJ700" s="5"/>
      <c r="NK700" s="5"/>
      <c r="NL700" s="5"/>
      <c r="NM700" s="5"/>
      <c r="NN700" s="5"/>
      <c r="NO700" s="5"/>
      <c r="NP700" s="5"/>
      <c r="NQ700" s="5"/>
      <c r="NR700" s="5"/>
      <c r="NS700" s="5"/>
      <c r="NT700" s="5"/>
      <c r="NU700" s="5"/>
      <c r="NV700" s="5"/>
      <c r="NW700" s="5"/>
      <c r="NX700" s="5"/>
      <c r="NY700" s="5"/>
      <c r="NZ700" s="5"/>
      <c r="OA700" s="5"/>
      <c r="OB700" s="5"/>
      <c r="OC700" s="5"/>
      <c r="OD700" s="5"/>
      <c r="OE700" s="5"/>
      <c r="OF700" s="5"/>
      <c r="OG700" s="5"/>
      <c r="OH700" s="5"/>
      <c r="OI700" s="5"/>
      <c r="OJ700" s="5"/>
      <c r="OK700" s="5"/>
      <c r="OL700" s="5"/>
      <c r="OM700" s="5"/>
      <c r="ON700" s="5"/>
      <c r="OO700" s="5"/>
      <c r="OP700" s="5"/>
      <c r="OQ700" s="5"/>
      <c r="OR700" s="5"/>
      <c r="OS700" s="5"/>
      <c r="OT700" s="5"/>
      <c r="OU700" s="5"/>
      <c r="OV700" s="5"/>
      <c r="OW700" s="5"/>
      <c r="OX700" s="5"/>
      <c r="OY700" s="5"/>
      <c r="OZ700" s="5"/>
      <c r="PA700" s="5"/>
      <c r="PB700" s="5"/>
      <c r="PC700" s="5"/>
      <c r="PD700" s="5"/>
      <c r="PE700" s="5"/>
      <c r="PF700" s="5"/>
      <c r="PG700" s="5"/>
      <c r="PH700" s="5"/>
      <c r="PI700" s="5"/>
      <c r="PJ700" s="5"/>
      <c r="PK700" s="5"/>
      <c r="PL700" s="5"/>
      <c r="PM700" s="5"/>
      <c r="PN700" s="5"/>
      <c r="PO700" s="5"/>
      <c r="PP700" s="5"/>
      <c r="PQ700" s="5"/>
      <c r="PR700" s="5"/>
      <c r="PS700" s="5"/>
      <c r="PT700" s="5"/>
      <c r="PU700" s="5"/>
      <c r="PV700" s="5"/>
      <c r="PW700" s="5"/>
      <c r="PX700" s="5"/>
      <c r="PY700" s="5"/>
      <c r="PZ700" s="5"/>
      <c r="QA700" s="5"/>
      <c r="QB700" s="5"/>
      <c r="QC700" s="5"/>
      <c r="QD700" s="5"/>
      <c r="QE700" s="5"/>
      <c r="QF700" s="5"/>
      <c r="QG700" s="5"/>
      <c r="QH700" s="5"/>
      <c r="QI700" s="5"/>
      <c r="QJ700" s="5"/>
      <c r="QK700" s="5"/>
      <c r="QL700" s="5"/>
      <c r="QM700" s="5"/>
      <c r="QN700" s="5"/>
      <c r="QO700" s="5"/>
      <c r="QP700" s="5"/>
      <c r="QQ700" s="5"/>
      <c r="QR700" s="5"/>
      <c r="QS700" s="5"/>
      <c r="QT700" s="5"/>
      <c r="QU700" s="5"/>
      <c r="QV700" s="5"/>
      <c r="QW700" s="5"/>
      <c r="QX700" s="5"/>
      <c r="QY700" s="5"/>
      <c r="QZ700" s="5"/>
      <c r="RA700" s="5"/>
      <c r="RB700" s="5"/>
      <c r="RC700" s="5"/>
      <c r="RD700" s="5"/>
      <c r="RE700" s="5"/>
      <c r="RF700" s="5"/>
      <c r="RG700" s="5"/>
      <c r="RH700" s="5"/>
      <c r="RI700" s="5"/>
      <c r="RJ700" s="5"/>
      <c r="RK700" s="5"/>
      <c r="RL700" s="5"/>
      <c r="RM700" s="5"/>
      <c r="RN700" s="5"/>
      <c r="RO700" s="5"/>
      <c r="RP700" s="5"/>
      <c r="RQ700" s="5"/>
      <c r="RR700" s="5"/>
      <c r="RS700" s="5"/>
      <c r="RT700" s="5"/>
      <c r="RU700" s="5"/>
      <c r="RV700" s="5"/>
      <c r="RW700" s="5"/>
      <c r="RX700" s="5"/>
      <c r="RY700" s="5"/>
      <c r="RZ700" s="5"/>
      <c r="SA700" s="5"/>
      <c r="SB700" s="5"/>
      <c r="SC700" s="5"/>
      <c r="SD700" s="5"/>
      <c r="SE700" s="5"/>
      <c r="SF700" s="5"/>
      <c r="SG700" s="5"/>
      <c r="SH700" s="5"/>
      <c r="SI700" s="5"/>
      <c r="SJ700" s="5"/>
      <c r="SK700" s="5"/>
      <c r="SL700" s="5"/>
      <c r="SM700" s="5"/>
      <c r="SN700" s="5"/>
      <c r="SO700" s="5"/>
      <c r="SP700" s="5"/>
      <c r="SQ700" s="5"/>
      <c r="SR700" s="5"/>
      <c r="SS700" s="5"/>
      <c r="ST700" s="5"/>
      <c r="SU700" s="5"/>
      <c r="SV700" s="5"/>
      <c r="SW700" s="5"/>
      <c r="SX700" s="5"/>
      <c r="SY700" s="5"/>
      <c r="SZ700" s="5"/>
      <c r="TA700" s="5"/>
      <c r="TB700" s="5"/>
      <c r="TC700" s="5"/>
      <c r="TD700" s="5"/>
      <c r="TE700" s="5"/>
      <c r="TF700" s="5"/>
      <c r="TG700" s="5"/>
      <c r="TH700" s="5"/>
      <c r="TI700" s="5"/>
      <c r="TJ700" s="5"/>
      <c r="TK700" s="5"/>
      <c r="TL700" s="5"/>
      <c r="TM700" s="5"/>
      <c r="TN700" s="5"/>
      <c r="TO700" s="5"/>
      <c r="TP700" s="5"/>
      <c r="TQ700" s="5"/>
      <c r="TR700" s="5"/>
      <c r="TS700" s="5"/>
      <c r="TT700" s="5"/>
      <c r="TU700" s="5"/>
      <c r="TV700" s="5"/>
      <c r="TW700" s="5"/>
      <c r="TX700" s="5"/>
      <c r="TY700" s="5"/>
      <c r="TZ700" s="5"/>
      <c r="UA700" s="5"/>
      <c r="UB700" s="5"/>
      <c r="UC700" s="5"/>
      <c r="UD700" s="5"/>
      <c r="UE700" s="5"/>
      <c r="UF700" s="5"/>
      <c r="UG700" s="5"/>
      <c r="UH700" s="5"/>
      <c r="UI700" s="5"/>
      <c r="UJ700" s="5"/>
      <c r="UK700" s="5"/>
      <c r="UL700" s="5"/>
      <c r="UM700" s="5"/>
      <c r="UN700" s="5"/>
      <c r="UO700" s="5"/>
      <c r="UP700" s="5"/>
      <c r="UQ700" s="5"/>
      <c r="UR700" s="5"/>
      <c r="US700" s="5"/>
      <c r="UT700" s="5"/>
      <c r="UU700" s="5"/>
      <c r="UV700" s="5"/>
      <c r="UW700" s="5"/>
      <c r="UX700" s="5"/>
      <c r="UY700" s="5"/>
      <c r="UZ700" s="5"/>
      <c r="VA700" s="5"/>
      <c r="VB700" s="5"/>
      <c r="VC700" s="5"/>
      <c r="VD700" s="5"/>
      <c r="VE700" s="5"/>
      <c r="VF700" s="5"/>
      <c r="VG700" s="5"/>
      <c r="VH700" s="5"/>
      <c r="VI700" s="5"/>
      <c r="VJ700" s="5"/>
      <c r="VK700" s="5"/>
      <c r="VL700" s="5"/>
      <c r="VM700" s="5"/>
      <c r="VN700" s="5"/>
      <c r="VO700" s="5"/>
      <c r="VP700" s="5"/>
      <c r="VQ700" s="5"/>
      <c r="VR700" s="5"/>
      <c r="VS700" s="5"/>
      <c r="VT700" s="5"/>
      <c r="VU700" s="5"/>
      <c r="VV700" s="5"/>
      <c r="VW700" s="5"/>
      <c r="VX700" s="5"/>
      <c r="VY700" s="5"/>
      <c r="VZ700" s="5"/>
      <c r="WA700" s="5"/>
      <c r="WB700" s="5"/>
      <c r="WC700" s="5"/>
      <c r="WD700" s="5"/>
      <c r="WE700" s="5"/>
      <c r="WF700" s="5"/>
      <c r="WG700" s="5"/>
      <c r="WH700" s="5"/>
      <c r="WI700" s="5"/>
      <c r="WJ700" s="5"/>
      <c r="WK700" s="5"/>
      <c r="WL700" s="5"/>
      <c r="WM700" s="5"/>
      <c r="WN700" s="5"/>
      <c r="WO700" s="5"/>
      <c r="WP700" s="5"/>
      <c r="WQ700" s="5"/>
      <c r="WR700" s="5"/>
      <c r="WS700" s="5"/>
      <c r="WT700" s="5"/>
      <c r="WU700" s="5"/>
      <c r="WV700" s="5"/>
      <c r="WW700" s="5"/>
      <c r="WX700" s="5"/>
      <c r="WY700" s="5"/>
      <c r="WZ700" s="5"/>
      <c r="XA700" s="5"/>
      <c r="XB700" s="5"/>
      <c r="XC700" s="5"/>
      <c r="XD700" s="5"/>
      <c r="XE700" s="5"/>
      <c r="XF700" s="5"/>
      <c r="XG700" s="5"/>
      <c r="XH700" s="5"/>
      <c r="XI700" s="5"/>
      <c r="XJ700" s="5"/>
      <c r="XK700" s="5"/>
      <c r="XL700" s="5"/>
      <c r="XM700" s="5"/>
      <c r="XN700" s="5"/>
      <c r="XO700" s="5"/>
      <c r="XP700" s="5"/>
      <c r="XQ700" s="5"/>
      <c r="XR700" s="5"/>
      <c r="XS700" s="5"/>
      <c r="XT700" s="5"/>
      <c r="XU700" s="5"/>
      <c r="XV700" s="5"/>
      <c r="XW700" s="5"/>
      <c r="XX700" s="5"/>
      <c r="XY700" s="5"/>
      <c r="XZ700" s="5"/>
      <c r="YA700" s="5"/>
      <c r="YB700" s="5"/>
      <c r="YC700" s="5"/>
      <c r="YD700" s="5"/>
      <c r="YE700" s="5"/>
      <c r="YF700" s="5"/>
      <c r="YG700" s="5"/>
      <c r="YH700" s="5"/>
      <c r="YI700" s="5"/>
      <c r="YJ700" s="5"/>
      <c r="YK700" s="5"/>
      <c r="YL700" s="5"/>
      <c r="YM700" s="5"/>
      <c r="YN700" s="5"/>
      <c r="YO700" s="5"/>
      <c r="YP700" s="5"/>
      <c r="YQ700" s="5"/>
      <c r="YR700" s="5"/>
      <c r="YS700" s="5"/>
      <c r="YT700" s="5"/>
      <c r="YU700" s="5"/>
      <c r="YV700" s="5"/>
      <c r="YW700" s="5"/>
      <c r="YX700" s="5"/>
      <c r="YY700" s="5"/>
      <c r="YZ700" s="5"/>
      <c r="ZA700" s="5"/>
      <c r="ZB700" s="5"/>
      <c r="ZC700" s="5"/>
      <c r="ZD700" s="5"/>
      <c r="ZE700" s="5"/>
      <c r="ZF700" s="5"/>
      <c r="ZG700" s="5"/>
      <c r="ZH700" s="5"/>
      <c r="ZI700" s="5"/>
      <c r="ZJ700" s="5"/>
      <c r="ZK700" s="5"/>
      <c r="ZL700" s="5"/>
      <c r="ZM700" s="5"/>
      <c r="ZN700" s="5"/>
      <c r="ZO700" s="5"/>
      <c r="ZP700" s="5"/>
      <c r="ZQ700" s="5"/>
      <c r="ZR700" s="5"/>
      <c r="ZS700" s="5"/>
      <c r="ZT700" s="5"/>
      <c r="ZU700" s="5"/>
      <c r="ZV700" s="5"/>
      <c r="ZW700" s="5"/>
      <c r="ZX700" s="5"/>
      <c r="ZY700" s="5"/>
      <c r="ZZ700" s="5"/>
      <c r="AAA700" s="5"/>
      <c r="AAB700" s="5"/>
      <c r="AAC700" s="5"/>
      <c r="AAD700" s="5"/>
      <c r="AAE700" s="5"/>
      <c r="AAF700" s="5"/>
      <c r="AAG700" s="5"/>
      <c r="AAH700" s="5"/>
      <c r="AAI700" s="5"/>
      <c r="AAJ700" s="5"/>
      <c r="AAK700" s="5"/>
      <c r="AAL700" s="5"/>
      <c r="AAM700" s="5"/>
      <c r="AAN700" s="5"/>
      <c r="AAO700" s="5"/>
      <c r="AAP700" s="5"/>
      <c r="AAQ700" s="5"/>
      <c r="AAR700" s="5"/>
      <c r="AAS700" s="5"/>
      <c r="AAT700" s="5"/>
      <c r="AAU700" s="5"/>
      <c r="AAV700" s="5"/>
      <c r="AAW700" s="5"/>
      <c r="AAX700" s="5"/>
      <c r="AAY700" s="5"/>
      <c r="AAZ700" s="5"/>
      <c r="ABA700" s="5"/>
      <c r="ABB700" s="5"/>
      <c r="ABC700" s="5"/>
      <c r="ABD700" s="5"/>
      <c r="ABE700" s="5"/>
      <c r="ABF700" s="5"/>
      <c r="ABG700" s="5"/>
      <c r="ABH700" s="5"/>
      <c r="ABI700" s="5"/>
      <c r="ABJ700" s="5"/>
      <c r="ABK700" s="5"/>
      <c r="ABL700" s="5"/>
      <c r="ABM700" s="5"/>
      <c r="ABN700" s="5"/>
      <c r="ABO700" s="5"/>
      <c r="ABP700" s="5"/>
      <c r="ABQ700" s="5"/>
      <c r="ABR700" s="5"/>
      <c r="ABS700" s="5"/>
      <c r="ABT700" s="5"/>
      <c r="ABU700" s="5"/>
      <c r="ABV700" s="5"/>
      <c r="ABW700" s="5"/>
      <c r="ABX700" s="5"/>
      <c r="ABY700" s="5"/>
      <c r="ABZ700" s="5"/>
      <c r="ACA700" s="5"/>
      <c r="ACB700" s="5"/>
      <c r="ACC700" s="5"/>
      <c r="ACD700" s="5"/>
      <c r="ACE700" s="5"/>
      <c r="ACF700" s="5"/>
      <c r="ACG700" s="5"/>
      <c r="ACH700" s="5"/>
      <c r="ACI700" s="5"/>
      <c r="ACJ700" s="5"/>
      <c r="ACK700" s="5"/>
      <c r="ACL700" s="5"/>
      <c r="ACM700" s="5"/>
      <c r="ACN700" s="5"/>
      <c r="ACO700" s="5"/>
      <c r="ACP700" s="5"/>
      <c r="ACQ700" s="5"/>
      <c r="ACR700" s="5"/>
      <c r="ACS700" s="5"/>
      <c r="ACT700" s="5"/>
      <c r="ACU700" s="5"/>
      <c r="ACV700" s="5"/>
      <c r="ACW700" s="5"/>
      <c r="ACX700" s="5"/>
      <c r="ACY700" s="5"/>
      <c r="ACZ700" s="5"/>
      <c r="ADA700" s="5"/>
      <c r="ADB700" s="5"/>
      <c r="ADC700" s="5"/>
      <c r="ADD700" s="5"/>
      <c r="ADE700" s="5"/>
      <c r="ADF700" s="5"/>
      <c r="ADG700" s="5"/>
      <c r="ADH700" s="5"/>
      <c r="ADI700" s="5"/>
      <c r="ADJ700" s="5"/>
      <c r="ADK700" s="5"/>
      <c r="ADL700" s="5"/>
      <c r="ADM700" s="5"/>
      <c r="ADN700" s="5"/>
      <c r="ADO700" s="5"/>
      <c r="ADP700" s="5"/>
      <c r="ADQ700" s="5"/>
      <c r="ADR700" s="5"/>
      <c r="ADS700" s="5"/>
      <c r="ADT700" s="5"/>
      <c r="ADU700" s="5"/>
      <c r="ADV700" s="5"/>
      <c r="ADW700" s="5"/>
      <c r="ADX700" s="5"/>
      <c r="ADY700" s="5"/>
      <c r="ADZ700" s="5"/>
      <c r="AEA700" s="5"/>
      <c r="AEB700" s="5"/>
      <c r="AEC700" s="5"/>
      <c r="AED700" s="5"/>
      <c r="AEE700" s="5"/>
      <c r="AEF700" s="5"/>
      <c r="AEG700" s="5"/>
      <c r="AEH700" s="5"/>
      <c r="AEI700" s="5"/>
      <c r="AEJ700" s="5"/>
      <c r="AEK700" s="5"/>
      <c r="AEL700" s="5"/>
      <c r="AEM700" s="5"/>
      <c r="AEN700" s="5"/>
      <c r="AEO700" s="5"/>
      <c r="AEP700" s="5"/>
      <c r="AEQ700" s="5"/>
      <c r="AER700" s="5"/>
      <c r="AES700" s="5"/>
      <c r="AET700" s="5"/>
      <c r="AEU700" s="5"/>
      <c r="AEV700" s="5"/>
      <c r="AEW700" s="5"/>
      <c r="AEX700" s="5"/>
      <c r="AEY700" s="5"/>
      <c r="AEZ700" s="5"/>
      <c r="AFA700" s="5"/>
      <c r="AFB700" s="5"/>
      <c r="AFC700" s="5"/>
      <c r="AFD700" s="5"/>
      <c r="AFE700" s="5"/>
      <c r="AFF700" s="5"/>
      <c r="AFG700" s="5"/>
      <c r="AFH700" s="5"/>
      <c r="AFI700" s="5"/>
      <c r="AFJ700" s="5"/>
      <c r="AFK700" s="5"/>
      <c r="AFL700" s="5"/>
      <c r="AFM700" s="5"/>
      <c r="AFN700" s="5"/>
      <c r="AFO700" s="5"/>
      <c r="AFP700" s="5"/>
      <c r="AFQ700" s="5"/>
      <c r="AFR700" s="5"/>
      <c r="AFS700" s="5"/>
      <c r="AFT700" s="5"/>
      <c r="AFU700" s="5"/>
      <c r="AFV700" s="5"/>
      <c r="AFW700" s="5"/>
      <c r="AFX700" s="5"/>
      <c r="AFY700" s="5"/>
      <c r="AFZ700" s="5"/>
      <c r="AGA700" s="5"/>
      <c r="AGB700" s="5"/>
      <c r="AGC700" s="5"/>
      <c r="AGD700" s="5"/>
      <c r="AGE700" s="5"/>
      <c r="AGF700" s="5"/>
      <c r="AGG700" s="5"/>
      <c r="AGH700" s="5"/>
      <c r="AGI700" s="5"/>
      <c r="AGJ700" s="5"/>
      <c r="AGK700" s="5"/>
      <c r="AGL700" s="5"/>
      <c r="AGM700" s="5"/>
      <c r="AGN700" s="5"/>
      <c r="AGO700" s="5"/>
      <c r="AGP700" s="5"/>
      <c r="AGQ700" s="5"/>
      <c r="AGR700" s="5"/>
      <c r="AGS700" s="5"/>
      <c r="AGT700" s="5"/>
      <c r="AGU700" s="5"/>
      <c r="AGV700" s="5"/>
      <c r="AGW700" s="5"/>
      <c r="AGX700" s="5"/>
      <c r="AGY700" s="5"/>
      <c r="AGZ700" s="5"/>
      <c r="AHA700" s="5"/>
      <c r="AHB700" s="5"/>
      <c r="AHC700" s="5"/>
      <c r="AHD700" s="5"/>
      <c r="AHE700" s="5"/>
      <c r="AHF700" s="5"/>
      <c r="AHG700" s="5"/>
      <c r="AHH700" s="5"/>
      <c r="AHI700" s="5"/>
      <c r="AHJ700" s="5"/>
      <c r="AHK700" s="5"/>
      <c r="AHL700" s="5"/>
      <c r="AHM700" s="5"/>
      <c r="AHN700" s="5"/>
      <c r="AHO700" s="5"/>
      <c r="AHP700" s="5"/>
      <c r="AHQ700" s="5"/>
      <c r="AHR700" s="5"/>
      <c r="AHS700" s="5"/>
      <c r="AHT700" s="5"/>
      <c r="AHU700" s="5"/>
      <c r="AHV700" s="5"/>
      <c r="AHW700" s="5"/>
      <c r="AHX700" s="5"/>
      <c r="AHY700" s="5"/>
      <c r="AHZ700" s="5"/>
      <c r="AIA700" s="5"/>
      <c r="AIB700" s="5"/>
      <c r="AIC700" s="5"/>
      <c r="AID700" s="5"/>
      <c r="AIE700" s="5"/>
      <c r="AIF700" s="5"/>
      <c r="AIG700" s="5"/>
      <c r="AIH700" s="5"/>
      <c r="AII700" s="5"/>
      <c r="AIJ700" s="5"/>
      <c r="AIK700" s="5"/>
      <c r="AIL700" s="5"/>
      <c r="AIM700" s="5"/>
      <c r="AIN700" s="5"/>
      <c r="AIO700" s="5"/>
      <c r="AIP700" s="5"/>
      <c r="AIQ700" s="5"/>
      <c r="AIR700" s="5"/>
      <c r="AIS700" s="5"/>
      <c r="AIT700" s="5"/>
      <c r="AIU700" s="5"/>
      <c r="AIV700" s="5"/>
      <c r="AIW700" s="5"/>
      <c r="AIX700" s="5"/>
      <c r="AIY700" s="5"/>
      <c r="AIZ700" s="5"/>
      <c r="AJA700" s="5"/>
      <c r="AJB700" s="5"/>
      <c r="AJC700" s="5"/>
      <c r="AJD700" s="5"/>
      <c r="AJE700" s="5"/>
      <c r="AJF700" s="5"/>
      <c r="AJG700" s="5"/>
      <c r="AJH700" s="5"/>
      <c r="AJI700" s="5"/>
      <c r="AJJ700" s="5"/>
      <c r="AJK700" s="5"/>
      <c r="AJL700" s="5"/>
      <c r="AJM700" s="5"/>
      <c r="AJN700" s="5"/>
      <c r="AJO700" s="5"/>
      <c r="AJP700" s="5"/>
      <c r="AJQ700" s="5"/>
      <c r="AJR700" s="5"/>
      <c r="AJS700" s="5"/>
      <c r="AJT700" s="5"/>
      <c r="AJU700" s="5"/>
      <c r="AJV700" s="5"/>
      <c r="AJW700" s="5"/>
      <c r="AJX700" s="5"/>
      <c r="AJY700" s="5"/>
      <c r="AJZ700" s="5"/>
      <c r="AKA700" s="5"/>
      <c r="AKB700" s="5"/>
      <c r="AKC700" s="5"/>
      <c r="AKD700" s="5"/>
      <c r="AKE700" s="5"/>
      <c r="AKF700" s="5"/>
      <c r="AKG700" s="5"/>
      <c r="AKH700" s="5"/>
      <c r="AKI700" s="5"/>
      <c r="AKJ700" s="5"/>
      <c r="AKK700" s="5"/>
      <c r="AKL700" s="5"/>
      <c r="AKM700" s="5"/>
      <c r="AKN700" s="5"/>
      <c r="AKO700" s="5"/>
      <c r="AKP700" s="5"/>
      <c r="AKQ700" s="5"/>
      <c r="AKR700" s="5"/>
      <c r="AKS700" s="5"/>
      <c r="AKT700" s="5"/>
      <c r="AKU700" s="5"/>
      <c r="AKV700" s="5"/>
      <c r="AKW700" s="5"/>
      <c r="AKX700" s="5"/>
      <c r="AKY700" s="5"/>
      <c r="AKZ700" s="5"/>
      <c r="ALA700" s="5"/>
      <c r="ALB700" s="5"/>
      <c r="ALC700" s="5"/>
      <c r="ALD700" s="5"/>
      <c r="ALE700" s="5"/>
      <c r="ALF700" s="5"/>
      <c r="ALG700" s="5"/>
      <c r="ALH700" s="5"/>
      <c r="ALI700" s="5"/>
      <c r="ALJ700" s="5"/>
      <c r="ALK700" s="5"/>
      <c r="ALL700" s="5"/>
      <c r="ALM700" s="5"/>
      <c r="ALN700" s="5"/>
      <c r="ALO700" s="5"/>
      <c r="ALP700" s="5"/>
      <c r="ALQ700" s="5"/>
      <c r="ALR700" s="5"/>
      <c r="ALS700" s="5"/>
      <c r="ALT700" s="5"/>
      <c r="ALU700" s="5"/>
      <c r="ALV700" s="5"/>
      <c r="ALW700" s="5"/>
      <c r="ALX700" s="5"/>
      <c r="ALY700" s="5"/>
      <c r="ALZ700" s="5"/>
      <c r="AMA700" s="5"/>
      <c r="AMB700" s="5"/>
      <c r="AMC700" s="5"/>
      <c r="AMD700" s="5"/>
      <c r="AME700" s="5"/>
      <c r="AMF700" s="5"/>
      <c r="AMG700" s="5"/>
      <c r="AMH700" s="5"/>
      <c r="AMI700" s="5"/>
      <c r="AMJ700" s="5"/>
      <c r="AMK700" s="5"/>
      <c r="AML700" s="5"/>
      <c r="AMM700" s="5"/>
      <c r="AMN700" s="5"/>
      <c r="AMO700" s="5"/>
      <c r="AMP700" s="5"/>
      <c r="AMQ700" s="5"/>
      <c r="AMR700" s="5"/>
      <c r="AMS700" s="5"/>
      <c r="AMT700" s="5"/>
      <c r="AMU700" s="5"/>
      <c r="AMV700" s="5"/>
      <c r="AMW700" s="5"/>
      <c r="AMX700" s="5"/>
      <c r="AMY700" s="5"/>
      <c r="AMZ700" s="5"/>
      <c r="ANA700" s="5"/>
      <c r="ANB700" s="5"/>
      <c r="ANC700" s="5"/>
      <c r="AND700" s="5"/>
      <c r="ANE700" s="5"/>
      <c r="ANF700" s="5"/>
      <c r="ANG700" s="5"/>
      <c r="ANH700" s="5"/>
      <c r="ANI700" s="5"/>
      <c r="ANJ700" s="5"/>
      <c r="ANK700" s="5"/>
      <c r="ANL700" s="5"/>
      <c r="ANM700" s="5"/>
      <c r="ANN700" s="5"/>
      <c r="ANO700" s="5"/>
      <c r="ANP700" s="5"/>
      <c r="ANQ700" s="5"/>
      <c r="ANR700" s="5"/>
      <c r="ANS700" s="5"/>
      <c r="ANT700" s="5"/>
      <c r="ANU700" s="5"/>
      <c r="ANV700" s="5"/>
      <c r="ANW700" s="5"/>
      <c r="ANX700" s="5"/>
      <c r="ANY700" s="5"/>
      <c r="ANZ700" s="5"/>
      <c r="AOA700" s="5"/>
      <c r="AOB700" s="5"/>
      <c r="AOC700" s="5"/>
      <c r="AOD700" s="5"/>
      <c r="AOE700" s="5"/>
      <c r="AOF700" s="5"/>
      <c r="AOG700" s="5"/>
      <c r="AOH700" s="5"/>
      <c r="AOI700" s="5"/>
      <c r="AOJ700" s="5"/>
      <c r="AOK700" s="5"/>
      <c r="AOL700" s="5"/>
      <c r="AOM700" s="5"/>
      <c r="AON700" s="5"/>
      <c r="AOO700" s="5"/>
      <c r="AOP700" s="5"/>
      <c r="AOQ700" s="5"/>
      <c r="AOR700" s="5"/>
      <c r="AOS700" s="5"/>
      <c r="AOT700" s="5"/>
      <c r="AOU700" s="5"/>
      <c r="AOV700" s="5"/>
      <c r="AOW700" s="5"/>
      <c r="AOX700" s="5"/>
      <c r="AOY700" s="5"/>
      <c r="AOZ700" s="5"/>
      <c r="APA700" s="5"/>
      <c r="APB700" s="5"/>
      <c r="APC700" s="5"/>
      <c r="APD700" s="5"/>
      <c r="APE700" s="5"/>
      <c r="APF700" s="5"/>
      <c r="APG700" s="5"/>
      <c r="APH700" s="5"/>
      <c r="API700" s="5"/>
      <c r="APJ700" s="5"/>
      <c r="APK700" s="5"/>
      <c r="APL700" s="5"/>
      <c r="APM700" s="5"/>
      <c r="APN700" s="5"/>
      <c r="APO700" s="5"/>
      <c r="APP700" s="5"/>
      <c r="APQ700" s="5"/>
      <c r="APR700" s="5"/>
      <c r="APS700" s="5"/>
      <c r="APT700" s="5"/>
      <c r="APU700" s="5"/>
      <c r="APV700" s="5"/>
      <c r="APW700" s="5"/>
      <c r="APX700" s="5"/>
      <c r="APY700" s="5"/>
      <c r="APZ700" s="5"/>
      <c r="AQA700" s="5"/>
      <c r="AQB700" s="5"/>
      <c r="AQC700" s="5"/>
      <c r="AQD700" s="5"/>
      <c r="AQE700" s="5"/>
      <c r="AQF700" s="5"/>
      <c r="AQG700" s="5"/>
      <c r="AQH700" s="5"/>
      <c r="AQI700" s="5"/>
      <c r="AQJ700" s="5"/>
      <c r="AQK700" s="5"/>
      <c r="AQL700" s="5"/>
      <c r="AQM700" s="5"/>
      <c r="AQN700" s="5"/>
      <c r="AQO700" s="5"/>
      <c r="AQP700" s="5"/>
      <c r="AQQ700" s="5"/>
      <c r="AQR700" s="5"/>
      <c r="AQS700" s="5"/>
      <c r="AQT700" s="5"/>
      <c r="AQU700" s="5"/>
      <c r="AQV700" s="5"/>
      <c r="AQW700" s="5"/>
      <c r="AQX700" s="5"/>
      <c r="AQY700" s="5"/>
      <c r="AQZ700" s="5"/>
      <c r="ARA700" s="5"/>
      <c r="ARB700" s="5"/>
      <c r="ARC700" s="5"/>
      <c r="ARD700" s="5"/>
      <c r="ARE700" s="5"/>
      <c r="ARF700" s="5"/>
      <c r="ARG700" s="5"/>
      <c r="ARH700" s="5"/>
      <c r="ARI700" s="5"/>
      <c r="ARJ700" s="5"/>
      <c r="ARK700" s="5"/>
      <c r="ARL700" s="5"/>
      <c r="ARM700" s="5"/>
      <c r="ARN700" s="5"/>
      <c r="ARO700" s="5"/>
      <c r="ARP700" s="5"/>
      <c r="ARQ700" s="5"/>
      <c r="ARR700" s="5"/>
      <c r="ARS700" s="5"/>
      <c r="ART700" s="5"/>
      <c r="ARU700" s="5"/>
      <c r="ARV700" s="5"/>
      <c r="ARW700" s="5"/>
      <c r="ARX700" s="5"/>
      <c r="ARY700" s="5"/>
      <c r="ARZ700" s="5"/>
      <c r="ASA700" s="5"/>
      <c r="ASB700" s="5"/>
      <c r="ASC700" s="5"/>
      <c r="ASD700" s="5"/>
      <c r="ASE700" s="5"/>
      <c r="ASF700" s="5"/>
      <c r="ASG700" s="5"/>
      <c r="ASH700" s="5"/>
      <c r="ASI700" s="5"/>
      <c r="ASJ700" s="5"/>
      <c r="ASK700" s="5"/>
      <c r="ASL700" s="5"/>
      <c r="ASM700" s="5"/>
      <c r="ASN700" s="5"/>
      <c r="ASO700" s="5"/>
      <c r="ASP700" s="5"/>
      <c r="ASQ700" s="5"/>
      <c r="ASR700" s="5"/>
      <c r="ASS700" s="5"/>
      <c r="AST700" s="5"/>
      <c r="ASU700" s="5"/>
      <c r="ASV700" s="5"/>
      <c r="ASW700" s="5"/>
      <c r="ASX700" s="5"/>
      <c r="ASY700" s="5"/>
      <c r="ASZ700" s="5"/>
      <c r="ATA700" s="5"/>
      <c r="ATB700" s="5"/>
      <c r="ATC700" s="5"/>
      <c r="ATD700" s="5"/>
      <c r="ATE700" s="5"/>
      <c r="ATF700" s="5"/>
      <c r="ATG700" s="5"/>
      <c r="ATH700" s="5"/>
      <c r="ATI700" s="5"/>
      <c r="ATJ700" s="5"/>
      <c r="ATK700" s="5"/>
      <c r="ATL700" s="5"/>
      <c r="ATM700" s="5"/>
      <c r="ATN700" s="5"/>
      <c r="ATO700" s="5"/>
      <c r="ATP700" s="5"/>
      <c r="ATQ700" s="5"/>
      <c r="ATR700" s="5"/>
      <c r="ATS700" s="5"/>
      <c r="ATT700" s="5"/>
      <c r="ATU700" s="5"/>
      <c r="ATV700" s="5"/>
      <c r="ATW700" s="5"/>
      <c r="ATX700" s="5"/>
    </row>
    <row r="701" spans="1:1220" s="67" customFormat="1" ht="12.75" customHeight="1" x14ac:dyDescent="0.35">
      <c r="A701" s="76" t="s">
        <v>229</v>
      </c>
      <c r="B701" s="99" t="s">
        <v>117</v>
      </c>
      <c r="C701" s="76" t="s">
        <v>2601</v>
      </c>
      <c r="D701" s="142" t="s">
        <v>2601</v>
      </c>
      <c r="E701" s="76"/>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c r="DX701" s="5"/>
      <c r="DY701" s="5"/>
      <c r="DZ701" s="5"/>
      <c r="EA701" s="5"/>
      <c r="EB701" s="5"/>
      <c r="EC701" s="5"/>
      <c r="ED701" s="5"/>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s="5"/>
      <c r="FG701" s="5"/>
      <c r="FH701" s="5"/>
      <c r="FI701" s="5"/>
      <c r="FJ701" s="5"/>
      <c r="FK701" s="5"/>
      <c r="FL701" s="5"/>
      <c r="FM701" s="5"/>
      <c r="FN701" s="5"/>
      <c r="FO701" s="5"/>
      <c r="FP701" s="5"/>
      <c r="FQ701" s="5"/>
      <c r="FR701" s="5"/>
      <c r="FS701" s="5"/>
      <c r="FT701" s="5"/>
      <c r="FU701" s="5"/>
      <c r="FV701" s="5"/>
      <c r="FW701" s="5"/>
      <c r="FX701" s="5"/>
      <c r="FY701" s="5"/>
      <c r="FZ701" s="5"/>
      <c r="GA701" s="5"/>
      <c r="GB701" s="5"/>
      <c r="GC701" s="5"/>
      <c r="GD701" s="5"/>
      <c r="GE701" s="5"/>
      <c r="GF701" s="5"/>
      <c r="GG701" s="5"/>
      <c r="GH701" s="5"/>
      <c r="GI701" s="5"/>
      <c r="GJ701" s="5"/>
      <c r="GK701" s="5"/>
      <c r="GL701" s="5"/>
      <c r="GM701" s="5"/>
      <c r="GN701" s="5"/>
      <c r="GO701" s="5"/>
      <c r="GP701" s="5"/>
      <c r="GQ701" s="5"/>
      <c r="GR701" s="5"/>
      <c r="GS701" s="5"/>
      <c r="GT701" s="5"/>
      <c r="GU701" s="5"/>
      <c r="GV701" s="5"/>
      <c r="GW701" s="5"/>
      <c r="GX701" s="5"/>
      <c r="GY701" s="5"/>
      <c r="GZ701" s="5"/>
      <c r="HA701" s="5"/>
      <c r="HB701" s="5"/>
      <c r="HC701" s="5"/>
      <c r="HD701" s="5"/>
      <c r="HE701" s="5"/>
      <c r="HF701" s="5"/>
      <c r="HG701" s="5"/>
      <c r="HH701" s="5"/>
      <c r="HI701" s="5"/>
      <c r="HJ701" s="5"/>
      <c r="HK701" s="5"/>
      <c r="HL701" s="5"/>
      <c r="HM701" s="5"/>
      <c r="HN701" s="5"/>
      <c r="HO701" s="5"/>
      <c r="HP701" s="5"/>
      <c r="HQ701" s="5"/>
      <c r="HR701" s="5"/>
      <c r="HS701" s="5"/>
      <c r="HT701" s="5"/>
      <c r="HU701" s="5"/>
      <c r="HV701" s="5"/>
      <c r="HW701" s="5"/>
      <c r="HX701" s="5"/>
      <c r="HY701" s="5"/>
      <c r="HZ701" s="5"/>
      <c r="IA701" s="5"/>
      <c r="IB701" s="5"/>
      <c r="IC701" s="5"/>
      <c r="ID701" s="5"/>
      <c r="IE701" s="5"/>
      <c r="IF701" s="5"/>
      <c r="IG701" s="5"/>
      <c r="IH701" s="5"/>
      <c r="II701" s="5"/>
      <c r="IJ701" s="5"/>
      <c r="IK701" s="5"/>
      <c r="IL701" s="5"/>
      <c r="IM701" s="5"/>
      <c r="IN701" s="5"/>
      <c r="IO701" s="5"/>
      <c r="IP701" s="5"/>
      <c r="IQ701" s="5"/>
      <c r="IR701" s="5"/>
      <c r="IS701" s="5"/>
      <c r="IT701" s="5"/>
      <c r="IU701" s="5"/>
      <c r="IV701" s="5"/>
      <c r="IW701" s="5"/>
      <c r="IX701" s="5"/>
      <c r="IY701" s="5"/>
      <c r="IZ701" s="5"/>
      <c r="JA701" s="5"/>
      <c r="JB701" s="5"/>
      <c r="JC701" s="5"/>
      <c r="JD701" s="5"/>
      <c r="JE701" s="5"/>
      <c r="JF701" s="5"/>
      <c r="JG701" s="5"/>
      <c r="JH701" s="5"/>
      <c r="JI701" s="5"/>
      <c r="JJ701" s="5"/>
      <c r="JK701" s="5"/>
      <c r="JL701" s="5"/>
      <c r="JM701" s="5"/>
      <c r="JN701" s="5"/>
      <c r="JO701" s="5"/>
      <c r="JP701" s="5"/>
      <c r="JQ701" s="5"/>
      <c r="JR701" s="5"/>
      <c r="JS701" s="5"/>
      <c r="JT701" s="5"/>
      <c r="JU701" s="5"/>
      <c r="JV701" s="5"/>
      <c r="JW701" s="5"/>
      <c r="JX701" s="5"/>
      <c r="JY701" s="5"/>
      <c r="JZ701" s="5"/>
      <c r="KA701" s="5"/>
      <c r="KB701" s="5"/>
      <c r="KC701" s="5"/>
      <c r="KD701" s="5"/>
      <c r="KE701" s="5"/>
      <c r="KF701" s="5"/>
      <c r="KG701" s="5"/>
      <c r="KH701" s="5"/>
      <c r="KI701" s="5"/>
      <c r="KJ701" s="5"/>
      <c r="KK701" s="5"/>
      <c r="KL701" s="5"/>
      <c r="KM701" s="5"/>
      <c r="KN701" s="5"/>
      <c r="KO701" s="5"/>
      <c r="KP701" s="5"/>
      <c r="KQ701" s="5"/>
      <c r="KR701" s="5"/>
      <c r="KS701" s="5"/>
      <c r="KT701" s="5"/>
      <c r="KU701" s="5"/>
      <c r="KV701" s="5"/>
      <c r="KW701" s="5"/>
      <c r="KX701" s="5"/>
      <c r="KY701" s="5"/>
      <c r="KZ701" s="5"/>
      <c r="LA701" s="5"/>
      <c r="LB701" s="5"/>
      <c r="LC701" s="5"/>
      <c r="LD701" s="5"/>
      <c r="LE701" s="5"/>
      <c r="LF701" s="5"/>
      <c r="LG701" s="5"/>
      <c r="LH701" s="5"/>
      <c r="LI701" s="5"/>
      <c r="LJ701" s="5"/>
      <c r="LK701" s="5"/>
      <c r="LL701" s="5"/>
      <c r="LM701" s="5"/>
      <c r="LN701" s="5"/>
      <c r="LO701" s="5"/>
      <c r="LP701" s="5"/>
      <c r="LQ701" s="5"/>
      <c r="LR701" s="5"/>
      <c r="LS701" s="5"/>
      <c r="LT701" s="5"/>
      <c r="LU701" s="5"/>
      <c r="LV701" s="5"/>
      <c r="LW701" s="5"/>
      <c r="LX701" s="5"/>
      <c r="LY701" s="5"/>
      <c r="LZ701" s="5"/>
      <c r="MA701" s="5"/>
      <c r="MB701" s="5"/>
      <c r="MC701" s="5"/>
      <c r="MD701" s="5"/>
      <c r="ME701" s="5"/>
      <c r="MF701" s="5"/>
      <c r="MG701" s="5"/>
      <c r="MH701" s="5"/>
      <c r="MI701" s="5"/>
      <c r="MJ701" s="5"/>
      <c r="MK701" s="5"/>
      <c r="ML701" s="5"/>
      <c r="MM701" s="5"/>
      <c r="MN701" s="5"/>
      <c r="MO701" s="5"/>
      <c r="MP701" s="5"/>
      <c r="MQ701" s="5"/>
      <c r="MR701" s="5"/>
      <c r="MS701" s="5"/>
      <c r="MT701" s="5"/>
      <c r="MU701" s="5"/>
      <c r="MV701" s="5"/>
      <c r="MW701" s="5"/>
      <c r="MX701" s="5"/>
      <c r="MY701" s="5"/>
      <c r="MZ701" s="5"/>
      <c r="NA701" s="5"/>
      <c r="NB701" s="5"/>
      <c r="NC701" s="5"/>
      <c r="ND701" s="5"/>
      <c r="NE701" s="5"/>
      <c r="NF701" s="5"/>
      <c r="NG701" s="5"/>
      <c r="NH701" s="5"/>
      <c r="NI701" s="5"/>
      <c r="NJ701" s="5"/>
      <c r="NK701" s="5"/>
      <c r="NL701" s="5"/>
      <c r="NM701" s="5"/>
      <c r="NN701" s="5"/>
      <c r="NO701" s="5"/>
      <c r="NP701" s="5"/>
      <c r="NQ701" s="5"/>
      <c r="NR701" s="5"/>
      <c r="NS701" s="5"/>
      <c r="NT701" s="5"/>
      <c r="NU701" s="5"/>
      <c r="NV701" s="5"/>
      <c r="NW701" s="5"/>
      <c r="NX701" s="5"/>
      <c r="NY701" s="5"/>
      <c r="NZ701" s="5"/>
      <c r="OA701" s="5"/>
      <c r="OB701" s="5"/>
      <c r="OC701" s="5"/>
      <c r="OD701" s="5"/>
      <c r="OE701" s="5"/>
      <c r="OF701" s="5"/>
      <c r="OG701" s="5"/>
      <c r="OH701" s="5"/>
      <c r="OI701" s="5"/>
      <c r="OJ701" s="5"/>
      <c r="OK701" s="5"/>
      <c r="OL701" s="5"/>
      <c r="OM701" s="5"/>
      <c r="ON701" s="5"/>
      <c r="OO701" s="5"/>
      <c r="OP701" s="5"/>
      <c r="OQ701" s="5"/>
      <c r="OR701" s="5"/>
      <c r="OS701" s="5"/>
      <c r="OT701" s="5"/>
      <c r="OU701" s="5"/>
      <c r="OV701" s="5"/>
      <c r="OW701" s="5"/>
      <c r="OX701" s="5"/>
      <c r="OY701" s="5"/>
      <c r="OZ701" s="5"/>
      <c r="PA701" s="5"/>
      <c r="PB701" s="5"/>
      <c r="PC701" s="5"/>
      <c r="PD701" s="5"/>
      <c r="PE701" s="5"/>
      <c r="PF701" s="5"/>
      <c r="PG701" s="5"/>
      <c r="PH701" s="5"/>
      <c r="PI701" s="5"/>
      <c r="PJ701" s="5"/>
      <c r="PK701" s="5"/>
      <c r="PL701" s="5"/>
      <c r="PM701" s="5"/>
      <c r="PN701" s="5"/>
      <c r="PO701" s="5"/>
      <c r="PP701" s="5"/>
      <c r="PQ701" s="5"/>
      <c r="PR701" s="5"/>
      <c r="PS701" s="5"/>
      <c r="PT701" s="5"/>
      <c r="PU701" s="5"/>
      <c r="PV701" s="5"/>
      <c r="PW701" s="5"/>
      <c r="PX701" s="5"/>
      <c r="PY701" s="5"/>
      <c r="PZ701" s="5"/>
      <c r="QA701" s="5"/>
      <c r="QB701" s="5"/>
      <c r="QC701" s="5"/>
      <c r="QD701" s="5"/>
      <c r="QE701" s="5"/>
      <c r="QF701" s="5"/>
      <c r="QG701" s="5"/>
      <c r="QH701" s="5"/>
      <c r="QI701" s="5"/>
      <c r="QJ701" s="5"/>
      <c r="QK701" s="5"/>
      <c r="QL701" s="5"/>
      <c r="QM701" s="5"/>
      <c r="QN701" s="5"/>
      <c r="QO701" s="5"/>
      <c r="QP701" s="5"/>
      <c r="QQ701" s="5"/>
      <c r="QR701" s="5"/>
      <c r="QS701" s="5"/>
      <c r="QT701" s="5"/>
      <c r="QU701" s="5"/>
      <c r="QV701" s="5"/>
      <c r="QW701" s="5"/>
      <c r="QX701" s="5"/>
      <c r="QY701" s="5"/>
      <c r="QZ701" s="5"/>
      <c r="RA701" s="5"/>
      <c r="RB701" s="5"/>
      <c r="RC701" s="5"/>
      <c r="RD701" s="5"/>
      <c r="RE701" s="5"/>
      <c r="RF701" s="5"/>
      <c r="RG701" s="5"/>
      <c r="RH701" s="5"/>
      <c r="RI701" s="5"/>
      <c r="RJ701" s="5"/>
      <c r="RK701" s="5"/>
      <c r="RL701" s="5"/>
      <c r="RM701" s="5"/>
      <c r="RN701" s="5"/>
      <c r="RO701" s="5"/>
      <c r="RP701" s="5"/>
      <c r="RQ701" s="5"/>
      <c r="RR701" s="5"/>
      <c r="RS701" s="5"/>
      <c r="RT701" s="5"/>
      <c r="RU701" s="5"/>
      <c r="RV701" s="5"/>
      <c r="RW701" s="5"/>
      <c r="RX701" s="5"/>
      <c r="RY701" s="5"/>
      <c r="RZ701" s="5"/>
      <c r="SA701" s="5"/>
      <c r="SB701" s="5"/>
      <c r="SC701" s="5"/>
      <c r="SD701" s="5"/>
      <c r="SE701" s="5"/>
      <c r="SF701" s="5"/>
      <c r="SG701" s="5"/>
      <c r="SH701" s="5"/>
      <c r="SI701" s="5"/>
      <c r="SJ701" s="5"/>
      <c r="SK701" s="5"/>
      <c r="SL701" s="5"/>
      <c r="SM701" s="5"/>
      <c r="SN701" s="5"/>
      <c r="SO701" s="5"/>
      <c r="SP701" s="5"/>
      <c r="SQ701" s="5"/>
      <c r="SR701" s="5"/>
      <c r="SS701" s="5"/>
      <c r="ST701" s="5"/>
      <c r="SU701" s="5"/>
      <c r="SV701" s="5"/>
      <c r="SW701" s="5"/>
      <c r="SX701" s="5"/>
      <c r="SY701" s="5"/>
      <c r="SZ701" s="5"/>
      <c r="TA701" s="5"/>
      <c r="TB701" s="5"/>
      <c r="TC701" s="5"/>
      <c r="TD701" s="5"/>
      <c r="TE701" s="5"/>
      <c r="TF701" s="5"/>
      <c r="TG701" s="5"/>
      <c r="TH701" s="5"/>
      <c r="TI701" s="5"/>
      <c r="TJ701" s="5"/>
      <c r="TK701" s="5"/>
      <c r="TL701" s="5"/>
      <c r="TM701" s="5"/>
      <c r="TN701" s="5"/>
      <c r="TO701" s="5"/>
      <c r="TP701" s="5"/>
      <c r="TQ701" s="5"/>
      <c r="TR701" s="5"/>
      <c r="TS701" s="5"/>
      <c r="TT701" s="5"/>
      <c r="TU701" s="5"/>
      <c r="TV701" s="5"/>
      <c r="TW701" s="5"/>
      <c r="TX701" s="5"/>
      <c r="TY701" s="5"/>
      <c r="TZ701" s="5"/>
      <c r="UA701" s="5"/>
      <c r="UB701" s="5"/>
      <c r="UC701" s="5"/>
      <c r="UD701" s="5"/>
      <c r="UE701" s="5"/>
      <c r="UF701" s="5"/>
      <c r="UG701" s="5"/>
      <c r="UH701" s="5"/>
      <c r="UI701" s="5"/>
      <c r="UJ701" s="5"/>
      <c r="UK701" s="5"/>
      <c r="UL701" s="5"/>
      <c r="UM701" s="5"/>
      <c r="UN701" s="5"/>
      <c r="UO701" s="5"/>
      <c r="UP701" s="5"/>
      <c r="UQ701" s="5"/>
      <c r="UR701" s="5"/>
      <c r="US701" s="5"/>
      <c r="UT701" s="5"/>
      <c r="UU701" s="5"/>
      <c r="UV701" s="5"/>
      <c r="UW701" s="5"/>
      <c r="UX701" s="5"/>
      <c r="UY701" s="5"/>
      <c r="UZ701" s="5"/>
      <c r="VA701" s="5"/>
      <c r="VB701" s="5"/>
      <c r="VC701" s="5"/>
      <c r="VD701" s="5"/>
      <c r="VE701" s="5"/>
      <c r="VF701" s="5"/>
      <c r="VG701" s="5"/>
      <c r="VH701" s="5"/>
      <c r="VI701" s="5"/>
      <c r="VJ701" s="5"/>
      <c r="VK701" s="5"/>
      <c r="VL701" s="5"/>
      <c r="VM701" s="5"/>
      <c r="VN701" s="5"/>
      <c r="VO701" s="5"/>
      <c r="VP701" s="5"/>
      <c r="VQ701" s="5"/>
      <c r="VR701" s="5"/>
      <c r="VS701" s="5"/>
      <c r="VT701" s="5"/>
      <c r="VU701" s="5"/>
      <c r="VV701" s="5"/>
      <c r="VW701" s="5"/>
      <c r="VX701" s="5"/>
      <c r="VY701" s="5"/>
      <c r="VZ701" s="5"/>
      <c r="WA701" s="5"/>
      <c r="WB701" s="5"/>
      <c r="WC701" s="5"/>
      <c r="WD701" s="5"/>
      <c r="WE701" s="5"/>
      <c r="WF701" s="5"/>
      <c r="WG701" s="5"/>
      <c r="WH701" s="5"/>
      <c r="WI701" s="5"/>
      <c r="WJ701" s="5"/>
      <c r="WK701" s="5"/>
      <c r="WL701" s="5"/>
      <c r="WM701" s="5"/>
      <c r="WN701" s="5"/>
      <c r="WO701" s="5"/>
      <c r="WP701" s="5"/>
      <c r="WQ701" s="5"/>
      <c r="WR701" s="5"/>
      <c r="WS701" s="5"/>
      <c r="WT701" s="5"/>
      <c r="WU701" s="5"/>
      <c r="WV701" s="5"/>
      <c r="WW701" s="5"/>
      <c r="WX701" s="5"/>
      <c r="WY701" s="5"/>
      <c r="WZ701" s="5"/>
      <c r="XA701" s="5"/>
      <c r="XB701" s="5"/>
      <c r="XC701" s="5"/>
      <c r="XD701" s="5"/>
      <c r="XE701" s="5"/>
      <c r="XF701" s="5"/>
      <c r="XG701" s="5"/>
      <c r="XH701" s="5"/>
      <c r="XI701" s="5"/>
      <c r="XJ701" s="5"/>
      <c r="XK701" s="5"/>
      <c r="XL701" s="5"/>
      <c r="XM701" s="5"/>
      <c r="XN701" s="5"/>
      <c r="XO701" s="5"/>
      <c r="XP701" s="5"/>
      <c r="XQ701" s="5"/>
      <c r="XR701" s="5"/>
      <c r="XS701" s="5"/>
      <c r="XT701" s="5"/>
      <c r="XU701" s="5"/>
      <c r="XV701" s="5"/>
      <c r="XW701" s="5"/>
      <c r="XX701" s="5"/>
      <c r="XY701" s="5"/>
      <c r="XZ701" s="5"/>
      <c r="YA701" s="5"/>
      <c r="YB701" s="5"/>
      <c r="YC701" s="5"/>
      <c r="YD701" s="5"/>
      <c r="YE701" s="5"/>
      <c r="YF701" s="5"/>
      <c r="YG701" s="5"/>
      <c r="YH701" s="5"/>
      <c r="YI701" s="5"/>
      <c r="YJ701" s="5"/>
      <c r="YK701" s="5"/>
      <c r="YL701" s="5"/>
      <c r="YM701" s="5"/>
      <c r="YN701" s="5"/>
      <c r="YO701" s="5"/>
      <c r="YP701" s="5"/>
      <c r="YQ701" s="5"/>
      <c r="YR701" s="5"/>
      <c r="YS701" s="5"/>
      <c r="YT701" s="5"/>
      <c r="YU701" s="5"/>
      <c r="YV701" s="5"/>
      <c r="YW701" s="5"/>
      <c r="YX701" s="5"/>
      <c r="YY701" s="5"/>
      <c r="YZ701" s="5"/>
      <c r="ZA701" s="5"/>
      <c r="ZB701" s="5"/>
      <c r="ZC701" s="5"/>
      <c r="ZD701" s="5"/>
      <c r="ZE701" s="5"/>
      <c r="ZF701" s="5"/>
      <c r="ZG701" s="5"/>
      <c r="ZH701" s="5"/>
      <c r="ZI701" s="5"/>
      <c r="ZJ701" s="5"/>
      <c r="ZK701" s="5"/>
      <c r="ZL701" s="5"/>
      <c r="ZM701" s="5"/>
      <c r="ZN701" s="5"/>
      <c r="ZO701" s="5"/>
      <c r="ZP701" s="5"/>
      <c r="ZQ701" s="5"/>
      <c r="ZR701" s="5"/>
      <c r="ZS701" s="5"/>
      <c r="ZT701" s="5"/>
      <c r="ZU701" s="5"/>
      <c r="ZV701" s="5"/>
      <c r="ZW701" s="5"/>
      <c r="ZX701" s="5"/>
      <c r="ZY701" s="5"/>
      <c r="ZZ701" s="5"/>
      <c r="AAA701" s="5"/>
      <c r="AAB701" s="5"/>
      <c r="AAC701" s="5"/>
      <c r="AAD701" s="5"/>
      <c r="AAE701" s="5"/>
      <c r="AAF701" s="5"/>
      <c r="AAG701" s="5"/>
      <c r="AAH701" s="5"/>
      <c r="AAI701" s="5"/>
      <c r="AAJ701" s="5"/>
      <c r="AAK701" s="5"/>
      <c r="AAL701" s="5"/>
      <c r="AAM701" s="5"/>
      <c r="AAN701" s="5"/>
      <c r="AAO701" s="5"/>
      <c r="AAP701" s="5"/>
      <c r="AAQ701" s="5"/>
      <c r="AAR701" s="5"/>
      <c r="AAS701" s="5"/>
      <c r="AAT701" s="5"/>
      <c r="AAU701" s="5"/>
      <c r="AAV701" s="5"/>
      <c r="AAW701" s="5"/>
      <c r="AAX701" s="5"/>
      <c r="AAY701" s="5"/>
      <c r="AAZ701" s="5"/>
      <c r="ABA701" s="5"/>
      <c r="ABB701" s="5"/>
      <c r="ABC701" s="5"/>
      <c r="ABD701" s="5"/>
      <c r="ABE701" s="5"/>
      <c r="ABF701" s="5"/>
      <c r="ABG701" s="5"/>
      <c r="ABH701" s="5"/>
      <c r="ABI701" s="5"/>
      <c r="ABJ701" s="5"/>
      <c r="ABK701" s="5"/>
      <c r="ABL701" s="5"/>
      <c r="ABM701" s="5"/>
      <c r="ABN701" s="5"/>
      <c r="ABO701" s="5"/>
      <c r="ABP701" s="5"/>
      <c r="ABQ701" s="5"/>
      <c r="ABR701" s="5"/>
      <c r="ABS701" s="5"/>
      <c r="ABT701" s="5"/>
      <c r="ABU701" s="5"/>
      <c r="ABV701" s="5"/>
      <c r="ABW701" s="5"/>
      <c r="ABX701" s="5"/>
      <c r="ABY701" s="5"/>
      <c r="ABZ701" s="5"/>
      <c r="ACA701" s="5"/>
      <c r="ACB701" s="5"/>
      <c r="ACC701" s="5"/>
      <c r="ACD701" s="5"/>
      <c r="ACE701" s="5"/>
      <c r="ACF701" s="5"/>
      <c r="ACG701" s="5"/>
      <c r="ACH701" s="5"/>
      <c r="ACI701" s="5"/>
      <c r="ACJ701" s="5"/>
      <c r="ACK701" s="5"/>
      <c r="ACL701" s="5"/>
      <c r="ACM701" s="5"/>
      <c r="ACN701" s="5"/>
      <c r="ACO701" s="5"/>
      <c r="ACP701" s="5"/>
      <c r="ACQ701" s="5"/>
      <c r="ACR701" s="5"/>
      <c r="ACS701" s="5"/>
      <c r="ACT701" s="5"/>
      <c r="ACU701" s="5"/>
      <c r="ACV701" s="5"/>
      <c r="ACW701" s="5"/>
      <c r="ACX701" s="5"/>
      <c r="ACY701" s="5"/>
      <c r="ACZ701" s="5"/>
      <c r="ADA701" s="5"/>
      <c r="ADB701" s="5"/>
      <c r="ADC701" s="5"/>
      <c r="ADD701" s="5"/>
      <c r="ADE701" s="5"/>
      <c r="ADF701" s="5"/>
      <c r="ADG701" s="5"/>
      <c r="ADH701" s="5"/>
      <c r="ADI701" s="5"/>
      <c r="ADJ701" s="5"/>
      <c r="ADK701" s="5"/>
      <c r="ADL701" s="5"/>
      <c r="ADM701" s="5"/>
      <c r="ADN701" s="5"/>
      <c r="ADO701" s="5"/>
      <c r="ADP701" s="5"/>
      <c r="ADQ701" s="5"/>
      <c r="ADR701" s="5"/>
      <c r="ADS701" s="5"/>
      <c r="ADT701" s="5"/>
      <c r="ADU701" s="5"/>
      <c r="ADV701" s="5"/>
      <c r="ADW701" s="5"/>
      <c r="ADX701" s="5"/>
      <c r="ADY701" s="5"/>
      <c r="ADZ701" s="5"/>
      <c r="AEA701" s="5"/>
      <c r="AEB701" s="5"/>
      <c r="AEC701" s="5"/>
      <c r="AED701" s="5"/>
      <c r="AEE701" s="5"/>
      <c r="AEF701" s="5"/>
      <c r="AEG701" s="5"/>
      <c r="AEH701" s="5"/>
      <c r="AEI701" s="5"/>
      <c r="AEJ701" s="5"/>
      <c r="AEK701" s="5"/>
      <c r="AEL701" s="5"/>
      <c r="AEM701" s="5"/>
      <c r="AEN701" s="5"/>
      <c r="AEO701" s="5"/>
      <c r="AEP701" s="5"/>
      <c r="AEQ701" s="5"/>
      <c r="AER701" s="5"/>
      <c r="AES701" s="5"/>
      <c r="AET701" s="5"/>
      <c r="AEU701" s="5"/>
      <c r="AEV701" s="5"/>
      <c r="AEW701" s="5"/>
      <c r="AEX701" s="5"/>
      <c r="AEY701" s="5"/>
      <c r="AEZ701" s="5"/>
      <c r="AFA701" s="5"/>
      <c r="AFB701" s="5"/>
      <c r="AFC701" s="5"/>
      <c r="AFD701" s="5"/>
      <c r="AFE701" s="5"/>
      <c r="AFF701" s="5"/>
      <c r="AFG701" s="5"/>
      <c r="AFH701" s="5"/>
      <c r="AFI701" s="5"/>
      <c r="AFJ701" s="5"/>
      <c r="AFK701" s="5"/>
      <c r="AFL701" s="5"/>
      <c r="AFM701" s="5"/>
      <c r="AFN701" s="5"/>
      <c r="AFO701" s="5"/>
      <c r="AFP701" s="5"/>
      <c r="AFQ701" s="5"/>
      <c r="AFR701" s="5"/>
      <c r="AFS701" s="5"/>
      <c r="AFT701" s="5"/>
      <c r="AFU701" s="5"/>
      <c r="AFV701" s="5"/>
      <c r="AFW701" s="5"/>
      <c r="AFX701" s="5"/>
      <c r="AFY701" s="5"/>
      <c r="AFZ701" s="5"/>
      <c r="AGA701" s="5"/>
      <c r="AGB701" s="5"/>
      <c r="AGC701" s="5"/>
      <c r="AGD701" s="5"/>
      <c r="AGE701" s="5"/>
      <c r="AGF701" s="5"/>
      <c r="AGG701" s="5"/>
      <c r="AGH701" s="5"/>
      <c r="AGI701" s="5"/>
      <c r="AGJ701" s="5"/>
      <c r="AGK701" s="5"/>
      <c r="AGL701" s="5"/>
      <c r="AGM701" s="5"/>
      <c r="AGN701" s="5"/>
      <c r="AGO701" s="5"/>
      <c r="AGP701" s="5"/>
      <c r="AGQ701" s="5"/>
      <c r="AGR701" s="5"/>
      <c r="AGS701" s="5"/>
      <c r="AGT701" s="5"/>
      <c r="AGU701" s="5"/>
      <c r="AGV701" s="5"/>
      <c r="AGW701" s="5"/>
      <c r="AGX701" s="5"/>
      <c r="AGY701" s="5"/>
      <c r="AGZ701" s="5"/>
      <c r="AHA701" s="5"/>
      <c r="AHB701" s="5"/>
      <c r="AHC701" s="5"/>
      <c r="AHD701" s="5"/>
      <c r="AHE701" s="5"/>
      <c r="AHF701" s="5"/>
      <c r="AHG701" s="5"/>
      <c r="AHH701" s="5"/>
      <c r="AHI701" s="5"/>
      <c r="AHJ701" s="5"/>
      <c r="AHK701" s="5"/>
      <c r="AHL701" s="5"/>
      <c r="AHM701" s="5"/>
      <c r="AHN701" s="5"/>
      <c r="AHO701" s="5"/>
      <c r="AHP701" s="5"/>
      <c r="AHQ701" s="5"/>
      <c r="AHR701" s="5"/>
      <c r="AHS701" s="5"/>
      <c r="AHT701" s="5"/>
      <c r="AHU701" s="5"/>
      <c r="AHV701" s="5"/>
      <c r="AHW701" s="5"/>
      <c r="AHX701" s="5"/>
      <c r="AHY701" s="5"/>
      <c r="AHZ701" s="5"/>
      <c r="AIA701" s="5"/>
      <c r="AIB701" s="5"/>
      <c r="AIC701" s="5"/>
      <c r="AID701" s="5"/>
      <c r="AIE701" s="5"/>
      <c r="AIF701" s="5"/>
      <c r="AIG701" s="5"/>
      <c r="AIH701" s="5"/>
      <c r="AII701" s="5"/>
      <c r="AIJ701" s="5"/>
      <c r="AIK701" s="5"/>
      <c r="AIL701" s="5"/>
      <c r="AIM701" s="5"/>
      <c r="AIN701" s="5"/>
      <c r="AIO701" s="5"/>
      <c r="AIP701" s="5"/>
      <c r="AIQ701" s="5"/>
      <c r="AIR701" s="5"/>
      <c r="AIS701" s="5"/>
      <c r="AIT701" s="5"/>
      <c r="AIU701" s="5"/>
      <c r="AIV701" s="5"/>
      <c r="AIW701" s="5"/>
      <c r="AIX701" s="5"/>
      <c r="AIY701" s="5"/>
      <c r="AIZ701" s="5"/>
      <c r="AJA701" s="5"/>
      <c r="AJB701" s="5"/>
      <c r="AJC701" s="5"/>
      <c r="AJD701" s="5"/>
      <c r="AJE701" s="5"/>
      <c r="AJF701" s="5"/>
      <c r="AJG701" s="5"/>
      <c r="AJH701" s="5"/>
      <c r="AJI701" s="5"/>
      <c r="AJJ701" s="5"/>
      <c r="AJK701" s="5"/>
      <c r="AJL701" s="5"/>
      <c r="AJM701" s="5"/>
      <c r="AJN701" s="5"/>
      <c r="AJO701" s="5"/>
      <c r="AJP701" s="5"/>
      <c r="AJQ701" s="5"/>
      <c r="AJR701" s="5"/>
      <c r="AJS701" s="5"/>
      <c r="AJT701" s="5"/>
      <c r="AJU701" s="5"/>
      <c r="AJV701" s="5"/>
      <c r="AJW701" s="5"/>
      <c r="AJX701" s="5"/>
      <c r="AJY701" s="5"/>
      <c r="AJZ701" s="5"/>
      <c r="AKA701" s="5"/>
      <c r="AKB701" s="5"/>
      <c r="AKC701" s="5"/>
      <c r="AKD701" s="5"/>
      <c r="AKE701" s="5"/>
      <c r="AKF701" s="5"/>
      <c r="AKG701" s="5"/>
      <c r="AKH701" s="5"/>
      <c r="AKI701" s="5"/>
      <c r="AKJ701" s="5"/>
      <c r="AKK701" s="5"/>
      <c r="AKL701" s="5"/>
      <c r="AKM701" s="5"/>
      <c r="AKN701" s="5"/>
      <c r="AKO701" s="5"/>
      <c r="AKP701" s="5"/>
      <c r="AKQ701" s="5"/>
      <c r="AKR701" s="5"/>
      <c r="AKS701" s="5"/>
      <c r="AKT701" s="5"/>
      <c r="AKU701" s="5"/>
      <c r="AKV701" s="5"/>
      <c r="AKW701" s="5"/>
      <c r="AKX701" s="5"/>
      <c r="AKY701" s="5"/>
      <c r="AKZ701" s="5"/>
      <c r="ALA701" s="5"/>
      <c r="ALB701" s="5"/>
      <c r="ALC701" s="5"/>
      <c r="ALD701" s="5"/>
      <c r="ALE701" s="5"/>
      <c r="ALF701" s="5"/>
      <c r="ALG701" s="5"/>
      <c r="ALH701" s="5"/>
      <c r="ALI701" s="5"/>
      <c r="ALJ701" s="5"/>
      <c r="ALK701" s="5"/>
      <c r="ALL701" s="5"/>
      <c r="ALM701" s="5"/>
      <c r="ALN701" s="5"/>
      <c r="ALO701" s="5"/>
      <c r="ALP701" s="5"/>
      <c r="ALQ701" s="5"/>
      <c r="ALR701" s="5"/>
      <c r="ALS701" s="5"/>
      <c r="ALT701" s="5"/>
      <c r="ALU701" s="5"/>
      <c r="ALV701" s="5"/>
      <c r="ALW701" s="5"/>
      <c r="ALX701" s="5"/>
      <c r="ALY701" s="5"/>
      <c r="ALZ701" s="5"/>
      <c r="AMA701" s="5"/>
      <c r="AMB701" s="5"/>
      <c r="AMC701" s="5"/>
      <c r="AMD701" s="5"/>
      <c r="AME701" s="5"/>
      <c r="AMF701" s="5"/>
      <c r="AMG701" s="5"/>
      <c r="AMH701" s="5"/>
      <c r="AMI701" s="5"/>
      <c r="AMJ701" s="5"/>
      <c r="AMK701" s="5"/>
      <c r="AML701" s="5"/>
      <c r="AMM701" s="5"/>
      <c r="AMN701" s="5"/>
      <c r="AMO701" s="5"/>
      <c r="AMP701" s="5"/>
      <c r="AMQ701" s="5"/>
      <c r="AMR701" s="5"/>
      <c r="AMS701" s="5"/>
      <c r="AMT701" s="5"/>
      <c r="AMU701" s="5"/>
      <c r="AMV701" s="5"/>
      <c r="AMW701" s="5"/>
      <c r="AMX701" s="5"/>
      <c r="AMY701" s="5"/>
      <c r="AMZ701" s="5"/>
      <c r="ANA701" s="5"/>
      <c r="ANB701" s="5"/>
      <c r="ANC701" s="5"/>
      <c r="AND701" s="5"/>
      <c r="ANE701" s="5"/>
      <c r="ANF701" s="5"/>
      <c r="ANG701" s="5"/>
      <c r="ANH701" s="5"/>
      <c r="ANI701" s="5"/>
      <c r="ANJ701" s="5"/>
      <c r="ANK701" s="5"/>
      <c r="ANL701" s="5"/>
      <c r="ANM701" s="5"/>
      <c r="ANN701" s="5"/>
      <c r="ANO701" s="5"/>
      <c r="ANP701" s="5"/>
      <c r="ANQ701" s="5"/>
      <c r="ANR701" s="5"/>
      <c r="ANS701" s="5"/>
      <c r="ANT701" s="5"/>
      <c r="ANU701" s="5"/>
      <c r="ANV701" s="5"/>
      <c r="ANW701" s="5"/>
      <c r="ANX701" s="5"/>
      <c r="ANY701" s="5"/>
      <c r="ANZ701" s="5"/>
      <c r="AOA701" s="5"/>
      <c r="AOB701" s="5"/>
      <c r="AOC701" s="5"/>
      <c r="AOD701" s="5"/>
      <c r="AOE701" s="5"/>
      <c r="AOF701" s="5"/>
      <c r="AOG701" s="5"/>
      <c r="AOH701" s="5"/>
      <c r="AOI701" s="5"/>
      <c r="AOJ701" s="5"/>
      <c r="AOK701" s="5"/>
      <c r="AOL701" s="5"/>
      <c r="AOM701" s="5"/>
      <c r="AON701" s="5"/>
      <c r="AOO701" s="5"/>
      <c r="AOP701" s="5"/>
      <c r="AOQ701" s="5"/>
      <c r="AOR701" s="5"/>
      <c r="AOS701" s="5"/>
      <c r="AOT701" s="5"/>
      <c r="AOU701" s="5"/>
      <c r="AOV701" s="5"/>
      <c r="AOW701" s="5"/>
      <c r="AOX701" s="5"/>
      <c r="AOY701" s="5"/>
      <c r="AOZ701" s="5"/>
      <c r="APA701" s="5"/>
      <c r="APB701" s="5"/>
      <c r="APC701" s="5"/>
      <c r="APD701" s="5"/>
      <c r="APE701" s="5"/>
      <c r="APF701" s="5"/>
      <c r="APG701" s="5"/>
      <c r="APH701" s="5"/>
      <c r="API701" s="5"/>
      <c r="APJ701" s="5"/>
      <c r="APK701" s="5"/>
      <c r="APL701" s="5"/>
      <c r="APM701" s="5"/>
      <c r="APN701" s="5"/>
      <c r="APO701" s="5"/>
      <c r="APP701" s="5"/>
      <c r="APQ701" s="5"/>
      <c r="APR701" s="5"/>
      <c r="APS701" s="5"/>
      <c r="APT701" s="5"/>
      <c r="APU701" s="5"/>
      <c r="APV701" s="5"/>
      <c r="APW701" s="5"/>
      <c r="APX701" s="5"/>
      <c r="APY701" s="5"/>
      <c r="APZ701" s="5"/>
      <c r="AQA701" s="5"/>
      <c r="AQB701" s="5"/>
      <c r="AQC701" s="5"/>
      <c r="AQD701" s="5"/>
      <c r="AQE701" s="5"/>
      <c r="AQF701" s="5"/>
      <c r="AQG701" s="5"/>
      <c r="AQH701" s="5"/>
      <c r="AQI701" s="5"/>
      <c r="AQJ701" s="5"/>
      <c r="AQK701" s="5"/>
      <c r="AQL701" s="5"/>
      <c r="AQM701" s="5"/>
      <c r="AQN701" s="5"/>
      <c r="AQO701" s="5"/>
      <c r="AQP701" s="5"/>
      <c r="AQQ701" s="5"/>
      <c r="AQR701" s="5"/>
      <c r="AQS701" s="5"/>
      <c r="AQT701" s="5"/>
      <c r="AQU701" s="5"/>
      <c r="AQV701" s="5"/>
      <c r="AQW701" s="5"/>
      <c r="AQX701" s="5"/>
      <c r="AQY701" s="5"/>
      <c r="AQZ701" s="5"/>
      <c r="ARA701" s="5"/>
      <c r="ARB701" s="5"/>
      <c r="ARC701" s="5"/>
      <c r="ARD701" s="5"/>
      <c r="ARE701" s="5"/>
      <c r="ARF701" s="5"/>
      <c r="ARG701" s="5"/>
      <c r="ARH701" s="5"/>
      <c r="ARI701" s="5"/>
      <c r="ARJ701" s="5"/>
      <c r="ARK701" s="5"/>
      <c r="ARL701" s="5"/>
      <c r="ARM701" s="5"/>
      <c r="ARN701" s="5"/>
      <c r="ARO701" s="5"/>
      <c r="ARP701" s="5"/>
      <c r="ARQ701" s="5"/>
      <c r="ARR701" s="5"/>
      <c r="ARS701" s="5"/>
      <c r="ART701" s="5"/>
      <c r="ARU701" s="5"/>
      <c r="ARV701" s="5"/>
      <c r="ARW701" s="5"/>
      <c r="ARX701" s="5"/>
      <c r="ARY701" s="5"/>
      <c r="ARZ701" s="5"/>
      <c r="ASA701" s="5"/>
      <c r="ASB701" s="5"/>
      <c r="ASC701" s="5"/>
      <c r="ASD701" s="5"/>
      <c r="ASE701" s="5"/>
      <c r="ASF701" s="5"/>
      <c r="ASG701" s="5"/>
      <c r="ASH701" s="5"/>
      <c r="ASI701" s="5"/>
      <c r="ASJ701" s="5"/>
      <c r="ASK701" s="5"/>
      <c r="ASL701" s="5"/>
      <c r="ASM701" s="5"/>
      <c r="ASN701" s="5"/>
      <c r="ASO701" s="5"/>
      <c r="ASP701" s="5"/>
      <c r="ASQ701" s="5"/>
      <c r="ASR701" s="5"/>
      <c r="ASS701" s="5"/>
      <c r="AST701" s="5"/>
      <c r="ASU701" s="5"/>
      <c r="ASV701" s="5"/>
      <c r="ASW701" s="5"/>
      <c r="ASX701" s="5"/>
      <c r="ASY701" s="5"/>
      <c r="ASZ701" s="5"/>
      <c r="ATA701" s="5"/>
      <c r="ATB701" s="5"/>
      <c r="ATC701" s="5"/>
      <c r="ATD701" s="5"/>
      <c r="ATE701" s="5"/>
      <c r="ATF701" s="5"/>
      <c r="ATG701" s="5"/>
      <c r="ATH701" s="5"/>
      <c r="ATI701" s="5"/>
      <c r="ATJ701" s="5"/>
      <c r="ATK701" s="5"/>
      <c r="ATL701" s="5"/>
      <c r="ATM701" s="5"/>
      <c r="ATN701" s="5"/>
      <c r="ATO701" s="5"/>
      <c r="ATP701" s="5"/>
      <c r="ATQ701" s="5"/>
      <c r="ATR701" s="5"/>
      <c r="ATS701" s="5"/>
      <c r="ATT701" s="5"/>
      <c r="ATU701" s="5"/>
      <c r="ATV701" s="5"/>
      <c r="ATW701" s="5"/>
      <c r="ATX701" s="5"/>
    </row>
    <row r="702" spans="1:1220" s="67" customFormat="1" ht="12.75" customHeight="1" x14ac:dyDescent="0.35">
      <c r="A702" s="76" t="s">
        <v>229</v>
      </c>
      <c r="B702" s="99" t="s">
        <v>125</v>
      </c>
      <c r="C702" s="76" t="s">
        <v>2602</v>
      </c>
      <c r="D702" s="142" t="s">
        <v>2602</v>
      </c>
      <c r="E702" s="76"/>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c r="DT702" s="5"/>
      <c r="DU702" s="5"/>
      <c r="DV702" s="5"/>
      <c r="DW702" s="5"/>
      <c r="DX702" s="5"/>
      <c r="DY702" s="5"/>
      <c r="DZ702" s="5"/>
      <c r="EA702" s="5"/>
      <c r="EB702" s="5"/>
      <c r="EC702" s="5"/>
      <c r="ED702" s="5"/>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s="5"/>
      <c r="FG702" s="5"/>
      <c r="FH702" s="5"/>
      <c r="FI702" s="5"/>
      <c r="FJ702" s="5"/>
      <c r="FK702" s="5"/>
      <c r="FL702" s="5"/>
      <c r="FM702" s="5"/>
      <c r="FN702" s="5"/>
      <c r="FO702" s="5"/>
      <c r="FP702" s="5"/>
      <c r="FQ702" s="5"/>
      <c r="FR702" s="5"/>
      <c r="FS702" s="5"/>
      <c r="FT702" s="5"/>
      <c r="FU702" s="5"/>
      <c r="FV702" s="5"/>
      <c r="FW702" s="5"/>
      <c r="FX702" s="5"/>
      <c r="FY702" s="5"/>
      <c r="FZ702" s="5"/>
      <c r="GA702" s="5"/>
      <c r="GB702" s="5"/>
      <c r="GC702" s="5"/>
      <c r="GD702" s="5"/>
      <c r="GE702" s="5"/>
      <c r="GF702" s="5"/>
      <c r="GG702" s="5"/>
      <c r="GH702" s="5"/>
      <c r="GI702" s="5"/>
      <c r="GJ702" s="5"/>
      <c r="GK702" s="5"/>
      <c r="GL702" s="5"/>
      <c r="GM702" s="5"/>
      <c r="GN702" s="5"/>
      <c r="GO702" s="5"/>
      <c r="GP702" s="5"/>
      <c r="GQ702" s="5"/>
      <c r="GR702" s="5"/>
      <c r="GS702" s="5"/>
      <c r="GT702" s="5"/>
      <c r="GU702" s="5"/>
      <c r="GV702" s="5"/>
      <c r="GW702" s="5"/>
      <c r="GX702" s="5"/>
      <c r="GY702" s="5"/>
      <c r="GZ702" s="5"/>
      <c r="HA702" s="5"/>
      <c r="HB702" s="5"/>
      <c r="HC702" s="5"/>
      <c r="HD702" s="5"/>
      <c r="HE702" s="5"/>
      <c r="HF702" s="5"/>
      <c r="HG702" s="5"/>
      <c r="HH702" s="5"/>
      <c r="HI702" s="5"/>
      <c r="HJ702" s="5"/>
      <c r="HK702" s="5"/>
      <c r="HL702" s="5"/>
      <c r="HM702" s="5"/>
      <c r="HN702" s="5"/>
      <c r="HO702" s="5"/>
      <c r="HP702" s="5"/>
      <c r="HQ702" s="5"/>
      <c r="HR702" s="5"/>
      <c r="HS702" s="5"/>
      <c r="HT702" s="5"/>
      <c r="HU702" s="5"/>
      <c r="HV702" s="5"/>
      <c r="HW702" s="5"/>
      <c r="HX702" s="5"/>
      <c r="HY702" s="5"/>
      <c r="HZ702" s="5"/>
      <c r="IA702" s="5"/>
      <c r="IB702" s="5"/>
      <c r="IC702" s="5"/>
      <c r="ID702" s="5"/>
      <c r="IE702" s="5"/>
      <c r="IF702" s="5"/>
      <c r="IG702" s="5"/>
      <c r="IH702" s="5"/>
      <c r="II702" s="5"/>
      <c r="IJ702" s="5"/>
      <c r="IK702" s="5"/>
      <c r="IL702" s="5"/>
      <c r="IM702" s="5"/>
      <c r="IN702" s="5"/>
      <c r="IO702" s="5"/>
      <c r="IP702" s="5"/>
      <c r="IQ702" s="5"/>
      <c r="IR702" s="5"/>
      <c r="IS702" s="5"/>
      <c r="IT702" s="5"/>
      <c r="IU702" s="5"/>
      <c r="IV702" s="5"/>
      <c r="IW702" s="5"/>
      <c r="IX702" s="5"/>
      <c r="IY702" s="5"/>
      <c r="IZ702" s="5"/>
      <c r="JA702" s="5"/>
      <c r="JB702" s="5"/>
      <c r="JC702" s="5"/>
      <c r="JD702" s="5"/>
      <c r="JE702" s="5"/>
      <c r="JF702" s="5"/>
      <c r="JG702" s="5"/>
      <c r="JH702" s="5"/>
      <c r="JI702" s="5"/>
      <c r="JJ702" s="5"/>
      <c r="JK702" s="5"/>
      <c r="JL702" s="5"/>
      <c r="JM702" s="5"/>
      <c r="JN702" s="5"/>
      <c r="JO702" s="5"/>
      <c r="JP702" s="5"/>
      <c r="JQ702" s="5"/>
      <c r="JR702" s="5"/>
      <c r="JS702" s="5"/>
      <c r="JT702" s="5"/>
      <c r="JU702" s="5"/>
      <c r="JV702" s="5"/>
      <c r="JW702" s="5"/>
      <c r="JX702" s="5"/>
      <c r="JY702" s="5"/>
      <c r="JZ702" s="5"/>
      <c r="KA702" s="5"/>
      <c r="KB702" s="5"/>
      <c r="KC702" s="5"/>
      <c r="KD702" s="5"/>
      <c r="KE702" s="5"/>
      <c r="KF702" s="5"/>
      <c r="KG702" s="5"/>
      <c r="KH702" s="5"/>
      <c r="KI702" s="5"/>
      <c r="KJ702" s="5"/>
      <c r="KK702" s="5"/>
      <c r="KL702" s="5"/>
      <c r="KM702" s="5"/>
      <c r="KN702" s="5"/>
      <c r="KO702" s="5"/>
      <c r="KP702" s="5"/>
      <c r="KQ702" s="5"/>
      <c r="KR702" s="5"/>
      <c r="KS702" s="5"/>
      <c r="KT702" s="5"/>
      <c r="KU702" s="5"/>
      <c r="KV702" s="5"/>
      <c r="KW702" s="5"/>
      <c r="KX702" s="5"/>
      <c r="KY702" s="5"/>
      <c r="KZ702" s="5"/>
      <c r="LA702" s="5"/>
      <c r="LB702" s="5"/>
      <c r="LC702" s="5"/>
      <c r="LD702" s="5"/>
      <c r="LE702" s="5"/>
      <c r="LF702" s="5"/>
      <c r="LG702" s="5"/>
      <c r="LH702" s="5"/>
      <c r="LI702" s="5"/>
      <c r="LJ702" s="5"/>
      <c r="LK702" s="5"/>
      <c r="LL702" s="5"/>
      <c r="LM702" s="5"/>
      <c r="LN702" s="5"/>
      <c r="LO702" s="5"/>
      <c r="LP702" s="5"/>
      <c r="LQ702" s="5"/>
      <c r="LR702" s="5"/>
      <c r="LS702" s="5"/>
      <c r="LT702" s="5"/>
      <c r="LU702" s="5"/>
      <c r="LV702" s="5"/>
      <c r="LW702" s="5"/>
      <c r="LX702" s="5"/>
      <c r="LY702" s="5"/>
      <c r="LZ702" s="5"/>
      <c r="MA702" s="5"/>
      <c r="MB702" s="5"/>
      <c r="MC702" s="5"/>
      <c r="MD702" s="5"/>
      <c r="ME702" s="5"/>
      <c r="MF702" s="5"/>
      <c r="MG702" s="5"/>
      <c r="MH702" s="5"/>
      <c r="MI702" s="5"/>
      <c r="MJ702" s="5"/>
      <c r="MK702" s="5"/>
      <c r="ML702" s="5"/>
      <c r="MM702" s="5"/>
      <c r="MN702" s="5"/>
      <c r="MO702" s="5"/>
      <c r="MP702" s="5"/>
      <c r="MQ702" s="5"/>
      <c r="MR702" s="5"/>
      <c r="MS702" s="5"/>
      <c r="MT702" s="5"/>
      <c r="MU702" s="5"/>
      <c r="MV702" s="5"/>
      <c r="MW702" s="5"/>
      <c r="MX702" s="5"/>
      <c r="MY702" s="5"/>
      <c r="MZ702" s="5"/>
      <c r="NA702" s="5"/>
      <c r="NB702" s="5"/>
      <c r="NC702" s="5"/>
      <c r="ND702" s="5"/>
      <c r="NE702" s="5"/>
      <c r="NF702" s="5"/>
      <c r="NG702" s="5"/>
      <c r="NH702" s="5"/>
      <c r="NI702" s="5"/>
      <c r="NJ702" s="5"/>
      <c r="NK702" s="5"/>
      <c r="NL702" s="5"/>
      <c r="NM702" s="5"/>
      <c r="NN702" s="5"/>
      <c r="NO702" s="5"/>
      <c r="NP702" s="5"/>
      <c r="NQ702" s="5"/>
      <c r="NR702" s="5"/>
      <c r="NS702" s="5"/>
      <c r="NT702" s="5"/>
      <c r="NU702" s="5"/>
      <c r="NV702" s="5"/>
      <c r="NW702" s="5"/>
      <c r="NX702" s="5"/>
      <c r="NY702" s="5"/>
      <c r="NZ702" s="5"/>
      <c r="OA702" s="5"/>
      <c r="OB702" s="5"/>
      <c r="OC702" s="5"/>
      <c r="OD702" s="5"/>
      <c r="OE702" s="5"/>
      <c r="OF702" s="5"/>
      <c r="OG702" s="5"/>
      <c r="OH702" s="5"/>
      <c r="OI702" s="5"/>
      <c r="OJ702" s="5"/>
      <c r="OK702" s="5"/>
      <c r="OL702" s="5"/>
      <c r="OM702" s="5"/>
      <c r="ON702" s="5"/>
      <c r="OO702" s="5"/>
      <c r="OP702" s="5"/>
      <c r="OQ702" s="5"/>
      <c r="OR702" s="5"/>
      <c r="OS702" s="5"/>
      <c r="OT702" s="5"/>
      <c r="OU702" s="5"/>
      <c r="OV702" s="5"/>
      <c r="OW702" s="5"/>
      <c r="OX702" s="5"/>
      <c r="OY702" s="5"/>
      <c r="OZ702" s="5"/>
      <c r="PA702" s="5"/>
      <c r="PB702" s="5"/>
      <c r="PC702" s="5"/>
      <c r="PD702" s="5"/>
      <c r="PE702" s="5"/>
      <c r="PF702" s="5"/>
      <c r="PG702" s="5"/>
      <c r="PH702" s="5"/>
      <c r="PI702" s="5"/>
      <c r="PJ702" s="5"/>
      <c r="PK702" s="5"/>
      <c r="PL702" s="5"/>
      <c r="PM702" s="5"/>
      <c r="PN702" s="5"/>
      <c r="PO702" s="5"/>
      <c r="PP702" s="5"/>
      <c r="PQ702" s="5"/>
      <c r="PR702" s="5"/>
      <c r="PS702" s="5"/>
      <c r="PT702" s="5"/>
      <c r="PU702" s="5"/>
      <c r="PV702" s="5"/>
      <c r="PW702" s="5"/>
      <c r="PX702" s="5"/>
      <c r="PY702" s="5"/>
      <c r="PZ702" s="5"/>
      <c r="QA702" s="5"/>
      <c r="QB702" s="5"/>
      <c r="QC702" s="5"/>
      <c r="QD702" s="5"/>
      <c r="QE702" s="5"/>
      <c r="QF702" s="5"/>
      <c r="QG702" s="5"/>
      <c r="QH702" s="5"/>
      <c r="QI702" s="5"/>
      <c r="QJ702" s="5"/>
      <c r="QK702" s="5"/>
      <c r="QL702" s="5"/>
      <c r="QM702" s="5"/>
      <c r="QN702" s="5"/>
      <c r="QO702" s="5"/>
      <c r="QP702" s="5"/>
      <c r="QQ702" s="5"/>
      <c r="QR702" s="5"/>
      <c r="QS702" s="5"/>
      <c r="QT702" s="5"/>
      <c r="QU702" s="5"/>
      <c r="QV702" s="5"/>
      <c r="QW702" s="5"/>
      <c r="QX702" s="5"/>
      <c r="QY702" s="5"/>
      <c r="QZ702" s="5"/>
      <c r="RA702" s="5"/>
      <c r="RB702" s="5"/>
      <c r="RC702" s="5"/>
      <c r="RD702" s="5"/>
      <c r="RE702" s="5"/>
      <c r="RF702" s="5"/>
      <c r="RG702" s="5"/>
      <c r="RH702" s="5"/>
      <c r="RI702" s="5"/>
      <c r="RJ702" s="5"/>
      <c r="RK702" s="5"/>
      <c r="RL702" s="5"/>
      <c r="RM702" s="5"/>
      <c r="RN702" s="5"/>
      <c r="RO702" s="5"/>
      <c r="RP702" s="5"/>
      <c r="RQ702" s="5"/>
      <c r="RR702" s="5"/>
      <c r="RS702" s="5"/>
      <c r="RT702" s="5"/>
      <c r="RU702" s="5"/>
      <c r="RV702" s="5"/>
      <c r="RW702" s="5"/>
      <c r="RX702" s="5"/>
      <c r="RY702" s="5"/>
      <c r="RZ702" s="5"/>
      <c r="SA702" s="5"/>
      <c r="SB702" s="5"/>
      <c r="SC702" s="5"/>
      <c r="SD702" s="5"/>
      <c r="SE702" s="5"/>
      <c r="SF702" s="5"/>
      <c r="SG702" s="5"/>
      <c r="SH702" s="5"/>
      <c r="SI702" s="5"/>
      <c r="SJ702" s="5"/>
      <c r="SK702" s="5"/>
      <c r="SL702" s="5"/>
      <c r="SM702" s="5"/>
      <c r="SN702" s="5"/>
      <c r="SO702" s="5"/>
      <c r="SP702" s="5"/>
      <c r="SQ702" s="5"/>
      <c r="SR702" s="5"/>
      <c r="SS702" s="5"/>
      <c r="ST702" s="5"/>
      <c r="SU702" s="5"/>
      <c r="SV702" s="5"/>
      <c r="SW702" s="5"/>
      <c r="SX702" s="5"/>
      <c r="SY702" s="5"/>
      <c r="SZ702" s="5"/>
      <c r="TA702" s="5"/>
      <c r="TB702" s="5"/>
      <c r="TC702" s="5"/>
      <c r="TD702" s="5"/>
      <c r="TE702" s="5"/>
      <c r="TF702" s="5"/>
      <c r="TG702" s="5"/>
      <c r="TH702" s="5"/>
      <c r="TI702" s="5"/>
      <c r="TJ702" s="5"/>
      <c r="TK702" s="5"/>
      <c r="TL702" s="5"/>
      <c r="TM702" s="5"/>
      <c r="TN702" s="5"/>
      <c r="TO702" s="5"/>
      <c r="TP702" s="5"/>
      <c r="TQ702" s="5"/>
      <c r="TR702" s="5"/>
      <c r="TS702" s="5"/>
      <c r="TT702" s="5"/>
      <c r="TU702" s="5"/>
      <c r="TV702" s="5"/>
      <c r="TW702" s="5"/>
      <c r="TX702" s="5"/>
      <c r="TY702" s="5"/>
      <c r="TZ702" s="5"/>
      <c r="UA702" s="5"/>
      <c r="UB702" s="5"/>
      <c r="UC702" s="5"/>
      <c r="UD702" s="5"/>
      <c r="UE702" s="5"/>
      <c r="UF702" s="5"/>
      <c r="UG702" s="5"/>
      <c r="UH702" s="5"/>
      <c r="UI702" s="5"/>
      <c r="UJ702" s="5"/>
      <c r="UK702" s="5"/>
      <c r="UL702" s="5"/>
      <c r="UM702" s="5"/>
      <c r="UN702" s="5"/>
      <c r="UO702" s="5"/>
      <c r="UP702" s="5"/>
      <c r="UQ702" s="5"/>
      <c r="UR702" s="5"/>
      <c r="US702" s="5"/>
      <c r="UT702" s="5"/>
      <c r="UU702" s="5"/>
      <c r="UV702" s="5"/>
      <c r="UW702" s="5"/>
      <c r="UX702" s="5"/>
      <c r="UY702" s="5"/>
      <c r="UZ702" s="5"/>
      <c r="VA702" s="5"/>
      <c r="VB702" s="5"/>
      <c r="VC702" s="5"/>
      <c r="VD702" s="5"/>
      <c r="VE702" s="5"/>
      <c r="VF702" s="5"/>
      <c r="VG702" s="5"/>
      <c r="VH702" s="5"/>
      <c r="VI702" s="5"/>
      <c r="VJ702" s="5"/>
      <c r="VK702" s="5"/>
      <c r="VL702" s="5"/>
      <c r="VM702" s="5"/>
      <c r="VN702" s="5"/>
      <c r="VO702" s="5"/>
      <c r="VP702" s="5"/>
      <c r="VQ702" s="5"/>
      <c r="VR702" s="5"/>
      <c r="VS702" s="5"/>
      <c r="VT702" s="5"/>
      <c r="VU702" s="5"/>
      <c r="VV702" s="5"/>
      <c r="VW702" s="5"/>
      <c r="VX702" s="5"/>
      <c r="VY702" s="5"/>
      <c r="VZ702" s="5"/>
      <c r="WA702" s="5"/>
      <c r="WB702" s="5"/>
      <c r="WC702" s="5"/>
      <c r="WD702" s="5"/>
      <c r="WE702" s="5"/>
      <c r="WF702" s="5"/>
      <c r="WG702" s="5"/>
      <c r="WH702" s="5"/>
      <c r="WI702" s="5"/>
      <c r="WJ702" s="5"/>
      <c r="WK702" s="5"/>
      <c r="WL702" s="5"/>
      <c r="WM702" s="5"/>
      <c r="WN702" s="5"/>
      <c r="WO702" s="5"/>
      <c r="WP702" s="5"/>
      <c r="WQ702" s="5"/>
      <c r="WR702" s="5"/>
      <c r="WS702" s="5"/>
      <c r="WT702" s="5"/>
      <c r="WU702" s="5"/>
      <c r="WV702" s="5"/>
      <c r="WW702" s="5"/>
      <c r="WX702" s="5"/>
      <c r="WY702" s="5"/>
      <c r="WZ702" s="5"/>
      <c r="XA702" s="5"/>
      <c r="XB702" s="5"/>
      <c r="XC702" s="5"/>
      <c r="XD702" s="5"/>
      <c r="XE702" s="5"/>
      <c r="XF702" s="5"/>
      <c r="XG702" s="5"/>
      <c r="XH702" s="5"/>
      <c r="XI702" s="5"/>
      <c r="XJ702" s="5"/>
      <c r="XK702" s="5"/>
      <c r="XL702" s="5"/>
      <c r="XM702" s="5"/>
      <c r="XN702" s="5"/>
      <c r="XO702" s="5"/>
      <c r="XP702" s="5"/>
      <c r="XQ702" s="5"/>
      <c r="XR702" s="5"/>
      <c r="XS702" s="5"/>
      <c r="XT702" s="5"/>
      <c r="XU702" s="5"/>
      <c r="XV702" s="5"/>
      <c r="XW702" s="5"/>
      <c r="XX702" s="5"/>
      <c r="XY702" s="5"/>
      <c r="XZ702" s="5"/>
      <c r="YA702" s="5"/>
      <c r="YB702" s="5"/>
      <c r="YC702" s="5"/>
      <c r="YD702" s="5"/>
      <c r="YE702" s="5"/>
      <c r="YF702" s="5"/>
      <c r="YG702" s="5"/>
      <c r="YH702" s="5"/>
      <c r="YI702" s="5"/>
      <c r="YJ702" s="5"/>
      <c r="YK702" s="5"/>
      <c r="YL702" s="5"/>
      <c r="YM702" s="5"/>
      <c r="YN702" s="5"/>
      <c r="YO702" s="5"/>
      <c r="YP702" s="5"/>
      <c r="YQ702" s="5"/>
      <c r="YR702" s="5"/>
      <c r="YS702" s="5"/>
      <c r="YT702" s="5"/>
      <c r="YU702" s="5"/>
      <c r="YV702" s="5"/>
      <c r="YW702" s="5"/>
      <c r="YX702" s="5"/>
      <c r="YY702" s="5"/>
      <c r="YZ702" s="5"/>
      <c r="ZA702" s="5"/>
      <c r="ZB702" s="5"/>
      <c r="ZC702" s="5"/>
      <c r="ZD702" s="5"/>
      <c r="ZE702" s="5"/>
      <c r="ZF702" s="5"/>
      <c r="ZG702" s="5"/>
      <c r="ZH702" s="5"/>
      <c r="ZI702" s="5"/>
      <c r="ZJ702" s="5"/>
      <c r="ZK702" s="5"/>
      <c r="ZL702" s="5"/>
      <c r="ZM702" s="5"/>
      <c r="ZN702" s="5"/>
      <c r="ZO702" s="5"/>
      <c r="ZP702" s="5"/>
      <c r="ZQ702" s="5"/>
      <c r="ZR702" s="5"/>
      <c r="ZS702" s="5"/>
      <c r="ZT702" s="5"/>
      <c r="ZU702" s="5"/>
      <c r="ZV702" s="5"/>
      <c r="ZW702" s="5"/>
      <c r="ZX702" s="5"/>
      <c r="ZY702" s="5"/>
      <c r="ZZ702" s="5"/>
      <c r="AAA702" s="5"/>
      <c r="AAB702" s="5"/>
      <c r="AAC702" s="5"/>
      <c r="AAD702" s="5"/>
      <c r="AAE702" s="5"/>
      <c r="AAF702" s="5"/>
      <c r="AAG702" s="5"/>
      <c r="AAH702" s="5"/>
      <c r="AAI702" s="5"/>
      <c r="AAJ702" s="5"/>
      <c r="AAK702" s="5"/>
      <c r="AAL702" s="5"/>
      <c r="AAM702" s="5"/>
      <c r="AAN702" s="5"/>
      <c r="AAO702" s="5"/>
      <c r="AAP702" s="5"/>
      <c r="AAQ702" s="5"/>
      <c r="AAR702" s="5"/>
      <c r="AAS702" s="5"/>
      <c r="AAT702" s="5"/>
      <c r="AAU702" s="5"/>
      <c r="AAV702" s="5"/>
      <c r="AAW702" s="5"/>
      <c r="AAX702" s="5"/>
      <c r="AAY702" s="5"/>
      <c r="AAZ702" s="5"/>
      <c r="ABA702" s="5"/>
      <c r="ABB702" s="5"/>
      <c r="ABC702" s="5"/>
      <c r="ABD702" s="5"/>
      <c r="ABE702" s="5"/>
      <c r="ABF702" s="5"/>
      <c r="ABG702" s="5"/>
      <c r="ABH702" s="5"/>
      <c r="ABI702" s="5"/>
      <c r="ABJ702" s="5"/>
      <c r="ABK702" s="5"/>
      <c r="ABL702" s="5"/>
      <c r="ABM702" s="5"/>
      <c r="ABN702" s="5"/>
      <c r="ABO702" s="5"/>
      <c r="ABP702" s="5"/>
      <c r="ABQ702" s="5"/>
      <c r="ABR702" s="5"/>
      <c r="ABS702" s="5"/>
      <c r="ABT702" s="5"/>
      <c r="ABU702" s="5"/>
      <c r="ABV702" s="5"/>
      <c r="ABW702" s="5"/>
      <c r="ABX702" s="5"/>
      <c r="ABY702" s="5"/>
      <c r="ABZ702" s="5"/>
      <c r="ACA702" s="5"/>
      <c r="ACB702" s="5"/>
      <c r="ACC702" s="5"/>
      <c r="ACD702" s="5"/>
      <c r="ACE702" s="5"/>
      <c r="ACF702" s="5"/>
      <c r="ACG702" s="5"/>
      <c r="ACH702" s="5"/>
      <c r="ACI702" s="5"/>
      <c r="ACJ702" s="5"/>
      <c r="ACK702" s="5"/>
      <c r="ACL702" s="5"/>
      <c r="ACM702" s="5"/>
      <c r="ACN702" s="5"/>
      <c r="ACO702" s="5"/>
      <c r="ACP702" s="5"/>
      <c r="ACQ702" s="5"/>
      <c r="ACR702" s="5"/>
      <c r="ACS702" s="5"/>
      <c r="ACT702" s="5"/>
      <c r="ACU702" s="5"/>
      <c r="ACV702" s="5"/>
      <c r="ACW702" s="5"/>
      <c r="ACX702" s="5"/>
      <c r="ACY702" s="5"/>
      <c r="ACZ702" s="5"/>
      <c r="ADA702" s="5"/>
      <c r="ADB702" s="5"/>
      <c r="ADC702" s="5"/>
      <c r="ADD702" s="5"/>
      <c r="ADE702" s="5"/>
      <c r="ADF702" s="5"/>
      <c r="ADG702" s="5"/>
      <c r="ADH702" s="5"/>
      <c r="ADI702" s="5"/>
      <c r="ADJ702" s="5"/>
      <c r="ADK702" s="5"/>
      <c r="ADL702" s="5"/>
      <c r="ADM702" s="5"/>
      <c r="ADN702" s="5"/>
      <c r="ADO702" s="5"/>
      <c r="ADP702" s="5"/>
      <c r="ADQ702" s="5"/>
      <c r="ADR702" s="5"/>
      <c r="ADS702" s="5"/>
      <c r="ADT702" s="5"/>
      <c r="ADU702" s="5"/>
      <c r="ADV702" s="5"/>
      <c r="ADW702" s="5"/>
      <c r="ADX702" s="5"/>
      <c r="ADY702" s="5"/>
      <c r="ADZ702" s="5"/>
      <c r="AEA702" s="5"/>
      <c r="AEB702" s="5"/>
      <c r="AEC702" s="5"/>
      <c r="AED702" s="5"/>
      <c r="AEE702" s="5"/>
      <c r="AEF702" s="5"/>
      <c r="AEG702" s="5"/>
      <c r="AEH702" s="5"/>
      <c r="AEI702" s="5"/>
      <c r="AEJ702" s="5"/>
      <c r="AEK702" s="5"/>
      <c r="AEL702" s="5"/>
      <c r="AEM702" s="5"/>
      <c r="AEN702" s="5"/>
      <c r="AEO702" s="5"/>
      <c r="AEP702" s="5"/>
      <c r="AEQ702" s="5"/>
      <c r="AER702" s="5"/>
      <c r="AES702" s="5"/>
      <c r="AET702" s="5"/>
      <c r="AEU702" s="5"/>
      <c r="AEV702" s="5"/>
      <c r="AEW702" s="5"/>
      <c r="AEX702" s="5"/>
      <c r="AEY702" s="5"/>
      <c r="AEZ702" s="5"/>
      <c r="AFA702" s="5"/>
      <c r="AFB702" s="5"/>
      <c r="AFC702" s="5"/>
      <c r="AFD702" s="5"/>
      <c r="AFE702" s="5"/>
      <c r="AFF702" s="5"/>
      <c r="AFG702" s="5"/>
      <c r="AFH702" s="5"/>
      <c r="AFI702" s="5"/>
      <c r="AFJ702" s="5"/>
      <c r="AFK702" s="5"/>
      <c r="AFL702" s="5"/>
      <c r="AFM702" s="5"/>
      <c r="AFN702" s="5"/>
      <c r="AFO702" s="5"/>
      <c r="AFP702" s="5"/>
      <c r="AFQ702" s="5"/>
      <c r="AFR702" s="5"/>
      <c r="AFS702" s="5"/>
      <c r="AFT702" s="5"/>
      <c r="AFU702" s="5"/>
      <c r="AFV702" s="5"/>
      <c r="AFW702" s="5"/>
      <c r="AFX702" s="5"/>
      <c r="AFY702" s="5"/>
      <c r="AFZ702" s="5"/>
      <c r="AGA702" s="5"/>
      <c r="AGB702" s="5"/>
      <c r="AGC702" s="5"/>
      <c r="AGD702" s="5"/>
      <c r="AGE702" s="5"/>
      <c r="AGF702" s="5"/>
      <c r="AGG702" s="5"/>
      <c r="AGH702" s="5"/>
      <c r="AGI702" s="5"/>
      <c r="AGJ702" s="5"/>
      <c r="AGK702" s="5"/>
      <c r="AGL702" s="5"/>
      <c r="AGM702" s="5"/>
      <c r="AGN702" s="5"/>
      <c r="AGO702" s="5"/>
      <c r="AGP702" s="5"/>
      <c r="AGQ702" s="5"/>
      <c r="AGR702" s="5"/>
      <c r="AGS702" s="5"/>
      <c r="AGT702" s="5"/>
      <c r="AGU702" s="5"/>
      <c r="AGV702" s="5"/>
      <c r="AGW702" s="5"/>
      <c r="AGX702" s="5"/>
      <c r="AGY702" s="5"/>
      <c r="AGZ702" s="5"/>
      <c r="AHA702" s="5"/>
      <c r="AHB702" s="5"/>
      <c r="AHC702" s="5"/>
      <c r="AHD702" s="5"/>
      <c r="AHE702" s="5"/>
      <c r="AHF702" s="5"/>
      <c r="AHG702" s="5"/>
      <c r="AHH702" s="5"/>
      <c r="AHI702" s="5"/>
      <c r="AHJ702" s="5"/>
      <c r="AHK702" s="5"/>
      <c r="AHL702" s="5"/>
      <c r="AHM702" s="5"/>
      <c r="AHN702" s="5"/>
      <c r="AHO702" s="5"/>
      <c r="AHP702" s="5"/>
      <c r="AHQ702" s="5"/>
      <c r="AHR702" s="5"/>
      <c r="AHS702" s="5"/>
      <c r="AHT702" s="5"/>
      <c r="AHU702" s="5"/>
      <c r="AHV702" s="5"/>
      <c r="AHW702" s="5"/>
      <c r="AHX702" s="5"/>
      <c r="AHY702" s="5"/>
      <c r="AHZ702" s="5"/>
      <c r="AIA702" s="5"/>
      <c r="AIB702" s="5"/>
      <c r="AIC702" s="5"/>
      <c r="AID702" s="5"/>
      <c r="AIE702" s="5"/>
      <c r="AIF702" s="5"/>
      <c r="AIG702" s="5"/>
      <c r="AIH702" s="5"/>
      <c r="AII702" s="5"/>
      <c r="AIJ702" s="5"/>
      <c r="AIK702" s="5"/>
      <c r="AIL702" s="5"/>
      <c r="AIM702" s="5"/>
      <c r="AIN702" s="5"/>
      <c r="AIO702" s="5"/>
      <c r="AIP702" s="5"/>
      <c r="AIQ702" s="5"/>
      <c r="AIR702" s="5"/>
      <c r="AIS702" s="5"/>
      <c r="AIT702" s="5"/>
      <c r="AIU702" s="5"/>
      <c r="AIV702" s="5"/>
      <c r="AIW702" s="5"/>
      <c r="AIX702" s="5"/>
      <c r="AIY702" s="5"/>
      <c r="AIZ702" s="5"/>
      <c r="AJA702" s="5"/>
      <c r="AJB702" s="5"/>
      <c r="AJC702" s="5"/>
      <c r="AJD702" s="5"/>
      <c r="AJE702" s="5"/>
      <c r="AJF702" s="5"/>
      <c r="AJG702" s="5"/>
      <c r="AJH702" s="5"/>
      <c r="AJI702" s="5"/>
      <c r="AJJ702" s="5"/>
      <c r="AJK702" s="5"/>
      <c r="AJL702" s="5"/>
      <c r="AJM702" s="5"/>
      <c r="AJN702" s="5"/>
      <c r="AJO702" s="5"/>
      <c r="AJP702" s="5"/>
      <c r="AJQ702" s="5"/>
      <c r="AJR702" s="5"/>
      <c r="AJS702" s="5"/>
      <c r="AJT702" s="5"/>
      <c r="AJU702" s="5"/>
      <c r="AJV702" s="5"/>
      <c r="AJW702" s="5"/>
      <c r="AJX702" s="5"/>
      <c r="AJY702" s="5"/>
      <c r="AJZ702" s="5"/>
      <c r="AKA702" s="5"/>
      <c r="AKB702" s="5"/>
      <c r="AKC702" s="5"/>
      <c r="AKD702" s="5"/>
      <c r="AKE702" s="5"/>
      <c r="AKF702" s="5"/>
      <c r="AKG702" s="5"/>
      <c r="AKH702" s="5"/>
      <c r="AKI702" s="5"/>
      <c r="AKJ702" s="5"/>
      <c r="AKK702" s="5"/>
      <c r="AKL702" s="5"/>
      <c r="AKM702" s="5"/>
      <c r="AKN702" s="5"/>
      <c r="AKO702" s="5"/>
      <c r="AKP702" s="5"/>
      <c r="AKQ702" s="5"/>
      <c r="AKR702" s="5"/>
      <c r="AKS702" s="5"/>
      <c r="AKT702" s="5"/>
      <c r="AKU702" s="5"/>
      <c r="AKV702" s="5"/>
      <c r="AKW702" s="5"/>
      <c r="AKX702" s="5"/>
      <c r="AKY702" s="5"/>
      <c r="AKZ702" s="5"/>
      <c r="ALA702" s="5"/>
      <c r="ALB702" s="5"/>
      <c r="ALC702" s="5"/>
      <c r="ALD702" s="5"/>
      <c r="ALE702" s="5"/>
      <c r="ALF702" s="5"/>
      <c r="ALG702" s="5"/>
      <c r="ALH702" s="5"/>
      <c r="ALI702" s="5"/>
      <c r="ALJ702" s="5"/>
      <c r="ALK702" s="5"/>
      <c r="ALL702" s="5"/>
      <c r="ALM702" s="5"/>
      <c r="ALN702" s="5"/>
      <c r="ALO702" s="5"/>
      <c r="ALP702" s="5"/>
      <c r="ALQ702" s="5"/>
      <c r="ALR702" s="5"/>
      <c r="ALS702" s="5"/>
      <c r="ALT702" s="5"/>
      <c r="ALU702" s="5"/>
      <c r="ALV702" s="5"/>
      <c r="ALW702" s="5"/>
      <c r="ALX702" s="5"/>
      <c r="ALY702" s="5"/>
      <c r="ALZ702" s="5"/>
      <c r="AMA702" s="5"/>
      <c r="AMB702" s="5"/>
      <c r="AMC702" s="5"/>
      <c r="AMD702" s="5"/>
      <c r="AME702" s="5"/>
      <c r="AMF702" s="5"/>
      <c r="AMG702" s="5"/>
      <c r="AMH702" s="5"/>
      <c r="AMI702" s="5"/>
      <c r="AMJ702" s="5"/>
      <c r="AMK702" s="5"/>
      <c r="AML702" s="5"/>
      <c r="AMM702" s="5"/>
      <c r="AMN702" s="5"/>
      <c r="AMO702" s="5"/>
      <c r="AMP702" s="5"/>
      <c r="AMQ702" s="5"/>
      <c r="AMR702" s="5"/>
      <c r="AMS702" s="5"/>
      <c r="AMT702" s="5"/>
      <c r="AMU702" s="5"/>
      <c r="AMV702" s="5"/>
      <c r="AMW702" s="5"/>
      <c r="AMX702" s="5"/>
      <c r="AMY702" s="5"/>
      <c r="AMZ702" s="5"/>
      <c r="ANA702" s="5"/>
      <c r="ANB702" s="5"/>
      <c r="ANC702" s="5"/>
      <c r="AND702" s="5"/>
      <c r="ANE702" s="5"/>
      <c r="ANF702" s="5"/>
      <c r="ANG702" s="5"/>
      <c r="ANH702" s="5"/>
      <c r="ANI702" s="5"/>
      <c r="ANJ702" s="5"/>
      <c r="ANK702" s="5"/>
      <c r="ANL702" s="5"/>
      <c r="ANM702" s="5"/>
      <c r="ANN702" s="5"/>
      <c r="ANO702" s="5"/>
      <c r="ANP702" s="5"/>
      <c r="ANQ702" s="5"/>
      <c r="ANR702" s="5"/>
      <c r="ANS702" s="5"/>
      <c r="ANT702" s="5"/>
      <c r="ANU702" s="5"/>
      <c r="ANV702" s="5"/>
      <c r="ANW702" s="5"/>
      <c r="ANX702" s="5"/>
      <c r="ANY702" s="5"/>
      <c r="ANZ702" s="5"/>
      <c r="AOA702" s="5"/>
      <c r="AOB702" s="5"/>
      <c r="AOC702" s="5"/>
      <c r="AOD702" s="5"/>
      <c r="AOE702" s="5"/>
      <c r="AOF702" s="5"/>
      <c r="AOG702" s="5"/>
      <c r="AOH702" s="5"/>
      <c r="AOI702" s="5"/>
      <c r="AOJ702" s="5"/>
      <c r="AOK702" s="5"/>
      <c r="AOL702" s="5"/>
      <c r="AOM702" s="5"/>
      <c r="AON702" s="5"/>
      <c r="AOO702" s="5"/>
      <c r="AOP702" s="5"/>
      <c r="AOQ702" s="5"/>
      <c r="AOR702" s="5"/>
      <c r="AOS702" s="5"/>
      <c r="AOT702" s="5"/>
      <c r="AOU702" s="5"/>
      <c r="AOV702" s="5"/>
      <c r="AOW702" s="5"/>
      <c r="AOX702" s="5"/>
      <c r="AOY702" s="5"/>
      <c r="AOZ702" s="5"/>
      <c r="APA702" s="5"/>
      <c r="APB702" s="5"/>
      <c r="APC702" s="5"/>
      <c r="APD702" s="5"/>
      <c r="APE702" s="5"/>
      <c r="APF702" s="5"/>
      <c r="APG702" s="5"/>
      <c r="APH702" s="5"/>
      <c r="API702" s="5"/>
      <c r="APJ702" s="5"/>
      <c r="APK702" s="5"/>
      <c r="APL702" s="5"/>
      <c r="APM702" s="5"/>
      <c r="APN702" s="5"/>
      <c r="APO702" s="5"/>
      <c r="APP702" s="5"/>
      <c r="APQ702" s="5"/>
      <c r="APR702" s="5"/>
      <c r="APS702" s="5"/>
      <c r="APT702" s="5"/>
      <c r="APU702" s="5"/>
      <c r="APV702" s="5"/>
      <c r="APW702" s="5"/>
      <c r="APX702" s="5"/>
      <c r="APY702" s="5"/>
      <c r="APZ702" s="5"/>
      <c r="AQA702" s="5"/>
      <c r="AQB702" s="5"/>
      <c r="AQC702" s="5"/>
      <c r="AQD702" s="5"/>
      <c r="AQE702" s="5"/>
      <c r="AQF702" s="5"/>
      <c r="AQG702" s="5"/>
      <c r="AQH702" s="5"/>
      <c r="AQI702" s="5"/>
      <c r="AQJ702" s="5"/>
      <c r="AQK702" s="5"/>
      <c r="AQL702" s="5"/>
      <c r="AQM702" s="5"/>
      <c r="AQN702" s="5"/>
      <c r="AQO702" s="5"/>
      <c r="AQP702" s="5"/>
      <c r="AQQ702" s="5"/>
      <c r="AQR702" s="5"/>
      <c r="AQS702" s="5"/>
      <c r="AQT702" s="5"/>
      <c r="AQU702" s="5"/>
      <c r="AQV702" s="5"/>
      <c r="AQW702" s="5"/>
      <c r="AQX702" s="5"/>
      <c r="AQY702" s="5"/>
      <c r="AQZ702" s="5"/>
      <c r="ARA702" s="5"/>
      <c r="ARB702" s="5"/>
      <c r="ARC702" s="5"/>
      <c r="ARD702" s="5"/>
      <c r="ARE702" s="5"/>
      <c r="ARF702" s="5"/>
      <c r="ARG702" s="5"/>
      <c r="ARH702" s="5"/>
      <c r="ARI702" s="5"/>
      <c r="ARJ702" s="5"/>
      <c r="ARK702" s="5"/>
      <c r="ARL702" s="5"/>
      <c r="ARM702" s="5"/>
      <c r="ARN702" s="5"/>
      <c r="ARO702" s="5"/>
      <c r="ARP702" s="5"/>
      <c r="ARQ702" s="5"/>
      <c r="ARR702" s="5"/>
      <c r="ARS702" s="5"/>
      <c r="ART702" s="5"/>
      <c r="ARU702" s="5"/>
      <c r="ARV702" s="5"/>
      <c r="ARW702" s="5"/>
      <c r="ARX702" s="5"/>
      <c r="ARY702" s="5"/>
      <c r="ARZ702" s="5"/>
      <c r="ASA702" s="5"/>
      <c r="ASB702" s="5"/>
      <c r="ASC702" s="5"/>
      <c r="ASD702" s="5"/>
      <c r="ASE702" s="5"/>
      <c r="ASF702" s="5"/>
      <c r="ASG702" s="5"/>
      <c r="ASH702" s="5"/>
      <c r="ASI702" s="5"/>
      <c r="ASJ702" s="5"/>
      <c r="ASK702" s="5"/>
      <c r="ASL702" s="5"/>
      <c r="ASM702" s="5"/>
      <c r="ASN702" s="5"/>
      <c r="ASO702" s="5"/>
      <c r="ASP702" s="5"/>
      <c r="ASQ702" s="5"/>
      <c r="ASR702" s="5"/>
      <c r="ASS702" s="5"/>
      <c r="AST702" s="5"/>
      <c r="ASU702" s="5"/>
      <c r="ASV702" s="5"/>
      <c r="ASW702" s="5"/>
      <c r="ASX702" s="5"/>
      <c r="ASY702" s="5"/>
      <c r="ASZ702" s="5"/>
      <c r="ATA702" s="5"/>
      <c r="ATB702" s="5"/>
      <c r="ATC702" s="5"/>
      <c r="ATD702" s="5"/>
      <c r="ATE702" s="5"/>
      <c r="ATF702" s="5"/>
      <c r="ATG702" s="5"/>
      <c r="ATH702" s="5"/>
      <c r="ATI702" s="5"/>
      <c r="ATJ702" s="5"/>
      <c r="ATK702" s="5"/>
      <c r="ATL702" s="5"/>
      <c r="ATM702" s="5"/>
      <c r="ATN702" s="5"/>
      <c r="ATO702" s="5"/>
      <c r="ATP702" s="5"/>
      <c r="ATQ702" s="5"/>
      <c r="ATR702" s="5"/>
      <c r="ATS702" s="5"/>
      <c r="ATT702" s="5"/>
      <c r="ATU702" s="5"/>
      <c r="ATV702" s="5"/>
      <c r="ATW702" s="5"/>
      <c r="ATX702" s="5"/>
    </row>
    <row r="703" spans="1:1220" s="67" customFormat="1" ht="12.75" customHeight="1" x14ac:dyDescent="0.35">
      <c r="A703" s="76" t="s">
        <v>229</v>
      </c>
      <c r="B703" s="99" t="s">
        <v>130</v>
      </c>
      <c r="C703" s="76" t="s">
        <v>2603</v>
      </c>
      <c r="D703" s="142" t="s">
        <v>2603</v>
      </c>
      <c r="E703" s="76"/>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c r="DT703" s="5"/>
      <c r="DU703" s="5"/>
      <c r="DV703" s="5"/>
      <c r="DW703" s="5"/>
      <c r="DX703" s="5"/>
      <c r="DY703" s="5"/>
      <c r="DZ703" s="5"/>
      <c r="EA703" s="5"/>
      <c r="EB703" s="5"/>
      <c r="EC703" s="5"/>
      <c r="ED703" s="5"/>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s="5"/>
      <c r="FG703" s="5"/>
      <c r="FH703" s="5"/>
      <c r="FI703" s="5"/>
      <c r="FJ703" s="5"/>
      <c r="FK703" s="5"/>
      <c r="FL703" s="5"/>
      <c r="FM703" s="5"/>
      <c r="FN703" s="5"/>
      <c r="FO703" s="5"/>
      <c r="FP703" s="5"/>
      <c r="FQ703" s="5"/>
      <c r="FR703" s="5"/>
      <c r="FS703" s="5"/>
      <c r="FT703" s="5"/>
      <c r="FU703" s="5"/>
      <c r="FV703" s="5"/>
      <c r="FW703" s="5"/>
      <c r="FX703" s="5"/>
      <c r="FY703" s="5"/>
      <c r="FZ703" s="5"/>
      <c r="GA703" s="5"/>
      <c r="GB703" s="5"/>
      <c r="GC703" s="5"/>
      <c r="GD703" s="5"/>
      <c r="GE703" s="5"/>
      <c r="GF703" s="5"/>
      <c r="GG703" s="5"/>
      <c r="GH703" s="5"/>
      <c r="GI703" s="5"/>
      <c r="GJ703" s="5"/>
      <c r="GK703" s="5"/>
      <c r="GL703" s="5"/>
      <c r="GM703" s="5"/>
      <c r="GN703" s="5"/>
      <c r="GO703" s="5"/>
      <c r="GP703" s="5"/>
      <c r="GQ703" s="5"/>
      <c r="GR703" s="5"/>
      <c r="GS703" s="5"/>
      <c r="GT703" s="5"/>
      <c r="GU703" s="5"/>
      <c r="GV703" s="5"/>
      <c r="GW703" s="5"/>
      <c r="GX703" s="5"/>
      <c r="GY703" s="5"/>
      <c r="GZ703" s="5"/>
      <c r="HA703" s="5"/>
      <c r="HB703" s="5"/>
      <c r="HC703" s="5"/>
      <c r="HD703" s="5"/>
      <c r="HE703" s="5"/>
      <c r="HF703" s="5"/>
      <c r="HG703" s="5"/>
      <c r="HH703" s="5"/>
      <c r="HI703" s="5"/>
      <c r="HJ703" s="5"/>
      <c r="HK703" s="5"/>
      <c r="HL703" s="5"/>
      <c r="HM703" s="5"/>
      <c r="HN703" s="5"/>
      <c r="HO703" s="5"/>
      <c r="HP703" s="5"/>
      <c r="HQ703" s="5"/>
      <c r="HR703" s="5"/>
      <c r="HS703" s="5"/>
      <c r="HT703" s="5"/>
      <c r="HU703" s="5"/>
      <c r="HV703" s="5"/>
      <c r="HW703" s="5"/>
      <c r="HX703" s="5"/>
      <c r="HY703" s="5"/>
      <c r="HZ703" s="5"/>
      <c r="IA703" s="5"/>
      <c r="IB703" s="5"/>
      <c r="IC703" s="5"/>
      <c r="ID703" s="5"/>
      <c r="IE703" s="5"/>
      <c r="IF703" s="5"/>
      <c r="IG703" s="5"/>
      <c r="IH703" s="5"/>
      <c r="II703" s="5"/>
      <c r="IJ703" s="5"/>
      <c r="IK703" s="5"/>
      <c r="IL703" s="5"/>
      <c r="IM703" s="5"/>
      <c r="IN703" s="5"/>
      <c r="IO703" s="5"/>
      <c r="IP703" s="5"/>
      <c r="IQ703" s="5"/>
      <c r="IR703" s="5"/>
      <c r="IS703" s="5"/>
      <c r="IT703" s="5"/>
      <c r="IU703" s="5"/>
      <c r="IV703" s="5"/>
      <c r="IW703" s="5"/>
      <c r="IX703" s="5"/>
      <c r="IY703" s="5"/>
      <c r="IZ703" s="5"/>
      <c r="JA703" s="5"/>
      <c r="JB703" s="5"/>
      <c r="JC703" s="5"/>
      <c r="JD703" s="5"/>
      <c r="JE703" s="5"/>
      <c r="JF703" s="5"/>
      <c r="JG703" s="5"/>
      <c r="JH703" s="5"/>
      <c r="JI703" s="5"/>
      <c r="JJ703" s="5"/>
      <c r="JK703" s="5"/>
      <c r="JL703" s="5"/>
      <c r="JM703" s="5"/>
      <c r="JN703" s="5"/>
      <c r="JO703" s="5"/>
      <c r="JP703" s="5"/>
      <c r="JQ703" s="5"/>
      <c r="JR703" s="5"/>
      <c r="JS703" s="5"/>
      <c r="JT703" s="5"/>
      <c r="JU703" s="5"/>
      <c r="JV703" s="5"/>
      <c r="JW703" s="5"/>
      <c r="JX703" s="5"/>
      <c r="JY703" s="5"/>
      <c r="JZ703" s="5"/>
      <c r="KA703" s="5"/>
      <c r="KB703" s="5"/>
      <c r="KC703" s="5"/>
      <c r="KD703" s="5"/>
      <c r="KE703" s="5"/>
      <c r="KF703" s="5"/>
      <c r="KG703" s="5"/>
      <c r="KH703" s="5"/>
      <c r="KI703" s="5"/>
      <c r="KJ703" s="5"/>
      <c r="KK703" s="5"/>
      <c r="KL703" s="5"/>
      <c r="KM703" s="5"/>
      <c r="KN703" s="5"/>
      <c r="KO703" s="5"/>
      <c r="KP703" s="5"/>
      <c r="KQ703" s="5"/>
      <c r="KR703" s="5"/>
      <c r="KS703" s="5"/>
      <c r="KT703" s="5"/>
      <c r="KU703" s="5"/>
      <c r="KV703" s="5"/>
      <c r="KW703" s="5"/>
      <c r="KX703" s="5"/>
      <c r="KY703" s="5"/>
      <c r="KZ703" s="5"/>
      <c r="LA703" s="5"/>
      <c r="LB703" s="5"/>
      <c r="LC703" s="5"/>
      <c r="LD703" s="5"/>
      <c r="LE703" s="5"/>
      <c r="LF703" s="5"/>
      <c r="LG703" s="5"/>
      <c r="LH703" s="5"/>
      <c r="LI703" s="5"/>
      <c r="LJ703" s="5"/>
      <c r="LK703" s="5"/>
      <c r="LL703" s="5"/>
      <c r="LM703" s="5"/>
      <c r="LN703" s="5"/>
      <c r="LO703" s="5"/>
      <c r="LP703" s="5"/>
      <c r="LQ703" s="5"/>
      <c r="LR703" s="5"/>
      <c r="LS703" s="5"/>
      <c r="LT703" s="5"/>
      <c r="LU703" s="5"/>
      <c r="LV703" s="5"/>
      <c r="LW703" s="5"/>
      <c r="LX703" s="5"/>
      <c r="LY703" s="5"/>
      <c r="LZ703" s="5"/>
      <c r="MA703" s="5"/>
      <c r="MB703" s="5"/>
      <c r="MC703" s="5"/>
      <c r="MD703" s="5"/>
      <c r="ME703" s="5"/>
      <c r="MF703" s="5"/>
      <c r="MG703" s="5"/>
      <c r="MH703" s="5"/>
      <c r="MI703" s="5"/>
      <c r="MJ703" s="5"/>
      <c r="MK703" s="5"/>
      <c r="ML703" s="5"/>
      <c r="MM703" s="5"/>
      <c r="MN703" s="5"/>
      <c r="MO703" s="5"/>
      <c r="MP703" s="5"/>
      <c r="MQ703" s="5"/>
      <c r="MR703" s="5"/>
      <c r="MS703" s="5"/>
      <c r="MT703" s="5"/>
      <c r="MU703" s="5"/>
      <c r="MV703" s="5"/>
      <c r="MW703" s="5"/>
      <c r="MX703" s="5"/>
      <c r="MY703" s="5"/>
      <c r="MZ703" s="5"/>
      <c r="NA703" s="5"/>
      <c r="NB703" s="5"/>
      <c r="NC703" s="5"/>
      <c r="ND703" s="5"/>
      <c r="NE703" s="5"/>
      <c r="NF703" s="5"/>
      <c r="NG703" s="5"/>
      <c r="NH703" s="5"/>
      <c r="NI703" s="5"/>
      <c r="NJ703" s="5"/>
      <c r="NK703" s="5"/>
      <c r="NL703" s="5"/>
      <c r="NM703" s="5"/>
      <c r="NN703" s="5"/>
      <c r="NO703" s="5"/>
      <c r="NP703" s="5"/>
      <c r="NQ703" s="5"/>
      <c r="NR703" s="5"/>
      <c r="NS703" s="5"/>
      <c r="NT703" s="5"/>
      <c r="NU703" s="5"/>
      <c r="NV703" s="5"/>
      <c r="NW703" s="5"/>
      <c r="NX703" s="5"/>
      <c r="NY703" s="5"/>
      <c r="NZ703" s="5"/>
      <c r="OA703" s="5"/>
      <c r="OB703" s="5"/>
      <c r="OC703" s="5"/>
      <c r="OD703" s="5"/>
      <c r="OE703" s="5"/>
      <c r="OF703" s="5"/>
      <c r="OG703" s="5"/>
      <c r="OH703" s="5"/>
      <c r="OI703" s="5"/>
      <c r="OJ703" s="5"/>
      <c r="OK703" s="5"/>
      <c r="OL703" s="5"/>
      <c r="OM703" s="5"/>
      <c r="ON703" s="5"/>
      <c r="OO703" s="5"/>
      <c r="OP703" s="5"/>
      <c r="OQ703" s="5"/>
      <c r="OR703" s="5"/>
      <c r="OS703" s="5"/>
      <c r="OT703" s="5"/>
      <c r="OU703" s="5"/>
      <c r="OV703" s="5"/>
      <c r="OW703" s="5"/>
      <c r="OX703" s="5"/>
      <c r="OY703" s="5"/>
      <c r="OZ703" s="5"/>
      <c r="PA703" s="5"/>
      <c r="PB703" s="5"/>
      <c r="PC703" s="5"/>
      <c r="PD703" s="5"/>
      <c r="PE703" s="5"/>
      <c r="PF703" s="5"/>
      <c r="PG703" s="5"/>
      <c r="PH703" s="5"/>
      <c r="PI703" s="5"/>
      <c r="PJ703" s="5"/>
      <c r="PK703" s="5"/>
      <c r="PL703" s="5"/>
      <c r="PM703" s="5"/>
      <c r="PN703" s="5"/>
      <c r="PO703" s="5"/>
      <c r="PP703" s="5"/>
      <c r="PQ703" s="5"/>
      <c r="PR703" s="5"/>
      <c r="PS703" s="5"/>
      <c r="PT703" s="5"/>
      <c r="PU703" s="5"/>
      <c r="PV703" s="5"/>
      <c r="PW703" s="5"/>
      <c r="PX703" s="5"/>
      <c r="PY703" s="5"/>
      <c r="PZ703" s="5"/>
      <c r="QA703" s="5"/>
      <c r="QB703" s="5"/>
      <c r="QC703" s="5"/>
      <c r="QD703" s="5"/>
      <c r="QE703" s="5"/>
      <c r="QF703" s="5"/>
      <c r="QG703" s="5"/>
      <c r="QH703" s="5"/>
      <c r="QI703" s="5"/>
      <c r="QJ703" s="5"/>
      <c r="QK703" s="5"/>
      <c r="QL703" s="5"/>
      <c r="QM703" s="5"/>
      <c r="QN703" s="5"/>
      <c r="QO703" s="5"/>
      <c r="QP703" s="5"/>
      <c r="QQ703" s="5"/>
      <c r="QR703" s="5"/>
      <c r="QS703" s="5"/>
      <c r="QT703" s="5"/>
      <c r="QU703" s="5"/>
      <c r="QV703" s="5"/>
      <c r="QW703" s="5"/>
      <c r="QX703" s="5"/>
      <c r="QY703" s="5"/>
      <c r="QZ703" s="5"/>
      <c r="RA703" s="5"/>
      <c r="RB703" s="5"/>
      <c r="RC703" s="5"/>
      <c r="RD703" s="5"/>
      <c r="RE703" s="5"/>
      <c r="RF703" s="5"/>
      <c r="RG703" s="5"/>
      <c r="RH703" s="5"/>
      <c r="RI703" s="5"/>
      <c r="RJ703" s="5"/>
      <c r="RK703" s="5"/>
      <c r="RL703" s="5"/>
      <c r="RM703" s="5"/>
      <c r="RN703" s="5"/>
      <c r="RO703" s="5"/>
      <c r="RP703" s="5"/>
      <c r="RQ703" s="5"/>
      <c r="RR703" s="5"/>
      <c r="RS703" s="5"/>
      <c r="RT703" s="5"/>
      <c r="RU703" s="5"/>
      <c r="RV703" s="5"/>
      <c r="RW703" s="5"/>
      <c r="RX703" s="5"/>
      <c r="RY703" s="5"/>
      <c r="RZ703" s="5"/>
      <c r="SA703" s="5"/>
      <c r="SB703" s="5"/>
      <c r="SC703" s="5"/>
      <c r="SD703" s="5"/>
      <c r="SE703" s="5"/>
      <c r="SF703" s="5"/>
      <c r="SG703" s="5"/>
      <c r="SH703" s="5"/>
      <c r="SI703" s="5"/>
      <c r="SJ703" s="5"/>
      <c r="SK703" s="5"/>
      <c r="SL703" s="5"/>
      <c r="SM703" s="5"/>
      <c r="SN703" s="5"/>
      <c r="SO703" s="5"/>
      <c r="SP703" s="5"/>
      <c r="SQ703" s="5"/>
      <c r="SR703" s="5"/>
      <c r="SS703" s="5"/>
      <c r="ST703" s="5"/>
      <c r="SU703" s="5"/>
      <c r="SV703" s="5"/>
      <c r="SW703" s="5"/>
      <c r="SX703" s="5"/>
      <c r="SY703" s="5"/>
      <c r="SZ703" s="5"/>
      <c r="TA703" s="5"/>
      <c r="TB703" s="5"/>
      <c r="TC703" s="5"/>
      <c r="TD703" s="5"/>
      <c r="TE703" s="5"/>
      <c r="TF703" s="5"/>
      <c r="TG703" s="5"/>
      <c r="TH703" s="5"/>
      <c r="TI703" s="5"/>
      <c r="TJ703" s="5"/>
      <c r="TK703" s="5"/>
      <c r="TL703" s="5"/>
      <c r="TM703" s="5"/>
      <c r="TN703" s="5"/>
      <c r="TO703" s="5"/>
      <c r="TP703" s="5"/>
      <c r="TQ703" s="5"/>
      <c r="TR703" s="5"/>
      <c r="TS703" s="5"/>
      <c r="TT703" s="5"/>
      <c r="TU703" s="5"/>
      <c r="TV703" s="5"/>
      <c r="TW703" s="5"/>
      <c r="TX703" s="5"/>
      <c r="TY703" s="5"/>
      <c r="TZ703" s="5"/>
      <c r="UA703" s="5"/>
      <c r="UB703" s="5"/>
      <c r="UC703" s="5"/>
      <c r="UD703" s="5"/>
      <c r="UE703" s="5"/>
      <c r="UF703" s="5"/>
      <c r="UG703" s="5"/>
      <c r="UH703" s="5"/>
      <c r="UI703" s="5"/>
      <c r="UJ703" s="5"/>
      <c r="UK703" s="5"/>
      <c r="UL703" s="5"/>
      <c r="UM703" s="5"/>
      <c r="UN703" s="5"/>
      <c r="UO703" s="5"/>
      <c r="UP703" s="5"/>
      <c r="UQ703" s="5"/>
      <c r="UR703" s="5"/>
      <c r="US703" s="5"/>
      <c r="UT703" s="5"/>
      <c r="UU703" s="5"/>
      <c r="UV703" s="5"/>
      <c r="UW703" s="5"/>
      <c r="UX703" s="5"/>
      <c r="UY703" s="5"/>
      <c r="UZ703" s="5"/>
      <c r="VA703" s="5"/>
      <c r="VB703" s="5"/>
      <c r="VC703" s="5"/>
      <c r="VD703" s="5"/>
      <c r="VE703" s="5"/>
      <c r="VF703" s="5"/>
      <c r="VG703" s="5"/>
      <c r="VH703" s="5"/>
      <c r="VI703" s="5"/>
      <c r="VJ703" s="5"/>
      <c r="VK703" s="5"/>
      <c r="VL703" s="5"/>
      <c r="VM703" s="5"/>
      <c r="VN703" s="5"/>
      <c r="VO703" s="5"/>
      <c r="VP703" s="5"/>
      <c r="VQ703" s="5"/>
      <c r="VR703" s="5"/>
      <c r="VS703" s="5"/>
      <c r="VT703" s="5"/>
      <c r="VU703" s="5"/>
      <c r="VV703" s="5"/>
      <c r="VW703" s="5"/>
      <c r="VX703" s="5"/>
      <c r="VY703" s="5"/>
      <c r="VZ703" s="5"/>
      <c r="WA703" s="5"/>
      <c r="WB703" s="5"/>
      <c r="WC703" s="5"/>
      <c r="WD703" s="5"/>
      <c r="WE703" s="5"/>
      <c r="WF703" s="5"/>
      <c r="WG703" s="5"/>
      <c r="WH703" s="5"/>
      <c r="WI703" s="5"/>
      <c r="WJ703" s="5"/>
      <c r="WK703" s="5"/>
      <c r="WL703" s="5"/>
      <c r="WM703" s="5"/>
      <c r="WN703" s="5"/>
      <c r="WO703" s="5"/>
      <c r="WP703" s="5"/>
      <c r="WQ703" s="5"/>
      <c r="WR703" s="5"/>
      <c r="WS703" s="5"/>
      <c r="WT703" s="5"/>
      <c r="WU703" s="5"/>
      <c r="WV703" s="5"/>
      <c r="WW703" s="5"/>
      <c r="WX703" s="5"/>
      <c r="WY703" s="5"/>
      <c r="WZ703" s="5"/>
      <c r="XA703" s="5"/>
      <c r="XB703" s="5"/>
      <c r="XC703" s="5"/>
      <c r="XD703" s="5"/>
      <c r="XE703" s="5"/>
      <c r="XF703" s="5"/>
      <c r="XG703" s="5"/>
      <c r="XH703" s="5"/>
      <c r="XI703" s="5"/>
      <c r="XJ703" s="5"/>
      <c r="XK703" s="5"/>
      <c r="XL703" s="5"/>
      <c r="XM703" s="5"/>
      <c r="XN703" s="5"/>
      <c r="XO703" s="5"/>
      <c r="XP703" s="5"/>
      <c r="XQ703" s="5"/>
      <c r="XR703" s="5"/>
      <c r="XS703" s="5"/>
      <c r="XT703" s="5"/>
      <c r="XU703" s="5"/>
      <c r="XV703" s="5"/>
      <c r="XW703" s="5"/>
      <c r="XX703" s="5"/>
      <c r="XY703" s="5"/>
      <c r="XZ703" s="5"/>
      <c r="YA703" s="5"/>
      <c r="YB703" s="5"/>
      <c r="YC703" s="5"/>
      <c r="YD703" s="5"/>
      <c r="YE703" s="5"/>
      <c r="YF703" s="5"/>
      <c r="YG703" s="5"/>
      <c r="YH703" s="5"/>
      <c r="YI703" s="5"/>
      <c r="YJ703" s="5"/>
      <c r="YK703" s="5"/>
      <c r="YL703" s="5"/>
      <c r="YM703" s="5"/>
      <c r="YN703" s="5"/>
      <c r="YO703" s="5"/>
      <c r="YP703" s="5"/>
      <c r="YQ703" s="5"/>
      <c r="YR703" s="5"/>
      <c r="YS703" s="5"/>
      <c r="YT703" s="5"/>
      <c r="YU703" s="5"/>
      <c r="YV703" s="5"/>
      <c r="YW703" s="5"/>
      <c r="YX703" s="5"/>
      <c r="YY703" s="5"/>
      <c r="YZ703" s="5"/>
      <c r="ZA703" s="5"/>
      <c r="ZB703" s="5"/>
      <c r="ZC703" s="5"/>
      <c r="ZD703" s="5"/>
      <c r="ZE703" s="5"/>
      <c r="ZF703" s="5"/>
      <c r="ZG703" s="5"/>
      <c r="ZH703" s="5"/>
      <c r="ZI703" s="5"/>
      <c r="ZJ703" s="5"/>
      <c r="ZK703" s="5"/>
      <c r="ZL703" s="5"/>
      <c r="ZM703" s="5"/>
      <c r="ZN703" s="5"/>
      <c r="ZO703" s="5"/>
      <c r="ZP703" s="5"/>
      <c r="ZQ703" s="5"/>
      <c r="ZR703" s="5"/>
      <c r="ZS703" s="5"/>
      <c r="ZT703" s="5"/>
      <c r="ZU703" s="5"/>
      <c r="ZV703" s="5"/>
      <c r="ZW703" s="5"/>
      <c r="ZX703" s="5"/>
      <c r="ZY703" s="5"/>
      <c r="ZZ703" s="5"/>
      <c r="AAA703" s="5"/>
      <c r="AAB703" s="5"/>
      <c r="AAC703" s="5"/>
      <c r="AAD703" s="5"/>
      <c r="AAE703" s="5"/>
      <c r="AAF703" s="5"/>
      <c r="AAG703" s="5"/>
      <c r="AAH703" s="5"/>
      <c r="AAI703" s="5"/>
      <c r="AAJ703" s="5"/>
      <c r="AAK703" s="5"/>
      <c r="AAL703" s="5"/>
      <c r="AAM703" s="5"/>
      <c r="AAN703" s="5"/>
      <c r="AAO703" s="5"/>
      <c r="AAP703" s="5"/>
      <c r="AAQ703" s="5"/>
      <c r="AAR703" s="5"/>
      <c r="AAS703" s="5"/>
      <c r="AAT703" s="5"/>
      <c r="AAU703" s="5"/>
      <c r="AAV703" s="5"/>
      <c r="AAW703" s="5"/>
      <c r="AAX703" s="5"/>
      <c r="AAY703" s="5"/>
      <c r="AAZ703" s="5"/>
      <c r="ABA703" s="5"/>
      <c r="ABB703" s="5"/>
      <c r="ABC703" s="5"/>
      <c r="ABD703" s="5"/>
      <c r="ABE703" s="5"/>
      <c r="ABF703" s="5"/>
      <c r="ABG703" s="5"/>
      <c r="ABH703" s="5"/>
      <c r="ABI703" s="5"/>
      <c r="ABJ703" s="5"/>
      <c r="ABK703" s="5"/>
      <c r="ABL703" s="5"/>
      <c r="ABM703" s="5"/>
      <c r="ABN703" s="5"/>
      <c r="ABO703" s="5"/>
      <c r="ABP703" s="5"/>
      <c r="ABQ703" s="5"/>
      <c r="ABR703" s="5"/>
      <c r="ABS703" s="5"/>
      <c r="ABT703" s="5"/>
      <c r="ABU703" s="5"/>
      <c r="ABV703" s="5"/>
      <c r="ABW703" s="5"/>
      <c r="ABX703" s="5"/>
      <c r="ABY703" s="5"/>
      <c r="ABZ703" s="5"/>
      <c r="ACA703" s="5"/>
      <c r="ACB703" s="5"/>
      <c r="ACC703" s="5"/>
      <c r="ACD703" s="5"/>
      <c r="ACE703" s="5"/>
      <c r="ACF703" s="5"/>
      <c r="ACG703" s="5"/>
      <c r="ACH703" s="5"/>
      <c r="ACI703" s="5"/>
      <c r="ACJ703" s="5"/>
      <c r="ACK703" s="5"/>
      <c r="ACL703" s="5"/>
      <c r="ACM703" s="5"/>
      <c r="ACN703" s="5"/>
      <c r="ACO703" s="5"/>
      <c r="ACP703" s="5"/>
      <c r="ACQ703" s="5"/>
      <c r="ACR703" s="5"/>
      <c r="ACS703" s="5"/>
      <c r="ACT703" s="5"/>
      <c r="ACU703" s="5"/>
      <c r="ACV703" s="5"/>
      <c r="ACW703" s="5"/>
      <c r="ACX703" s="5"/>
      <c r="ACY703" s="5"/>
      <c r="ACZ703" s="5"/>
      <c r="ADA703" s="5"/>
      <c r="ADB703" s="5"/>
      <c r="ADC703" s="5"/>
      <c r="ADD703" s="5"/>
      <c r="ADE703" s="5"/>
      <c r="ADF703" s="5"/>
      <c r="ADG703" s="5"/>
      <c r="ADH703" s="5"/>
      <c r="ADI703" s="5"/>
      <c r="ADJ703" s="5"/>
      <c r="ADK703" s="5"/>
      <c r="ADL703" s="5"/>
      <c r="ADM703" s="5"/>
      <c r="ADN703" s="5"/>
      <c r="ADO703" s="5"/>
      <c r="ADP703" s="5"/>
      <c r="ADQ703" s="5"/>
      <c r="ADR703" s="5"/>
      <c r="ADS703" s="5"/>
      <c r="ADT703" s="5"/>
      <c r="ADU703" s="5"/>
      <c r="ADV703" s="5"/>
      <c r="ADW703" s="5"/>
      <c r="ADX703" s="5"/>
      <c r="ADY703" s="5"/>
      <c r="ADZ703" s="5"/>
      <c r="AEA703" s="5"/>
      <c r="AEB703" s="5"/>
      <c r="AEC703" s="5"/>
      <c r="AED703" s="5"/>
      <c r="AEE703" s="5"/>
      <c r="AEF703" s="5"/>
      <c r="AEG703" s="5"/>
      <c r="AEH703" s="5"/>
      <c r="AEI703" s="5"/>
      <c r="AEJ703" s="5"/>
      <c r="AEK703" s="5"/>
      <c r="AEL703" s="5"/>
      <c r="AEM703" s="5"/>
      <c r="AEN703" s="5"/>
      <c r="AEO703" s="5"/>
      <c r="AEP703" s="5"/>
      <c r="AEQ703" s="5"/>
      <c r="AER703" s="5"/>
      <c r="AES703" s="5"/>
      <c r="AET703" s="5"/>
      <c r="AEU703" s="5"/>
      <c r="AEV703" s="5"/>
      <c r="AEW703" s="5"/>
      <c r="AEX703" s="5"/>
      <c r="AEY703" s="5"/>
      <c r="AEZ703" s="5"/>
      <c r="AFA703" s="5"/>
      <c r="AFB703" s="5"/>
      <c r="AFC703" s="5"/>
      <c r="AFD703" s="5"/>
      <c r="AFE703" s="5"/>
      <c r="AFF703" s="5"/>
      <c r="AFG703" s="5"/>
      <c r="AFH703" s="5"/>
      <c r="AFI703" s="5"/>
      <c r="AFJ703" s="5"/>
      <c r="AFK703" s="5"/>
      <c r="AFL703" s="5"/>
      <c r="AFM703" s="5"/>
      <c r="AFN703" s="5"/>
      <c r="AFO703" s="5"/>
      <c r="AFP703" s="5"/>
      <c r="AFQ703" s="5"/>
      <c r="AFR703" s="5"/>
      <c r="AFS703" s="5"/>
      <c r="AFT703" s="5"/>
      <c r="AFU703" s="5"/>
      <c r="AFV703" s="5"/>
      <c r="AFW703" s="5"/>
      <c r="AFX703" s="5"/>
      <c r="AFY703" s="5"/>
      <c r="AFZ703" s="5"/>
      <c r="AGA703" s="5"/>
      <c r="AGB703" s="5"/>
      <c r="AGC703" s="5"/>
      <c r="AGD703" s="5"/>
      <c r="AGE703" s="5"/>
      <c r="AGF703" s="5"/>
      <c r="AGG703" s="5"/>
      <c r="AGH703" s="5"/>
      <c r="AGI703" s="5"/>
      <c r="AGJ703" s="5"/>
      <c r="AGK703" s="5"/>
      <c r="AGL703" s="5"/>
      <c r="AGM703" s="5"/>
      <c r="AGN703" s="5"/>
      <c r="AGO703" s="5"/>
      <c r="AGP703" s="5"/>
      <c r="AGQ703" s="5"/>
      <c r="AGR703" s="5"/>
      <c r="AGS703" s="5"/>
      <c r="AGT703" s="5"/>
      <c r="AGU703" s="5"/>
      <c r="AGV703" s="5"/>
      <c r="AGW703" s="5"/>
      <c r="AGX703" s="5"/>
      <c r="AGY703" s="5"/>
      <c r="AGZ703" s="5"/>
      <c r="AHA703" s="5"/>
      <c r="AHB703" s="5"/>
      <c r="AHC703" s="5"/>
      <c r="AHD703" s="5"/>
      <c r="AHE703" s="5"/>
      <c r="AHF703" s="5"/>
      <c r="AHG703" s="5"/>
      <c r="AHH703" s="5"/>
      <c r="AHI703" s="5"/>
      <c r="AHJ703" s="5"/>
      <c r="AHK703" s="5"/>
      <c r="AHL703" s="5"/>
      <c r="AHM703" s="5"/>
      <c r="AHN703" s="5"/>
      <c r="AHO703" s="5"/>
      <c r="AHP703" s="5"/>
      <c r="AHQ703" s="5"/>
      <c r="AHR703" s="5"/>
      <c r="AHS703" s="5"/>
      <c r="AHT703" s="5"/>
      <c r="AHU703" s="5"/>
      <c r="AHV703" s="5"/>
      <c r="AHW703" s="5"/>
      <c r="AHX703" s="5"/>
      <c r="AHY703" s="5"/>
      <c r="AHZ703" s="5"/>
      <c r="AIA703" s="5"/>
      <c r="AIB703" s="5"/>
      <c r="AIC703" s="5"/>
      <c r="AID703" s="5"/>
      <c r="AIE703" s="5"/>
      <c r="AIF703" s="5"/>
      <c r="AIG703" s="5"/>
      <c r="AIH703" s="5"/>
      <c r="AII703" s="5"/>
      <c r="AIJ703" s="5"/>
      <c r="AIK703" s="5"/>
      <c r="AIL703" s="5"/>
      <c r="AIM703" s="5"/>
      <c r="AIN703" s="5"/>
      <c r="AIO703" s="5"/>
      <c r="AIP703" s="5"/>
      <c r="AIQ703" s="5"/>
      <c r="AIR703" s="5"/>
      <c r="AIS703" s="5"/>
      <c r="AIT703" s="5"/>
      <c r="AIU703" s="5"/>
      <c r="AIV703" s="5"/>
      <c r="AIW703" s="5"/>
      <c r="AIX703" s="5"/>
      <c r="AIY703" s="5"/>
      <c r="AIZ703" s="5"/>
      <c r="AJA703" s="5"/>
      <c r="AJB703" s="5"/>
      <c r="AJC703" s="5"/>
      <c r="AJD703" s="5"/>
      <c r="AJE703" s="5"/>
      <c r="AJF703" s="5"/>
      <c r="AJG703" s="5"/>
      <c r="AJH703" s="5"/>
      <c r="AJI703" s="5"/>
      <c r="AJJ703" s="5"/>
      <c r="AJK703" s="5"/>
      <c r="AJL703" s="5"/>
      <c r="AJM703" s="5"/>
      <c r="AJN703" s="5"/>
      <c r="AJO703" s="5"/>
      <c r="AJP703" s="5"/>
      <c r="AJQ703" s="5"/>
      <c r="AJR703" s="5"/>
      <c r="AJS703" s="5"/>
      <c r="AJT703" s="5"/>
      <c r="AJU703" s="5"/>
      <c r="AJV703" s="5"/>
      <c r="AJW703" s="5"/>
      <c r="AJX703" s="5"/>
      <c r="AJY703" s="5"/>
      <c r="AJZ703" s="5"/>
      <c r="AKA703" s="5"/>
      <c r="AKB703" s="5"/>
      <c r="AKC703" s="5"/>
      <c r="AKD703" s="5"/>
      <c r="AKE703" s="5"/>
      <c r="AKF703" s="5"/>
      <c r="AKG703" s="5"/>
      <c r="AKH703" s="5"/>
      <c r="AKI703" s="5"/>
      <c r="AKJ703" s="5"/>
      <c r="AKK703" s="5"/>
      <c r="AKL703" s="5"/>
      <c r="AKM703" s="5"/>
      <c r="AKN703" s="5"/>
      <c r="AKO703" s="5"/>
      <c r="AKP703" s="5"/>
      <c r="AKQ703" s="5"/>
      <c r="AKR703" s="5"/>
      <c r="AKS703" s="5"/>
      <c r="AKT703" s="5"/>
      <c r="AKU703" s="5"/>
      <c r="AKV703" s="5"/>
      <c r="AKW703" s="5"/>
      <c r="AKX703" s="5"/>
      <c r="AKY703" s="5"/>
      <c r="AKZ703" s="5"/>
      <c r="ALA703" s="5"/>
      <c r="ALB703" s="5"/>
      <c r="ALC703" s="5"/>
      <c r="ALD703" s="5"/>
      <c r="ALE703" s="5"/>
      <c r="ALF703" s="5"/>
      <c r="ALG703" s="5"/>
      <c r="ALH703" s="5"/>
      <c r="ALI703" s="5"/>
      <c r="ALJ703" s="5"/>
      <c r="ALK703" s="5"/>
      <c r="ALL703" s="5"/>
      <c r="ALM703" s="5"/>
      <c r="ALN703" s="5"/>
      <c r="ALO703" s="5"/>
      <c r="ALP703" s="5"/>
      <c r="ALQ703" s="5"/>
      <c r="ALR703" s="5"/>
      <c r="ALS703" s="5"/>
      <c r="ALT703" s="5"/>
      <c r="ALU703" s="5"/>
      <c r="ALV703" s="5"/>
      <c r="ALW703" s="5"/>
      <c r="ALX703" s="5"/>
      <c r="ALY703" s="5"/>
      <c r="ALZ703" s="5"/>
      <c r="AMA703" s="5"/>
      <c r="AMB703" s="5"/>
      <c r="AMC703" s="5"/>
      <c r="AMD703" s="5"/>
      <c r="AME703" s="5"/>
      <c r="AMF703" s="5"/>
      <c r="AMG703" s="5"/>
      <c r="AMH703" s="5"/>
      <c r="AMI703" s="5"/>
      <c r="AMJ703" s="5"/>
      <c r="AMK703" s="5"/>
      <c r="AML703" s="5"/>
      <c r="AMM703" s="5"/>
      <c r="AMN703" s="5"/>
      <c r="AMO703" s="5"/>
      <c r="AMP703" s="5"/>
      <c r="AMQ703" s="5"/>
      <c r="AMR703" s="5"/>
      <c r="AMS703" s="5"/>
      <c r="AMT703" s="5"/>
      <c r="AMU703" s="5"/>
      <c r="AMV703" s="5"/>
      <c r="AMW703" s="5"/>
      <c r="AMX703" s="5"/>
      <c r="AMY703" s="5"/>
      <c r="AMZ703" s="5"/>
      <c r="ANA703" s="5"/>
      <c r="ANB703" s="5"/>
      <c r="ANC703" s="5"/>
      <c r="AND703" s="5"/>
      <c r="ANE703" s="5"/>
      <c r="ANF703" s="5"/>
      <c r="ANG703" s="5"/>
      <c r="ANH703" s="5"/>
      <c r="ANI703" s="5"/>
      <c r="ANJ703" s="5"/>
      <c r="ANK703" s="5"/>
      <c r="ANL703" s="5"/>
      <c r="ANM703" s="5"/>
      <c r="ANN703" s="5"/>
      <c r="ANO703" s="5"/>
      <c r="ANP703" s="5"/>
      <c r="ANQ703" s="5"/>
      <c r="ANR703" s="5"/>
      <c r="ANS703" s="5"/>
      <c r="ANT703" s="5"/>
      <c r="ANU703" s="5"/>
      <c r="ANV703" s="5"/>
      <c r="ANW703" s="5"/>
      <c r="ANX703" s="5"/>
      <c r="ANY703" s="5"/>
      <c r="ANZ703" s="5"/>
      <c r="AOA703" s="5"/>
      <c r="AOB703" s="5"/>
      <c r="AOC703" s="5"/>
      <c r="AOD703" s="5"/>
      <c r="AOE703" s="5"/>
      <c r="AOF703" s="5"/>
      <c r="AOG703" s="5"/>
      <c r="AOH703" s="5"/>
      <c r="AOI703" s="5"/>
      <c r="AOJ703" s="5"/>
      <c r="AOK703" s="5"/>
      <c r="AOL703" s="5"/>
      <c r="AOM703" s="5"/>
      <c r="AON703" s="5"/>
      <c r="AOO703" s="5"/>
      <c r="AOP703" s="5"/>
      <c r="AOQ703" s="5"/>
      <c r="AOR703" s="5"/>
      <c r="AOS703" s="5"/>
      <c r="AOT703" s="5"/>
      <c r="AOU703" s="5"/>
      <c r="AOV703" s="5"/>
      <c r="AOW703" s="5"/>
      <c r="AOX703" s="5"/>
      <c r="AOY703" s="5"/>
      <c r="AOZ703" s="5"/>
      <c r="APA703" s="5"/>
      <c r="APB703" s="5"/>
      <c r="APC703" s="5"/>
      <c r="APD703" s="5"/>
      <c r="APE703" s="5"/>
      <c r="APF703" s="5"/>
      <c r="APG703" s="5"/>
      <c r="APH703" s="5"/>
      <c r="API703" s="5"/>
      <c r="APJ703" s="5"/>
      <c r="APK703" s="5"/>
      <c r="APL703" s="5"/>
      <c r="APM703" s="5"/>
      <c r="APN703" s="5"/>
      <c r="APO703" s="5"/>
      <c r="APP703" s="5"/>
      <c r="APQ703" s="5"/>
      <c r="APR703" s="5"/>
      <c r="APS703" s="5"/>
      <c r="APT703" s="5"/>
      <c r="APU703" s="5"/>
      <c r="APV703" s="5"/>
      <c r="APW703" s="5"/>
      <c r="APX703" s="5"/>
      <c r="APY703" s="5"/>
      <c r="APZ703" s="5"/>
      <c r="AQA703" s="5"/>
      <c r="AQB703" s="5"/>
      <c r="AQC703" s="5"/>
      <c r="AQD703" s="5"/>
      <c r="AQE703" s="5"/>
      <c r="AQF703" s="5"/>
      <c r="AQG703" s="5"/>
      <c r="AQH703" s="5"/>
      <c r="AQI703" s="5"/>
      <c r="AQJ703" s="5"/>
      <c r="AQK703" s="5"/>
      <c r="AQL703" s="5"/>
      <c r="AQM703" s="5"/>
      <c r="AQN703" s="5"/>
      <c r="AQO703" s="5"/>
      <c r="AQP703" s="5"/>
      <c r="AQQ703" s="5"/>
      <c r="AQR703" s="5"/>
      <c r="AQS703" s="5"/>
      <c r="AQT703" s="5"/>
      <c r="AQU703" s="5"/>
      <c r="AQV703" s="5"/>
      <c r="AQW703" s="5"/>
      <c r="AQX703" s="5"/>
      <c r="AQY703" s="5"/>
      <c r="AQZ703" s="5"/>
      <c r="ARA703" s="5"/>
      <c r="ARB703" s="5"/>
      <c r="ARC703" s="5"/>
      <c r="ARD703" s="5"/>
      <c r="ARE703" s="5"/>
      <c r="ARF703" s="5"/>
      <c r="ARG703" s="5"/>
      <c r="ARH703" s="5"/>
      <c r="ARI703" s="5"/>
      <c r="ARJ703" s="5"/>
      <c r="ARK703" s="5"/>
      <c r="ARL703" s="5"/>
      <c r="ARM703" s="5"/>
      <c r="ARN703" s="5"/>
      <c r="ARO703" s="5"/>
      <c r="ARP703" s="5"/>
      <c r="ARQ703" s="5"/>
      <c r="ARR703" s="5"/>
      <c r="ARS703" s="5"/>
      <c r="ART703" s="5"/>
      <c r="ARU703" s="5"/>
      <c r="ARV703" s="5"/>
      <c r="ARW703" s="5"/>
      <c r="ARX703" s="5"/>
      <c r="ARY703" s="5"/>
      <c r="ARZ703" s="5"/>
      <c r="ASA703" s="5"/>
      <c r="ASB703" s="5"/>
      <c r="ASC703" s="5"/>
      <c r="ASD703" s="5"/>
      <c r="ASE703" s="5"/>
      <c r="ASF703" s="5"/>
      <c r="ASG703" s="5"/>
      <c r="ASH703" s="5"/>
      <c r="ASI703" s="5"/>
      <c r="ASJ703" s="5"/>
      <c r="ASK703" s="5"/>
      <c r="ASL703" s="5"/>
      <c r="ASM703" s="5"/>
      <c r="ASN703" s="5"/>
      <c r="ASO703" s="5"/>
      <c r="ASP703" s="5"/>
      <c r="ASQ703" s="5"/>
      <c r="ASR703" s="5"/>
      <c r="ASS703" s="5"/>
      <c r="AST703" s="5"/>
      <c r="ASU703" s="5"/>
      <c r="ASV703" s="5"/>
      <c r="ASW703" s="5"/>
      <c r="ASX703" s="5"/>
      <c r="ASY703" s="5"/>
      <c r="ASZ703" s="5"/>
      <c r="ATA703" s="5"/>
      <c r="ATB703" s="5"/>
      <c r="ATC703" s="5"/>
      <c r="ATD703" s="5"/>
      <c r="ATE703" s="5"/>
      <c r="ATF703" s="5"/>
      <c r="ATG703" s="5"/>
      <c r="ATH703" s="5"/>
      <c r="ATI703" s="5"/>
      <c r="ATJ703" s="5"/>
      <c r="ATK703" s="5"/>
      <c r="ATL703" s="5"/>
      <c r="ATM703" s="5"/>
      <c r="ATN703" s="5"/>
      <c r="ATO703" s="5"/>
      <c r="ATP703" s="5"/>
      <c r="ATQ703" s="5"/>
      <c r="ATR703" s="5"/>
      <c r="ATS703" s="5"/>
      <c r="ATT703" s="5"/>
      <c r="ATU703" s="5"/>
      <c r="ATV703" s="5"/>
      <c r="ATW703" s="5"/>
      <c r="ATX703" s="5"/>
    </row>
    <row r="704" spans="1:1220" s="67" customFormat="1" ht="12.75" customHeight="1" x14ac:dyDescent="0.35">
      <c r="A704" s="76" t="s">
        <v>229</v>
      </c>
      <c r="B704" s="99" t="s">
        <v>137</v>
      </c>
      <c r="C704" s="76" t="s">
        <v>2604</v>
      </c>
      <c r="D704" s="142" t="s">
        <v>2604</v>
      </c>
      <c r="E704" s="76"/>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5"/>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s="5"/>
      <c r="FG704" s="5"/>
      <c r="FH704" s="5"/>
      <c r="FI704" s="5"/>
      <c r="FJ704" s="5"/>
      <c r="FK704" s="5"/>
      <c r="FL704" s="5"/>
      <c r="FM704" s="5"/>
      <c r="FN704" s="5"/>
      <c r="FO704" s="5"/>
      <c r="FP704" s="5"/>
      <c r="FQ704" s="5"/>
      <c r="FR704" s="5"/>
      <c r="FS704" s="5"/>
      <c r="FT704" s="5"/>
      <c r="FU704" s="5"/>
      <c r="FV704" s="5"/>
      <c r="FW704" s="5"/>
      <c r="FX704" s="5"/>
      <c r="FY704" s="5"/>
      <c r="FZ704" s="5"/>
      <c r="GA704" s="5"/>
      <c r="GB704" s="5"/>
      <c r="GC704" s="5"/>
      <c r="GD704" s="5"/>
      <c r="GE704" s="5"/>
      <c r="GF704" s="5"/>
      <c r="GG704" s="5"/>
      <c r="GH704" s="5"/>
      <c r="GI704" s="5"/>
      <c r="GJ704" s="5"/>
      <c r="GK704" s="5"/>
      <c r="GL704" s="5"/>
      <c r="GM704" s="5"/>
      <c r="GN704" s="5"/>
      <c r="GO704" s="5"/>
      <c r="GP704" s="5"/>
      <c r="GQ704" s="5"/>
      <c r="GR704" s="5"/>
      <c r="GS704" s="5"/>
      <c r="GT704" s="5"/>
      <c r="GU704" s="5"/>
      <c r="GV704" s="5"/>
      <c r="GW704" s="5"/>
      <c r="GX704" s="5"/>
      <c r="GY704" s="5"/>
      <c r="GZ704" s="5"/>
      <c r="HA704" s="5"/>
      <c r="HB704" s="5"/>
      <c r="HC704" s="5"/>
      <c r="HD704" s="5"/>
      <c r="HE704" s="5"/>
      <c r="HF704" s="5"/>
      <c r="HG704" s="5"/>
      <c r="HH704" s="5"/>
      <c r="HI704" s="5"/>
      <c r="HJ704" s="5"/>
      <c r="HK704" s="5"/>
      <c r="HL704" s="5"/>
      <c r="HM704" s="5"/>
      <c r="HN704" s="5"/>
      <c r="HO704" s="5"/>
      <c r="HP704" s="5"/>
      <c r="HQ704" s="5"/>
      <c r="HR704" s="5"/>
      <c r="HS704" s="5"/>
      <c r="HT704" s="5"/>
      <c r="HU704" s="5"/>
      <c r="HV704" s="5"/>
      <c r="HW704" s="5"/>
      <c r="HX704" s="5"/>
      <c r="HY704" s="5"/>
      <c r="HZ704" s="5"/>
      <c r="IA704" s="5"/>
      <c r="IB704" s="5"/>
      <c r="IC704" s="5"/>
      <c r="ID704" s="5"/>
      <c r="IE704" s="5"/>
      <c r="IF704" s="5"/>
      <c r="IG704" s="5"/>
      <c r="IH704" s="5"/>
      <c r="II704" s="5"/>
      <c r="IJ704" s="5"/>
      <c r="IK704" s="5"/>
      <c r="IL704" s="5"/>
      <c r="IM704" s="5"/>
      <c r="IN704" s="5"/>
      <c r="IO704" s="5"/>
      <c r="IP704" s="5"/>
      <c r="IQ704" s="5"/>
      <c r="IR704" s="5"/>
      <c r="IS704" s="5"/>
      <c r="IT704" s="5"/>
      <c r="IU704" s="5"/>
      <c r="IV704" s="5"/>
      <c r="IW704" s="5"/>
      <c r="IX704" s="5"/>
      <c r="IY704" s="5"/>
      <c r="IZ704" s="5"/>
      <c r="JA704" s="5"/>
      <c r="JB704" s="5"/>
      <c r="JC704" s="5"/>
      <c r="JD704" s="5"/>
      <c r="JE704" s="5"/>
      <c r="JF704" s="5"/>
      <c r="JG704" s="5"/>
      <c r="JH704" s="5"/>
      <c r="JI704" s="5"/>
      <c r="JJ704" s="5"/>
      <c r="JK704" s="5"/>
      <c r="JL704" s="5"/>
      <c r="JM704" s="5"/>
      <c r="JN704" s="5"/>
      <c r="JO704" s="5"/>
      <c r="JP704" s="5"/>
      <c r="JQ704" s="5"/>
      <c r="JR704" s="5"/>
      <c r="JS704" s="5"/>
      <c r="JT704" s="5"/>
      <c r="JU704" s="5"/>
      <c r="JV704" s="5"/>
      <c r="JW704" s="5"/>
      <c r="JX704" s="5"/>
      <c r="JY704" s="5"/>
      <c r="JZ704" s="5"/>
      <c r="KA704" s="5"/>
      <c r="KB704" s="5"/>
      <c r="KC704" s="5"/>
      <c r="KD704" s="5"/>
      <c r="KE704" s="5"/>
      <c r="KF704" s="5"/>
      <c r="KG704" s="5"/>
      <c r="KH704" s="5"/>
      <c r="KI704" s="5"/>
      <c r="KJ704" s="5"/>
      <c r="KK704" s="5"/>
      <c r="KL704" s="5"/>
      <c r="KM704" s="5"/>
      <c r="KN704" s="5"/>
      <c r="KO704" s="5"/>
      <c r="KP704" s="5"/>
      <c r="KQ704" s="5"/>
      <c r="KR704" s="5"/>
      <c r="KS704" s="5"/>
      <c r="KT704" s="5"/>
      <c r="KU704" s="5"/>
      <c r="KV704" s="5"/>
      <c r="KW704" s="5"/>
      <c r="KX704" s="5"/>
      <c r="KY704" s="5"/>
      <c r="KZ704" s="5"/>
      <c r="LA704" s="5"/>
      <c r="LB704" s="5"/>
      <c r="LC704" s="5"/>
      <c r="LD704" s="5"/>
      <c r="LE704" s="5"/>
      <c r="LF704" s="5"/>
      <c r="LG704" s="5"/>
      <c r="LH704" s="5"/>
      <c r="LI704" s="5"/>
      <c r="LJ704" s="5"/>
      <c r="LK704" s="5"/>
      <c r="LL704" s="5"/>
      <c r="LM704" s="5"/>
      <c r="LN704" s="5"/>
      <c r="LO704" s="5"/>
      <c r="LP704" s="5"/>
      <c r="LQ704" s="5"/>
      <c r="LR704" s="5"/>
      <c r="LS704" s="5"/>
      <c r="LT704" s="5"/>
      <c r="LU704" s="5"/>
      <c r="LV704" s="5"/>
      <c r="LW704" s="5"/>
      <c r="LX704" s="5"/>
      <c r="LY704" s="5"/>
      <c r="LZ704" s="5"/>
      <c r="MA704" s="5"/>
      <c r="MB704" s="5"/>
      <c r="MC704" s="5"/>
      <c r="MD704" s="5"/>
      <c r="ME704" s="5"/>
      <c r="MF704" s="5"/>
      <c r="MG704" s="5"/>
      <c r="MH704" s="5"/>
      <c r="MI704" s="5"/>
      <c r="MJ704" s="5"/>
      <c r="MK704" s="5"/>
      <c r="ML704" s="5"/>
      <c r="MM704" s="5"/>
      <c r="MN704" s="5"/>
      <c r="MO704" s="5"/>
      <c r="MP704" s="5"/>
      <c r="MQ704" s="5"/>
      <c r="MR704" s="5"/>
      <c r="MS704" s="5"/>
      <c r="MT704" s="5"/>
      <c r="MU704" s="5"/>
      <c r="MV704" s="5"/>
      <c r="MW704" s="5"/>
      <c r="MX704" s="5"/>
      <c r="MY704" s="5"/>
      <c r="MZ704" s="5"/>
      <c r="NA704" s="5"/>
      <c r="NB704" s="5"/>
      <c r="NC704" s="5"/>
      <c r="ND704" s="5"/>
      <c r="NE704" s="5"/>
      <c r="NF704" s="5"/>
      <c r="NG704" s="5"/>
      <c r="NH704" s="5"/>
      <c r="NI704" s="5"/>
      <c r="NJ704" s="5"/>
      <c r="NK704" s="5"/>
      <c r="NL704" s="5"/>
      <c r="NM704" s="5"/>
      <c r="NN704" s="5"/>
      <c r="NO704" s="5"/>
      <c r="NP704" s="5"/>
      <c r="NQ704" s="5"/>
      <c r="NR704" s="5"/>
      <c r="NS704" s="5"/>
      <c r="NT704" s="5"/>
      <c r="NU704" s="5"/>
      <c r="NV704" s="5"/>
      <c r="NW704" s="5"/>
      <c r="NX704" s="5"/>
      <c r="NY704" s="5"/>
      <c r="NZ704" s="5"/>
      <c r="OA704" s="5"/>
      <c r="OB704" s="5"/>
      <c r="OC704" s="5"/>
      <c r="OD704" s="5"/>
      <c r="OE704" s="5"/>
      <c r="OF704" s="5"/>
      <c r="OG704" s="5"/>
      <c r="OH704" s="5"/>
      <c r="OI704" s="5"/>
      <c r="OJ704" s="5"/>
      <c r="OK704" s="5"/>
      <c r="OL704" s="5"/>
      <c r="OM704" s="5"/>
      <c r="ON704" s="5"/>
      <c r="OO704" s="5"/>
      <c r="OP704" s="5"/>
      <c r="OQ704" s="5"/>
      <c r="OR704" s="5"/>
      <c r="OS704" s="5"/>
      <c r="OT704" s="5"/>
      <c r="OU704" s="5"/>
      <c r="OV704" s="5"/>
      <c r="OW704" s="5"/>
      <c r="OX704" s="5"/>
      <c r="OY704" s="5"/>
      <c r="OZ704" s="5"/>
      <c r="PA704" s="5"/>
      <c r="PB704" s="5"/>
      <c r="PC704" s="5"/>
      <c r="PD704" s="5"/>
      <c r="PE704" s="5"/>
      <c r="PF704" s="5"/>
      <c r="PG704" s="5"/>
      <c r="PH704" s="5"/>
      <c r="PI704" s="5"/>
      <c r="PJ704" s="5"/>
      <c r="PK704" s="5"/>
      <c r="PL704" s="5"/>
      <c r="PM704" s="5"/>
      <c r="PN704" s="5"/>
      <c r="PO704" s="5"/>
      <c r="PP704" s="5"/>
      <c r="PQ704" s="5"/>
      <c r="PR704" s="5"/>
      <c r="PS704" s="5"/>
      <c r="PT704" s="5"/>
      <c r="PU704" s="5"/>
      <c r="PV704" s="5"/>
      <c r="PW704" s="5"/>
      <c r="PX704" s="5"/>
      <c r="PY704" s="5"/>
      <c r="PZ704" s="5"/>
      <c r="QA704" s="5"/>
      <c r="QB704" s="5"/>
      <c r="QC704" s="5"/>
      <c r="QD704" s="5"/>
      <c r="QE704" s="5"/>
      <c r="QF704" s="5"/>
      <c r="QG704" s="5"/>
      <c r="QH704" s="5"/>
      <c r="QI704" s="5"/>
      <c r="QJ704" s="5"/>
      <c r="QK704" s="5"/>
      <c r="QL704" s="5"/>
      <c r="QM704" s="5"/>
      <c r="QN704" s="5"/>
      <c r="QO704" s="5"/>
      <c r="QP704" s="5"/>
      <c r="QQ704" s="5"/>
      <c r="QR704" s="5"/>
      <c r="QS704" s="5"/>
      <c r="QT704" s="5"/>
      <c r="QU704" s="5"/>
      <c r="QV704" s="5"/>
      <c r="QW704" s="5"/>
      <c r="QX704" s="5"/>
      <c r="QY704" s="5"/>
      <c r="QZ704" s="5"/>
      <c r="RA704" s="5"/>
      <c r="RB704" s="5"/>
      <c r="RC704" s="5"/>
      <c r="RD704" s="5"/>
      <c r="RE704" s="5"/>
      <c r="RF704" s="5"/>
      <c r="RG704" s="5"/>
      <c r="RH704" s="5"/>
      <c r="RI704" s="5"/>
      <c r="RJ704" s="5"/>
      <c r="RK704" s="5"/>
      <c r="RL704" s="5"/>
      <c r="RM704" s="5"/>
      <c r="RN704" s="5"/>
      <c r="RO704" s="5"/>
      <c r="RP704" s="5"/>
      <c r="RQ704" s="5"/>
      <c r="RR704" s="5"/>
      <c r="RS704" s="5"/>
      <c r="RT704" s="5"/>
      <c r="RU704" s="5"/>
      <c r="RV704" s="5"/>
      <c r="RW704" s="5"/>
      <c r="RX704" s="5"/>
      <c r="RY704" s="5"/>
      <c r="RZ704" s="5"/>
      <c r="SA704" s="5"/>
      <c r="SB704" s="5"/>
      <c r="SC704" s="5"/>
      <c r="SD704" s="5"/>
      <c r="SE704" s="5"/>
      <c r="SF704" s="5"/>
      <c r="SG704" s="5"/>
      <c r="SH704" s="5"/>
      <c r="SI704" s="5"/>
      <c r="SJ704" s="5"/>
      <c r="SK704" s="5"/>
      <c r="SL704" s="5"/>
      <c r="SM704" s="5"/>
      <c r="SN704" s="5"/>
      <c r="SO704" s="5"/>
      <c r="SP704" s="5"/>
      <c r="SQ704" s="5"/>
      <c r="SR704" s="5"/>
      <c r="SS704" s="5"/>
      <c r="ST704" s="5"/>
      <c r="SU704" s="5"/>
      <c r="SV704" s="5"/>
      <c r="SW704" s="5"/>
      <c r="SX704" s="5"/>
      <c r="SY704" s="5"/>
      <c r="SZ704" s="5"/>
      <c r="TA704" s="5"/>
      <c r="TB704" s="5"/>
      <c r="TC704" s="5"/>
      <c r="TD704" s="5"/>
      <c r="TE704" s="5"/>
      <c r="TF704" s="5"/>
      <c r="TG704" s="5"/>
      <c r="TH704" s="5"/>
      <c r="TI704" s="5"/>
      <c r="TJ704" s="5"/>
      <c r="TK704" s="5"/>
      <c r="TL704" s="5"/>
      <c r="TM704" s="5"/>
      <c r="TN704" s="5"/>
      <c r="TO704" s="5"/>
      <c r="TP704" s="5"/>
      <c r="TQ704" s="5"/>
      <c r="TR704" s="5"/>
      <c r="TS704" s="5"/>
      <c r="TT704" s="5"/>
      <c r="TU704" s="5"/>
      <c r="TV704" s="5"/>
      <c r="TW704" s="5"/>
      <c r="TX704" s="5"/>
      <c r="TY704" s="5"/>
      <c r="TZ704" s="5"/>
      <c r="UA704" s="5"/>
      <c r="UB704" s="5"/>
      <c r="UC704" s="5"/>
      <c r="UD704" s="5"/>
      <c r="UE704" s="5"/>
      <c r="UF704" s="5"/>
      <c r="UG704" s="5"/>
      <c r="UH704" s="5"/>
      <c r="UI704" s="5"/>
      <c r="UJ704" s="5"/>
      <c r="UK704" s="5"/>
      <c r="UL704" s="5"/>
      <c r="UM704" s="5"/>
      <c r="UN704" s="5"/>
      <c r="UO704" s="5"/>
      <c r="UP704" s="5"/>
      <c r="UQ704" s="5"/>
      <c r="UR704" s="5"/>
      <c r="US704" s="5"/>
      <c r="UT704" s="5"/>
      <c r="UU704" s="5"/>
      <c r="UV704" s="5"/>
      <c r="UW704" s="5"/>
      <c r="UX704" s="5"/>
      <c r="UY704" s="5"/>
      <c r="UZ704" s="5"/>
      <c r="VA704" s="5"/>
      <c r="VB704" s="5"/>
      <c r="VC704" s="5"/>
      <c r="VD704" s="5"/>
      <c r="VE704" s="5"/>
      <c r="VF704" s="5"/>
      <c r="VG704" s="5"/>
      <c r="VH704" s="5"/>
      <c r="VI704" s="5"/>
      <c r="VJ704" s="5"/>
      <c r="VK704" s="5"/>
      <c r="VL704" s="5"/>
      <c r="VM704" s="5"/>
      <c r="VN704" s="5"/>
      <c r="VO704" s="5"/>
      <c r="VP704" s="5"/>
      <c r="VQ704" s="5"/>
      <c r="VR704" s="5"/>
      <c r="VS704" s="5"/>
      <c r="VT704" s="5"/>
      <c r="VU704" s="5"/>
      <c r="VV704" s="5"/>
      <c r="VW704" s="5"/>
      <c r="VX704" s="5"/>
      <c r="VY704" s="5"/>
      <c r="VZ704" s="5"/>
      <c r="WA704" s="5"/>
      <c r="WB704" s="5"/>
      <c r="WC704" s="5"/>
      <c r="WD704" s="5"/>
      <c r="WE704" s="5"/>
      <c r="WF704" s="5"/>
      <c r="WG704" s="5"/>
      <c r="WH704" s="5"/>
      <c r="WI704" s="5"/>
      <c r="WJ704" s="5"/>
      <c r="WK704" s="5"/>
      <c r="WL704" s="5"/>
      <c r="WM704" s="5"/>
      <c r="WN704" s="5"/>
      <c r="WO704" s="5"/>
      <c r="WP704" s="5"/>
      <c r="WQ704" s="5"/>
      <c r="WR704" s="5"/>
      <c r="WS704" s="5"/>
      <c r="WT704" s="5"/>
      <c r="WU704" s="5"/>
      <c r="WV704" s="5"/>
      <c r="WW704" s="5"/>
      <c r="WX704" s="5"/>
      <c r="WY704" s="5"/>
      <c r="WZ704" s="5"/>
      <c r="XA704" s="5"/>
      <c r="XB704" s="5"/>
      <c r="XC704" s="5"/>
      <c r="XD704" s="5"/>
      <c r="XE704" s="5"/>
      <c r="XF704" s="5"/>
      <c r="XG704" s="5"/>
      <c r="XH704" s="5"/>
      <c r="XI704" s="5"/>
      <c r="XJ704" s="5"/>
      <c r="XK704" s="5"/>
      <c r="XL704" s="5"/>
      <c r="XM704" s="5"/>
      <c r="XN704" s="5"/>
      <c r="XO704" s="5"/>
      <c r="XP704" s="5"/>
      <c r="XQ704" s="5"/>
      <c r="XR704" s="5"/>
      <c r="XS704" s="5"/>
      <c r="XT704" s="5"/>
      <c r="XU704" s="5"/>
      <c r="XV704" s="5"/>
      <c r="XW704" s="5"/>
      <c r="XX704" s="5"/>
      <c r="XY704" s="5"/>
      <c r="XZ704" s="5"/>
      <c r="YA704" s="5"/>
      <c r="YB704" s="5"/>
      <c r="YC704" s="5"/>
      <c r="YD704" s="5"/>
      <c r="YE704" s="5"/>
      <c r="YF704" s="5"/>
      <c r="YG704" s="5"/>
      <c r="YH704" s="5"/>
      <c r="YI704" s="5"/>
      <c r="YJ704" s="5"/>
      <c r="YK704" s="5"/>
      <c r="YL704" s="5"/>
      <c r="YM704" s="5"/>
      <c r="YN704" s="5"/>
      <c r="YO704" s="5"/>
      <c r="YP704" s="5"/>
      <c r="YQ704" s="5"/>
      <c r="YR704" s="5"/>
      <c r="YS704" s="5"/>
      <c r="YT704" s="5"/>
      <c r="YU704" s="5"/>
      <c r="YV704" s="5"/>
      <c r="YW704" s="5"/>
      <c r="YX704" s="5"/>
      <c r="YY704" s="5"/>
      <c r="YZ704" s="5"/>
      <c r="ZA704" s="5"/>
      <c r="ZB704" s="5"/>
      <c r="ZC704" s="5"/>
      <c r="ZD704" s="5"/>
      <c r="ZE704" s="5"/>
      <c r="ZF704" s="5"/>
      <c r="ZG704" s="5"/>
      <c r="ZH704" s="5"/>
      <c r="ZI704" s="5"/>
      <c r="ZJ704" s="5"/>
      <c r="ZK704" s="5"/>
      <c r="ZL704" s="5"/>
      <c r="ZM704" s="5"/>
      <c r="ZN704" s="5"/>
      <c r="ZO704" s="5"/>
      <c r="ZP704" s="5"/>
      <c r="ZQ704" s="5"/>
      <c r="ZR704" s="5"/>
      <c r="ZS704" s="5"/>
      <c r="ZT704" s="5"/>
      <c r="ZU704" s="5"/>
      <c r="ZV704" s="5"/>
      <c r="ZW704" s="5"/>
      <c r="ZX704" s="5"/>
      <c r="ZY704" s="5"/>
      <c r="ZZ704" s="5"/>
      <c r="AAA704" s="5"/>
      <c r="AAB704" s="5"/>
      <c r="AAC704" s="5"/>
      <c r="AAD704" s="5"/>
      <c r="AAE704" s="5"/>
      <c r="AAF704" s="5"/>
      <c r="AAG704" s="5"/>
      <c r="AAH704" s="5"/>
      <c r="AAI704" s="5"/>
      <c r="AAJ704" s="5"/>
      <c r="AAK704" s="5"/>
      <c r="AAL704" s="5"/>
      <c r="AAM704" s="5"/>
      <c r="AAN704" s="5"/>
      <c r="AAO704" s="5"/>
      <c r="AAP704" s="5"/>
      <c r="AAQ704" s="5"/>
      <c r="AAR704" s="5"/>
      <c r="AAS704" s="5"/>
      <c r="AAT704" s="5"/>
      <c r="AAU704" s="5"/>
      <c r="AAV704" s="5"/>
      <c r="AAW704" s="5"/>
      <c r="AAX704" s="5"/>
      <c r="AAY704" s="5"/>
      <c r="AAZ704" s="5"/>
      <c r="ABA704" s="5"/>
      <c r="ABB704" s="5"/>
      <c r="ABC704" s="5"/>
      <c r="ABD704" s="5"/>
      <c r="ABE704" s="5"/>
      <c r="ABF704" s="5"/>
      <c r="ABG704" s="5"/>
      <c r="ABH704" s="5"/>
      <c r="ABI704" s="5"/>
      <c r="ABJ704" s="5"/>
      <c r="ABK704" s="5"/>
      <c r="ABL704" s="5"/>
      <c r="ABM704" s="5"/>
      <c r="ABN704" s="5"/>
      <c r="ABO704" s="5"/>
      <c r="ABP704" s="5"/>
      <c r="ABQ704" s="5"/>
      <c r="ABR704" s="5"/>
      <c r="ABS704" s="5"/>
      <c r="ABT704" s="5"/>
      <c r="ABU704" s="5"/>
      <c r="ABV704" s="5"/>
      <c r="ABW704" s="5"/>
      <c r="ABX704" s="5"/>
      <c r="ABY704" s="5"/>
      <c r="ABZ704" s="5"/>
      <c r="ACA704" s="5"/>
      <c r="ACB704" s="5"/>
      <c r="ACC704" s="5"/>
      <c r="ACD704" s="5"/>
      <c r="ACE704" s="5"/>
      <c r="ACF704" s="5"/>
      <c r="ACG704" s="5"/>
      <c r="ACH704" s="5"/>
      <c r="ACI704" s="5"/>
      <c r="ACJ704" s="5"/>
      <c r="ACK704" s="5"/>
      <c r="ACL704" s="5"/>
      <c r="ACM704" s="5"/>
      <c r="ACN704" s="5"/>
      <c r="ACO704" s="5"/>
      <c r="ACP704" s="5"/>
      <c r="ACQ704" s="5"/>
      <c r="ACR704" s="5"/>
      <c r="ACS704" s="5"/>
      <c r="ACT704" s="5"/>
      <c r="ACU704" s="5"/>
      <c r="ACV704" s="5"/>
      <c r="ACW704" s="5"/>
      <c r="ACX704" s="5"/>
      <c r="ACY704" s="5"/>
      <c r="ACZ704" s="5"/>
      <c r="ADA704" s="5"/>
      <c r="ADB704" s="5"/>
      <c r="ADC704" s="5"/>
      <c r="ADD704" s="5"/>
      <c r="ADE704" s="5"/>
      <c r="ADF704" s="5"/>
      <c r="ADG704" s="5"/>
      <c r="ADH704" s="5"/>
      <c r="ADI704" s="5"/>
      <c r="ADJ704" s="5"/>
      <c r="ADK704" s="5"/>
      <c r="ADL704" s="5"/>
      <c r="ADM704" s="5"/>
      <c r="ADN704" s="5"/>
      <c r="ADO704" s="5"/>
      <c r="ADP704" s="5"/>
      <c r="ADQ704" s="5"/>
      <c r="ADR704" s="5"/>
      <c r="ADS704" s="5"/>
      <c r="ADT704" s="5"/>
      <c r="ADU704" s="5"/>
      <c r="ADV704" s="5"/>
      <c r="ADW704" s="5"/>
      <c r="ADX704" s="5"/>
      <c r="ADY704" s="5"/>
      <c r="ADZ704" s="5"/>
      <c r="AEA704" s="5"/>
      <c r="AEB704" s="5"/>
      <c r="AEC704" s="5"/>
      <c r="AED704" s="5"/>
      <c r="AEE704" s="5"/>
      <c r="AEF704" s="5"/>
      <c r="AEG704" s="5"/>
      <c r="AEH704" s="5"/>
      <c r="AEI704" s="5"/>
      <c r="AEJ704" s="5"/>
      <c r="AEK704" s="5"/>
      <c r="AEL704" s="5"/>
      <c r="AEM704" s="5"/>
      <c r="AEN704" s="5"/>
      <c r="AEO704" s="5"/>
      <c r="AEP704" s="5"/>
      <c r="AEQ704" s="5"/>
      <c r="AER704" s="5"/>
      <c r="AES704" s="5"/>
      <c r="AET704" s="5"/>
      <c r="AEU704" s="5"/>
      <c r="AEV704" s="5"/>
      <c r="AEW704" s="5"/>
      <c r="AEX704" s="5"/>
      <c r="AEY704" s="5"/>
      <c r="AEZ704" s="5"/>
      <c r="AFA704" s="5"/>
      <c r="AFB704" s="5"/>
      <c r="AFC704" s="5"/>
      <c r="AFD704" s="5"/>
      <c r="AFE704" s="5"/>
      <c r="AFF704" s="5"/>
      <c r="AFG704" s="5"/>
      <c r="AFH704" s="5"/>
      <c r="AFI704" s="5"/>
      <c r="AFJ704" s="5"/>
      <c r="AFK704" s="5"/>
      <c r="AFL704" s="5"/>
      <c r="AFM704" s="5"/>
      <c r="AFN704" s="5"/>
      <c r="AFO704" s="5"/>
      <c r="AFP704" s="5"/>
      <c r="AFQ704" s="5"/>
      <c r="AFR704" s="5"/>
      <c r="AFS704" s="5"/>
      <c r="AFT704" s="5"/>
      <c r="AFU704" s="5"/>
      <c r="AFV704" s="5"/>
      <c r="AFW704" s="5"/>
      <c r="AFX704" s="5"/>
      <c r="AFY704" s="5"/>
      <c r="AFZ704" s="5"/>
      <c r="AGA704" s="5"/>
      <c r="AGB704" s="5"/>
      <c r="AGC704" s="5"/>
      <c r="AGD704" s="5"/>
      <c r="AGE704" s="5"/>
      <c r="AGF704" s="5"/>
      <c r="AGG704" s="5"/>
      <c r="AGH704" s="5"/>
      <c r="AGI704" s="5"/>
      <c r="AGJ704" s="5"/>
      <c r="AGK704" s="5"/>
      <c r="AGL704" s="5"/>
      <c r="AGM704" s="5"/>
      <c r="AGN704" s="5"/>
      <c r="AGO704" s="5"/>
      <c r="AGP704" s="5"/>
      <c r="AGQ704" s="5"/>
      <c r="AGR704" s="5"/>
      <c r="AGS704" s="5"/>
      <c r="AGT704" s="5"/>
      <c r="AGU704" s="5"/>
      <c r="AGV704" s="5"/>
      <c r="AGW704" s="5"/>
      <c r="AGX704" s="5"/>
      <c r="AGY704" s="5"/>
      <c r="AGZ704" s="5"/>
      <c r="AHA704" s="5"/>
      <c r="AHB704" s="5"/>
      <c r="AHC704" s="5"/>
      <c r="AHD704" s="5"/>
      <c r="AHE704" s="5"/>
      <c r="AHF704" s="5"/>
      <c r="AHG704" s="5"/>
      <c r="AHH704" s="5"/>
      <c r="AHI704" s="5"/>
      <c r="AHJ704" s="5"/>
      <c r="AHK704" s="5"/>
      <c r="AHL704" s="5"/>
      <c r="AHM704" s="5"/>
      <c r="AHN704" s="5"/>
      <c r="AHO704" s="5"/>
      <c r="AHP704" s="5"/>
      <c r="AHQ704" s="5"/>
      <c r="AHR704" s="5"/>
      <c r="AHS704" s="5"/>
      <c r="AHT704" s="5"/>
      <c r="AHU704" s="5"/>
      <c r="AHV704" s="5"/>
      <c r="AHW704" s="5"/>
      <c r="AHX704" s="5"/>
      <c r="AHY704" s="5"/>
      <c r="AHZ704" s="5"/>
      <c r="AIA704" s="5"/>
      <c r="AIB704" s="5"/>
      <c r="AIC704" s="5"/>
      <c r="AID704" s="5"/>
      <c r="AIE704" s="5"/>
      <c r="AIF704" s="5"/>
      <c r="AIG704" s="5"/>
      <c r="AIH704" s="5"/>
      <c r="AII704" s="5"/>
      <c r="AIJ704" s="5"/>
      <c r="AIK704" s="5"/>
      <c r="AIL704" s="5"/>
      <c r="AIM704" s="5"/>
      <c r="AIN704" s="5"/>
      <c r="AIO704" s="5"/>
      <c r="AIP704" s="5"/>
      <c r="AIQ704" s="5"/>
      <c r="AIR704" s="5"/>
      <c r="AIS704" s="5"/>
      <c r="AIT704" s="5"/>
      <c r="AIU704" s="5"/>
      <c r="AIV704" s="5"/>
      <c r="AIW704" s="5"/>
      <c r="AIX704" s="5"/>
      <c r="AIY704" s="5"/>
      <c r="AIZ704" s="5"/>
      <c r="AJA704" s="5"/>
      <c r="AJB704" s="5"/>
      <c r="AJC704" s="5"/>
      <c r="AJD704" s="5"/>
      <c r="AJE704" s="5"/>
      <c r="AJF704" s="5"/>
      <c r="AJG704" s="5"/>
      <c r="AJH704" s="5"/>
      <c r="AJI704" s="5"/>
      <c r="AJJ704" s="5"/>
      <c r="AJK704" s="5"/>
      <c r="AJL704" s="5"/>
      <c r="AJM704" s="5"/>
      <c r="AJN704" s="5"/>
      <c r="AJO704" s="5"/>
      <c r="AJP704" s="5"/>
      <c r="AJQ704" s="5"/>
      <c r="AJR704" s="5"/>
      <c r="AJS704" s="5"/>
      <c r="AJT704" s="5"/>
      <c r="AJU704" s="5"/>
      <c r="AJV704" s="5"/>
      <c r="AJW704" s="5"/>
      <c r="AJX704" s="5"/>
      <c r="AJY704" s="5"/>
      <c r="AJZ704" s="5"/>
      <c r="AKA704" s="5"/>
      <c r="AKB704" s="5"/>
      <c r="AKC704" s="5"/>
      <c r="AKD704" s="5"/>
      <c r="AKE704" s="5"/>
      <c r="AKF704" s="5"/>
      <c r="AKG704" s="5"/>
      <c r="AKH704" s="5"/>
      <c r="AKI704" s="5"/>
      <c r="AKJ704" s="5"/>
      <c r="AKK704" s="5"/>
      <c r="AKL704" s="5"/>
      <c r="AKM704" s="5"/>
      <c r="AKN704" s="5"/>
      <c r="AKO704" s="5"/>
      <c r="AKP704" s="5"/>
      <c r="AKQ704" s="5"/>
      <c r="AKR704" s="5"/>
      <c r="AKS704" s="5"/>
      <c r="AKT704" s="5"/>
      <c r="AKU704" s="5"/>
      <c r="AKV704" s="5"/>
      <c r="AKW704" s="5"/>
      <c r="AKX704" s="5"/>
      <c r="AKY704" s="5"/>
      <c r="AKZ704" s="5"/>
      <c r="ALA704" s="5"/>
      <c r="ALB704" s="5"/>
      <c r="ALC704" s="5"/>
      <c r="ALD704" s="5"/>
      <c r="ALE704" s="5"/>
      <c r="ALF704" s="5"/>
      <c r="ALG704" s="5"/>
      <c r="ALH704" s="5"/>
      <c r="ALI704" s="5"/>
      <c r="ALJ704" s="5"/>
      <c r="ALK704" s="5"/>
      <c r="ALL704" s="5"/>
      <c r="ALM704" s="5"/>
      <c r="ALN704" s="5"/>
      <c r="ALO704" s="5"/>
      <c r="ALP704" s="5"/>
      <c r="ALQ704" s="5"/>
      <c r="ALR704" s="5"/>
      <c r="ALS704" s="5"/>
      <c r="ALT704" s="5"/>
      <c r="ALU704" s="5"/>
      <c r="ALV704" s="5"/>
      <c r="ALW704" s="5"/>
      <c r="ALX704" s="5"/>
      <c r="ALY704" s="5"/>
      <c r="ALZ704" s="5"/>
      <c r="AMA704" s="5"/>
      <c r="AMB704" s="5"/>
      <c r="AMC704" s="5"/>
      <c r="AMD704" s="5"/>
      <c r="AME704" s="5"/>
      <c r="AMF704" s="5"/>
      <c r="AMG704" s="5"/>
      <c r="AMH704" s="5"/>
      <c r="AMI704" s="5"/>
      <c r="AMJ704" s="5"/>
      <c r="AMK704" s="5"/>
      <c r="AML704" s="5"/>
      <c r="AMM704" s="5"/>
      <c r="AMN704" s="5"/>
      <c r="AMO704" s="5"/>
      <c r="AMP704" s="5"/>
      <c r="AMQ704" s="5"/>
      <c r="AMR704" s="5"/>
      <c r="AMS704" s="5"/>
      <c r="AMT704" s="5"/>
      <c r="AMU704" s="5"/>
      <c r="AMV704" s="5"/>
      <c r="AMW704" s="5"/>
      <c r="AMX704" s="5"/>
      <c r="AMY704" s="5"/>
      <c r="AMZ704" s="5"/>
      <c r="ANA704" s="5"/>
      <c r="ANB704" s="5"/>
      <c r="ANC704" s="5"/>
      <c r="AND704" s="5"/>
      <c r="ANE704" s="5"/>
      <c r="ANF704" s="5"/>
      <c r="ANG704" s="5"/>
      <c r="ANH704" s="5"/>
      <c r="ANI704" s="5"/>
      <c r="ANJ704" s="5"/>
      <c r="ANK704" s="5"/>
      <c r="ANL704" s="5"/>
      <c r="ANM704" s="5"/>
      <c r="ANN704" s="5"/>
      <c r="ANO704" s="5"/>
      <c r="ANP704" s="5"/>
      <c r="ANQ704" s="5"/>
      <c r="ANR704" s="5"/>
      <c r="ANS704" s="5"/>
      <c r="ANT704" s="5"/>
      <c r="ANU704" s="5"/>
      <c r="ANV704" s="5"/>
      <c r="ANW704" s="5"/>
      <c r="ANX704" s="5"/>
      <c r="ANY704" s="5"/>
      <c r="ANZ704" s="5"/>
      <c r="AOA704" s="5"/>
      <c r="AOB704" s="5"/>
      <c r="AOC704" s="5"/>
      <c r="AOD704" s="5"/>
      <c r="AOE704" s="5"/>
      <c r="AOF704" s="5"/>
      <c r="AOG704" s="5"/>
      <c r="AOH704" s="5"/>
      <c r="AOI704" s="5"/>
      <c r="AOJ704" s="5"/>
      <c r="AOK704" s="5"/>
      <c r="AOL704" s="5"/>
      <c r="AOM704" s="5"/>
      <c r="AON704" s="5"/>
      <c r="AOO704" s="5"/>
      <c r="AOP704" s="5"/>
      <c r="AOQ704" s="5"/>
      <c r="AOR704" s="5"/>
      <c r="AOS704" s="5"/>
      <c r="AOT704" s="5"/>
      <c r="AOU704" s="5"/>
      <c r="AOV704" s="5"/>
      <c r="AOW704" s="5"/>
      <c r="AOX704" s="5"/>
      <c r="AOY704" s="5"/>
      <c r="AOZ704" s="5"/>
      <c r="APA704" s="5"/>
      <c r="APB704" s="5"/>
      <c r="APC704" s="5"/>
      <c r="APD704" s="5"/>
      <c r="APE704" s="5"/>
      <c r="APF704" s="5"/>
      <c r="APG704" s="5"/>
      <c r="APH704" s="5"/>
      <c r="API704" s="5"/>
      <c r="APJ704" s="5"/>
      <c r="APK704" s="5"/>
      <c r="APL704" s="5"/>
      <c r="APM704" s="5"/>
      <c r="APN704" s="5"/>
      <c r="APO704" s="5"/>
      <c r="APP704" s="5"/>
      <c r="APQ704" s="5"/>
      <c r="APR704" s="5"/>
      <c r="APS704" s="5"/>
      <c r="APT704" s="5"/>
      <c r="APU704" s="5"/>
      <c r="APV704" s="5"/>
      <c r="APW704" s="5"/>
      <c r="APX704" s="5"/>
      <c r="APY704" s="5"/>
      <c r="APZ704" s="5"/>
      <c r="AQA704" s="5"/>
      <c r="AQB704" s="5"/>
      <c r="AQC704" s="5"/>
      <c r="AQD704" s="5"/>
      <c r="AQE704" s="5"/>
      <c r="AQF704" s="5"/>
      <c r="AQG704" s="5"/>
      <c r="AQH704" s="5"/>
      <c r="AQI704" s="5"/>
      <c r="AQJ704" s="5"/>
      <c r="AQK704" s="5"/>
      <c r="AQL704" s="5"/>
      <c r="AQM704" s="5"/>
      <c r="AQN704" s="5"/>
      <c r="AQO704" s="5"/>
      <c r="AQP704" s="5"/>
      <c r="AQQ704" s="5"/>
      <c r="AQR704" s="5"/>
      <c r="AQS704" s="5"/>
      <c r="AQT704" s="5"/>
      <c r="AQU704" s="5"/>
      <c r="AQV704" s="5"/>
      <c r="AQW704" s="5"/>
      <c r="AQX704" s="5"/>
      <c r="AQY704" s="5"/>
      <c r="AQZ704" s="5"/>
      <c r="ARA704" s="5"/>
      <c r="ARB704" s="5"/>
      <c r="ARC704" s="5"/>
      <c r="ARD704" s="5"/>
      <c r="ARE704" s="5"/>
      <c r="ARF704" s="5"/>
      <c r="ARG704" s="5"/>
      <c r="ARH704" s="5"/>
      <c r="ARI704" s="5"/>
      <c r="ARJ704" s="5"/>
      <c r="ARK704" s="5"/>
      <c r="ARL704" s="5"/>
      <c r="ARM704" s="5"/>
      <c r="ARN704" s="5"/>
      <c r="ARO704" s="5"/>
      <c r="ARP704" s="5"/>
      <c r="ARQ704" s="5"/>
      <c r="ARR704" s="5"/>
      <c r="ARS704" s="5"/>
      <c r="ART704" s="5"/>
      <c r="ARU704" s="5"/>
      <c r="ARV704" s="5"/>
      <c r="ARW704" s="5"/>
      <c r="ARX704" s="5"/>
      <c r="ARY704" s="5"/>
      <c r="ARZ704" s="5"/>
      <c r="ASA704" s="5"/>
      <c r="ASB704" s="5"/>
      <c r="ASC704" s="5"/>
      <c r="ASD704" s="5"/>
      <c r="ASE704" s="5"/>
      <c r="ASF704" s="5"/>
      <c r="ASG704" s="5"/>
      <c r="ASH704" s="5"/>
      <c r="ASI704" s="5"/>
      <c r="ASJ704" s="5"/>
      <c r="ASK704" s="5"/>
      <c r="ASL704" s="5"/>
      <c r="ASM704" s="5"/>
      <c r="ASN704" s="5"/>
      <c r="ASO704" s="5"/>
      <c r="ASP704" s="5"/>
      <c r="ASQ704" s="5"/>
      <c r="ASR704" s="5"/>
      <c r="ASS704" s="5"/>
      <c r="AST704" s="5"/>
      <c r="ASU704" s="5"/>
      <c r="ASV704" s="5"/>
      <c r="ASW704" s="5"/>
      <c r="ASX704" s="5"/>
      <c r="ASY704" s="5"/>
      <c r="ASZ704" s="5"/>
      <c r="ATA704" s="5"/>
      <c r="ATB704" s="5"/>
      <c r="ATC704" s="5"/>
      <c r="ATD704" s="5"/>
      <c r="ATE704" s="5"/>
      <c r="ATF704" s="5"/>
      <c r="ATG704" s="5"/>
      <c r="ATH704" s="5"/>
      <c r="ATI704" s="5"/>
      <c r="ATJ704" s="5"/>
      <c r="ATK704" s="5"/>
      <c r="ATL704" s="5"/>
      <c r="ATM704" s="5"/>
      <c r="ATN704" s="5"/>
      <c r="ATO704" s="5"/>
      <c r="ATP704" s="5"/>
      <c r="ATQ704" s="5"/>
      <c r="ATR704" s="5"/>
      <c r="ATS704" s="5"/>
      <c r="ATT704" s="5"/>
      <c r="ATU704" s="5"/>
      <c r="ATV704" s="5"/>
      <c r="ATW704" s="5"/>
      <c r="ATX704" s="5"/>
    </row>
    <row r="705" spans="1:1220" s="67" customFormat="1" ht="12.75" customHeight="1" x14ac:dyDescent="0.35">
      <c r="A705" s="76" t="s">
        <v>229</v>
      </c>
      <c r="B705" s="99" t="s">
        <v>143</v>
      </c>
      <c r="C705" s="76" t="s">
        <v>2605</v>
      </c>
      <c r="D705" s="142" t="s">
        <v>2605</v>
      </c>
      <c r="E705" s="76"/>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s="5"/>
      <c r="FG705" s="5"/>
      <c r="FH705" s="5"/>
      <c r="FI705" s="5"/>
      <c r="FJ705" s="5"/>
      <c r="FK705" s="5"/>
      <c r="FL705" s="5"/>
      <c r="FM705" s="5"/>
      <c r="FN705" s="5"/>
      <c r="FO705" s="5"/>
      <c r="FP705" s="5"/>
      <c r="FQ705" s="5"/>
      <c r="FR705" s="5"/>
      <c r="FS705" s="5"/>
      <c r="FT705" s="5"/>
      <c r="FU705" s="5"/>
      <c r="FV705" s="5"/>
      <c r="FW705" s="5"/>
      <c r="FX705" s="5"/>
      <c r="FY705" s="5"/>
      <c r="FZ705" s="5"/>
      <c r="GA705" s="5"/>
      <c r="GB705" s="5"/>
      <c r="GC705" s="5"/>
      <c r="GD705" s="5"/>
      <c r="GE705" s="5"/>
      <c r="GF705" s="5"/>
      <c r="GG705" s="5"/>
      <c r="GH705" s="5"/>
      <c r="GI705" s="5"/>
      <c r="GJ705" s="5"/>
      <c r="GK705" s="5"/>
      <c r="GL705" s="5"/>
      <c r="GM705" s="5"/>
      <c r="GN705" s="5"/>
      <c r="GO705" s="5"/>
      <c r="GP705" s="5"/>
      <c r="GQ705" s="5"/>
      <c r="GR705" s="5"/>
      <c r="GS705" s="5"/>
      <c r="GT705" s="5"/>
      <c r="GU705" s="5"/>
      <c r="GV705" s="5"/>
      <c r="GW705" s="5"/>
      <c r="GX705" s="5"/>
      <c r="GY705" s="5"/>
      <c r="GZ705" s="5"/>
      <c r="HA705" s="5"/>
      <c r="HB705" s="5"/>
      <c r="HC705" s="5"/>
      <c r="HD705" s="5"/>
      <c r="HE705" s="5"/>
      <c r="HF705" s="5"/>
      <c r="HG705" s="5"/>
      <c r="HH705" s="5"/>
      <c r="HI705" s="5"/>
      <c r="HJ705" s="5"/>
      <c r="HK705" s="5"/>
      <c r="HL705" s="5"/>
      <c r="HM705" s="5"/>
      <c r="HN705" s="5"/>
      <c r="HO705" s="5"/>
      <c r="HP705" s="5"/>
      <c r="HQ705" s="5"/>
      <c r="HR705" s="5"/>
      <c r="HS705" s="5"/>
      <c r="HT705" s="5"/>
      <c r="HU705" s="5"/>
      <c r="HV705" s="5"/>
      <c r="HW705" s="5"/>
      <c r="HX705" s="5"/>
      <c r="HY705" s="5"/>
      <c r="HZ705" s="5"/>
      <c r="IA705" s="5"/>
      <c r="IB705" s="5"/>
      <c r="IC705" s="5"/>
      <c r="ID705" s="5"/>
      <c r="IE705" s="5"/>
      <c r="IF705" s="5"/>
      <c r="IG705" s="5"/>
      <c r="IH705" s="5"/>
      <c r="II705" s="5"/>
      <c r="IJ705" s="5"/>
      <c r="IK705" s="5"/>
      <c r="IL705" s="5"/>
      <c r="IM705" s="5"/>
      <c r="IN705" s="5"/>
      <c r="IO705" s="5"/>
      <c r="IP705" s="5"/>
      <c r="IQ705" s="5"/>
      <c r="IR705" s="5"/>
      <c r="IS705" s="5"/>
      <c r="IT705" s="5"/>
      <c r="IU705" s="5"/>
      <c r="IV705" s="5"/>
      <c r="IW705" s="5"/>
      <c r="IX705" s="5"/>
      <c r="IY705" s="5"/>
      <c r="IZ705" s="5"/>
      <c r="JA705" s="5"/>
      <c r="JB705" s="5"/>
      <c r="JC705" s="5"/>
      <c r="JD705" s="5"/>
      <c r="JE705" s="5"/>
      <c r="JF705" s="5"/>
      <c r="JG705" s="5"/>
      <c r="JH705" s="5"/>
      <c r="JI705" s="5"/>
      <c r="JJ705" s="5"/>
      <c r="JK705" s="5"/>
      <c r="JL705" s="5"/>
      <c r="JM705" s="5"/>
      <c r="JN705" s="5"/>
      <c r="JO705" s="5"/>
      <c r="JP705" s="5"/>
      <c r="JQ705" s="5"/>
      <c r="JR705" s="5"/>
      <c r="JS705" s="5"/>
      <c r="JT705" s="5"/>
      <c r="JU705" s="5"/>
      <c r="JV705" s="5"/>
      <c r="JW705" s="5"/>
      <c r="JX705" s="5"/>
      <c r="JY705" s="5"/>
      <c r="JZ705" s="5"/>
      <c r="KA705" s="5"/>
      <c r="KB705" s="5"/>
      <c r="KC705" s="5"/>
      <c r="KD705" s="5"/>
      <c r="KE705" s="5"/>
      <c r="KF705" s="5"/>
      <c r="KG705" s="5"/>
      <c r="KH705" s="5"/>
      <c r="KI705" s="5"/>
      <c r="KJ705" s="5"/>
      <c r="KK705" s="5"/>
      <c r="KL705" s="5"/>
      <c r="KM705" s="5"/>
      <c r="KN705" s="5"/>
      <c r="KO705" s="5"/>
      <c r="KP705" s="5"/>
      <c r="KQ705" s="5"/>
      <c r="KR705" s="5"/>
      <c r="KS705" s="5"/>
      <c r="KT705" s="5"/>
      <c r="KU705" s="5"/>
      <c r="KV705" s="5"/>
      <c r="KW705" s="5"/>
      <c r="KX705" s="5"/>
      <c r="KY705" s="5"/>
      <c r="KZ705" s="5"/>
      <c r="LA705" s="5"/>
      <c r="LB705" s="5"/>
      <c r="LC705" s="5"/>
      <c r="LD705" s="5"/>
      <c r="LE705" s="5"/>
      <c r="LF705" s="5"/>
      <c r="LG705" s="5"/>
      <c r="LH705" s="5"/>
      <c r="LI705" s="5"/>
      <c r="LJ705" s="5"/>
      <c r="LK705" s="5"/>
      <c r="LL705" s="5"/>
      <c r="LM705" s="5"/>
      <c r="LN705" s="5"/>
      <c r="LO705" s="5"/>
      <c r="LP705" s="5"/>
      <c r="LQ705" s="5"/>
      <c r="LR705" s="5"/>
      <c r="LS705" s="5"/>
      <c r="LT705" s="5"/>
      <c r="LU705" s="5"/>
      <c r="LV705" s="5"/>
      <c r="LW705" s="5"/>
      <c r="LX705" s="5"/>
      <c r="LY705" s="5"/>
      <c r="LZ705" s="5"/>
      <c r="MA705" s="5"/>
      <c r="MB705" s="5"/>
      <c r="MC705" s="5"/>
      <c r="MD705" s="5"/>
      <c r="ME705" s="5"/>
      <c r="MF705" s="5"/>
      <c r="MG705" s="5"/>
      <c r="MH705" s="5"/>
      <c r="MI705" s="5"/>
      <c r="MJ705" s="5"/>
      <c r="MK705" s="5"/>
      <c r="ML705" s="5"/>
      <c r="MM705" s="5"/>
      <c r="MN705" s="5"/>
      <c r="MO705" s="5"/>
      <c r="MP705" s="5"/>
      <c r="MQ705" s="5"/>
      <c r="MR705" s="5"/>
      <c r="MS705" s="5"/>
      <c r="MT705" s="5"/>
      <c r="MU705" s="5"/>
      <c r="MV705" s="5"/>
      <c r="MW705" s="5"/>
      <c r="MX705" s="5"/>
      <c r="MY705" s="5"/>
      <c r="MZ705" s="5"/>
      <c r="NA705" s="5"/>
      <c r="NB705" s="5"/>
      <c r="NC705" s="5"/>
      <c r="ND705" s="5"/>
      <c r="NE705" s="5"/>
      <c r="NF705" s="5"/>
      <c r="NG705" s="5"/>
      <c r="NH705" s="5"/>
      <c r="NI705" s="5"/>
      <c r="NJ705" s="5"/>
      <c r="NK705" s="5"/>
      <c r="NL705" s="5"/>
      <c r="NM705" s="5"/>
      <c r="NN705" s="5"/>
      <c r="NO705" s="5"/>
      <c r="NP705" s="5"/>
      <c r="NQ705" s="5"/>
      <c r="NR705" s="5"/>
      <c r="NS705" s="5"/>
      <c r="NT705" s="5"/>
      <c r="NU705" s="5"/>
      <c r="NV705" s="5"/>
      <c r="NW705" s="5"/>
      <c r="NX705" s="5"/>
      <c r="NY705" s="5"/>
      <c r="NZ705" s="5"/>
      <c r="OA705" s="5"/>
      <c r="OB705" s="5"/>
      <c r="OC705" s="5"/>
      <c r="OD705" s="5"/>
      <c r="OE705" s="5"/>
      <c r="OF705" s="5"/>
      <c r="OG705" s="5"/>
      <c r="OH705" s="5"/>
      <c r="OI705" s="5"/>
      <c r="OJ705" s="5"/>
      <c r="OK705" s="5"/>
      <c r="OL705" s="5"/>
      <c r="OM705" s="5"/>
      <c r="ON705" s="5"/>
      <c r="OO705" s="5"/>
      <c r="OP705" s="5"/>
      <c r="OQ705" s="5"/>
      <c r="OR705" s="5"/>
      <c r="OS705" s="5"/>
      <c r="OT705" s="5"/>
      <c r="OU705" s="5"/>
      <c r="OV705" s="5"/>
      <c r="OW705" s="5"/>
      <c r="OX705" s="5"/>
      <c r="OY705" s="5"/>
      <c r="OZ705" s="5"/>
      <c r="PA705" s="5"/>
      <c r="PB705" s="5"/>
      <c r="PC705" s="5"/>
      <c r="PD705" s="5"/>
      <c r="PE705" s="5"/>
      <c r="PF705" s="5"/>
      <c r="PG705" s="5"/>
      <c r="PH705" s="5"/>
      <c r="PI705" s="5"/>
      <c r="PJ705" s="5"/>
      <c r="PK705" s="5"/>
      <c r="PL705" s="5"/>
      <c r="PM705" s="5"/>
      <c r="PN705" s="5"/>
      <c r="PO705" s="5"/>
      <c r="PP705" s="5"/>
      <c r="PQ705" s="5"/>
      <c r="PR705" s="5"/>
      <c r="PS705" s="5"/>
      <c r="PT705" s="5"/>
      <c r="PU705" s="5"/>
      <c r="PV705" s="5"/>
      <c r="PW705" s="5"/>
      <c r="PX705" s="5"/>
      <c r="PY705" s="5"/>
      <c r="PZ705" s="5"/>
      <c r="QA705" s="5"/>
      <c r="QB705" s="5"/>
      <c r="QC705" s="5"/>
      <c r="QD705" s="5"/>
      <c r="QE705" s="5"/>
      <c r="QF705" s="5"/>
      <c r="QG705" s="5"/>
      <c r="QH705" s="5"/>
      <c r="QI705" s="5"/>
      <c r="QJ705" s="5"/>
      <c r="QK705" s="5"/>
      <c r="QL705" s="5"/>
      <c r="QM705" s="5"/>
      <c r="QN705" s="5"/>
      <c r="QO705" s="5"/>
      <c r="QP705" s="5"/>
      <c r="QQ705" s="5"/>
      <c r="QR705" s="5"/>
      <c r="QS705" s="5"/>
      <c r="QT705" s="5"/>
      <c r="QU705" s="5"/>
      <c r="QV705" s="5"/>
      <c r="QW705" s="5"/>
      <c r="QX705" s="5"/>
      <c r="QY705" s="5"/>
      <c r="QZ705" s="5"/>
      <c r="RA705" s="5"/>
      <c r="RB705" s="5"/>
      <c r="RC705" s="5"/>
      <c r="RD705" s="5"/>
      <c r="RE705" s="5"/>
      <c r="RF705" s="5"/>
      <c r="RG705" s="5"/>
      <c r="RH705" s="5"/>
      <c r="RI705" s="5"/>
      <c r="RJ705" s="5"/>
      <c r="RK705" s="5"/>
      <c r="RL705" s="5"/>
      <c r="RM705" s="5"/>
      <c r="RN705" s="5"/>
      <c r="RO705" s="5"/>
      <c r="RP705" s="5"/>
      <c r="RQ705" s="5"/>
      <c r="RR705" s="5"/>
      <c r="RS705" s="5"/>
      <c r="RT705" s="5"/>
      <c r="RU705" s="5"/>
      <c r="RV705" s="5"/>
      <c r="RW705" s="5"/>
      <c r="RX705" s="5"/>
      <c r="RY705" s="5"/>
      <c r="RZ705" s="5"/>
      <c r="SA705" s="5"/>
      <c r="SB705" s="5"/>
      <c r="SC705" s="5"/>
      <c r="SD705" s="5"/>
      <c r="SE705" s="5"/>
      <c r="SF705" s="5"/>
      <c r="SG705" s="5"/>
      <c r="SH705" s="5"/>
      <c r="SI705" s="5"/>
      <c r="SJ705" s="5"/>
      <c r="SK705" s="5"/>
      <c r="SL705" s="5"/>
      <c r="SM705" s="5"/>
      <c r="SN705" s="5"/>
      <c r="SO705" s="5"/>
      <c r="SP705" s="5"/>
      <c r="SQ705" s="5"/>
      <c r="SR705" s="5"/>
      <c r="SS705" s="5"/>
      <c r="ST705" s="5"/>
      <c r="SU705" s="5"/>
      <c r="SV705" s="5"/>
      <c r="SW705" s="5"/>
      <c r="SX705" s="5"/>
      <c r="SY705" s="5"/>
      <c r="SZ705" s="5"/>
      <c r="TA705" s="5"/>
      <c r="TB705" s="5"/>
      <c r="TC705" s="5"/>
      <c r="TD705" s="5"/>
      <c r="TE705" s="5"/>
      <c r="TF705" s="5"/>
      <c r="TG705" s="5"/>
      <c r="TH705" s="5"/>
      <c r="TI705" s="5"/>
      <c r="TJ705" s="5"/>
      <c r="TK705" s="5"/>
      <c r="TL705" s="5"/>
      <c r="TM705" s="5"/>
      <c r="TN705" s="5"/>
      <c r="TO705" s="5"/>
      <c r="TP705" s="5"/>
      <c r="TQ705" s="5"/>
      <c r="TR705" s="5"/>
      <c r="TS705" s="5"/>
      <c r="TT705" s="5"/>
      <c r="TU705" s="5"/>
      <c r="TV705" s="5"/>
      <c r="TW705" s="5"/>
      <c r="TX705" s="5"/>
      <c r="TY705" s="5"/>
      <c r="TZ705" s="5"/>
      <c r="UA705" s="5"/>
      <c r="UB705" s="5"/>
      <c r="UC705" s="5"/>
      <c r="UD705" s="5"/>
      <c r="UE705" s="5"/>
      <c r="UF705" s="5"/>
      <c r="UG705" s="5"/>
      <c r="UH705" s="5"/>
      <c r="UI705" s="5"/>
      <c r="UJ705" s="5"/>
      <c r="UK705" s="5"/>
      <c r="UL705" s="5"/>
      <c r="UM705" s="5"/>
      <c r="UN705" s="5"/>
      <c r="UO705" s="5"/>
      <c r="UP705" s="5"/>
      <c r="UQ705" s="5"/>
      <c r="UR705" s="5"/>
      <c r="US705" s="5"/>
      <c r="UT705" s="5"/>
      <c r="UU705" s="5"/>
      <c r="UV705" s="5"/>
      <c r="UW705" s="5"/>
      <c r="UX705" s="5"/>
      <c r="UY705" s="5"/>
      <c r="UZ705" s="5"/>
      <c r="VA705" s="5"/>
      <c r="VB705" s="5"/>
      <c r="VC705" s="5"/>
      <c r="VD705" s="5"/>
      <c r="VE705" s="5"/>
      <c r="VF705" s="5"/>
      <c r="VG705" s="5"/>
      <c r="VH705" s="5"/>
      <c r="VI705" s="5"/>
      <c r="VJ705" s="5"/>
      <c r="VK705" s="5"/>
      <c r="VL705" s="5"/>
      <c r="VM705" s="5"/>
      <c r="VN705" s="5"/>
      <c r="VO705" s="5"/>
      <c r="VP705" s="5"/>
      <c r="VQ705" s="5"/>
      <c r="VR705" s="5"/>
      <c r="VS705" s="5"/>
      <c r="VT705" s="5"/>
      <c r="VU705" s="5"/>
      <c r="VV705" s="5"/>
      <c r="VW705" s="5"/>
      <c r="VX705" s="5"/>
      <c r="VY705" s="5"/>
      <c r="VZ705" s="5"/>
      <c r="WA705" s="5"/>
      <c r="WB705" s="5"/>
      <c r="WC705" s="5"/>
      <c r="WD705" s="5"/>
      <c r="WE705" s="5"/>
      <c r="WF705" s="5"/>
      <c r="WG705" s="5"/>
      <c r="WH705" s="5"/>
      <c r="WI705" s="5"/>
      <c r="WJ705" s="5"/>
      <c r="WK705" s="5"/>
      <c r="WL705" s="5"/>
      <c r="WM705" s="5"/>
      <c r="WN705" s="5"/>
      <c r="WO705" s="5"/>
      <c r="WP705" s="5"/>
      <c r="WQ705" s="5"/>
      <c r="WR705" s="5"/>
      <c r="WS705" s="5"/>
      <c r="WT705" s="5"/>
      <c r="WU705" s="5"/>
      <c r="WV705" s="5"/>
      <c r="WW705" s="5"/>
      <c r="WX705" s="5"/>
      <c r="WY705" s="5"/>
      <c r="WZ705" s="5"/>
      <c r="XA705" s="5"/>
      <c r="XB705" s="5"/>
      <c r="XC705" s="5"/>
      <c r="XD705" s="5"/>
      <c r="XE705" s="5"/>
      <c r="XF705" s="5"/>
      <c r="XG705" s="5"/>
      <c r="XH705" s="5"/>
      <c r="XI705" s="5"/>
      <c r="XJ705" s="5"/>
      <c r="XK705" s="5"/>
      <c r="XL705" s="5"/>
      <c r="XM705" s="5"/>
      <c r="XN705" s="5"/>
      <c r="XO705" s="5"/>
      <c r="XP705" s="5"/>
      <c r="XQ705" s="5"/>
      <c r="XR705" s="5"/>
      <c r="XS705" s="5"/>
      <c r="XT705" s="5"/>
      <c r="XU705" s="5"/>
      <c r="XV705" s="5"/>
      <c r="XW705" s="5"/>
      <c r="XX705" s="5"/>
      <c r="XY705" s="5"/>
      <c r="XZ705" s="5"/>
      <c r="YA705" s="5"/>
      <c r="YB705" s="5"/>
      <c r="YC705" s="5"/>
      <c r="YD705" s="5"/>
      <c r="YE705" s="5"/>
      <c r="YF705" s="5"/>
      <c r="YG705" s="5"/>
      <c r="YH705" s="5"/>
      <c r="YI705" s="5"/>
      <c r="YJ705" s="5"/>
      <c r="YK705" s="5"/>
      <c r="YL705" s="5"/>
      <c r="YM705" s="5"/>
      <c r="YN705" s="5"/>
      <c r="YO705" s="5"/>
      <c r="YP705" s="5"/>
      <c r="YQ705" s="5"/>
      <c r="YR705" s="5"/>
      <c r="YS705" s="5"/>
      <c r="YT705" s="5"/>
      <c r="YU705" s="5"/>
      <c r="YV705" s="5"/>
      <c r="YW705" s="5"/>
      <c r="YX705" s="5"/>
      <c r="YY705" s="5"/>
      <c r="YZ705" s="5"/>
      <c r="ZA705" s="5"/>
      <c r="ZB705" s="5"/>
      <c r="ZC705" s="5"/>
      <c r="ZD705" s="5"/>
      <c r="ZE705" s="5"/>
      <c r="ZF705" s="5"/>
      <c r="ZG705" s="5"/>
      <c r="ZH705" s="5"/>
      <c r="ZI705" s="5"/>
      <c r="ZJ705" s="5"/>
      <c r="ZK705" s="5"/>
      <c r="ZL705" s="5"/>
      <c r="ZM705" s="5"/>
      <c r="ZN705" s="5"/>
      <c r="ZO705" s="5"/>
      <c r="ZP705" s="5"/>
      <c r="ZQ705" s="5"/>
      <c r="ZR705" s="5"/>
      <c r="ZS705" s="5"/>
      <c r="ZT705" s="5"/>
      <c r="ZU705" s="5"/>
      <c r="ZV705" s="5"/>
      <c r="ZW705" s="5"/>
      <c r="ZX705" s="5"/>
      <c r="ZY705" s="5"/>
      <c r="ZZ705" s="5"/>
      <c r="AAA705" s="5"/>
      <c r="AAB705" s="5"/>
      <c r="AAC705" s="5"/>
      <c r="AAD705" s="5"/>
      <c r="AAE705" s="5"/>
      <c r="AAF705" s="5"/>
      <c r="AAG705" s="5"/>
      <c r="AAH705" s="5"/>
      <c r="AAI705" s="5"/>
      <c r="AAJ705" s="5"/>
      <c r="AAK705" s="5"/>
      <c r="AAL705" s="5"/>
      <c r="AAM705" s="5"/>
      <c r="AAN705" s="5"/>
      <c r="AAO705" s="5"/>
      <c r="AAP705" s="5"/>
      <c r="AAQ705" s="5"/>
      <c r="AAR705" s="5"/>
      <c r="AAS705" s="5"/>
      <c r="AAT705" s="5"/>
      <c r="AAU705" s="5"/>
      <c r="AAV705" s="5"/>
      <c r="AAW705" s="5"/>
      <c r="AAX705" s="5"/>
      <c r="AAY705" s="5"/>
      <c r="AAZ705" s="5"/>
      <c r="ABA705" s="5"/>
      <c r="ABB705" s="5"/>
      <c r="ABC705" s="5"/>
      <c r="ABD705" s="5"/>
      <c r="ABE705" s="5"/>
      <c r="ABF705" s="5"/>
      <c r="ABG705" s="5"/>
      <c r="ABH705" s="5"/>
      <c r="ABI705" s="5"/>
      <c r="ABJ705" s="5"/>
      <c r="ABK705" s="5"/>
      <c r="ABL705" s="5"/>
      <c r="ABM705" s="5"/>
      <c r="ABN705" s="5"/>
      <c r="ABO705" s="5"/>
      <c r="ABP705" s="5"/>
      <c r="ABQ705" s="5"/>
      <c r="ABR705" s="5"/>
      <c r="ABS705" s="5"/>
      <c r="ABT705" s="5"/>
      <c r="ABU705" s="5"/>
      <c r="ABV705" s="5"/>
      <c r="ABW705" s="5"/>
      <c r="ABX705" s="5"/>
      <c r="ABY705" s="5"/>
      <c r="ABZ705" s="5"/>
      <c r="ACA705" s="5"/>
      <c r="ACB705" s="5"/>
      <c r="ACC705" s="5"/>
      <c r="ACD705" s="5"/>
      <c r="ACE705" s="5"/>
      <c r="ACF705" s="5"/>
      <c r="ACG705" s="5"/>
      <c r="ACH705" s="5"/>
      <c r="ACI705" s="5"/>
      <c r="ACJ705" s="5"/>
      <c r="ACK705" s="5"/>
      <c r="ACL705" s="5"/>
      <c r="ACM705" s="5"/>
      <c r="ACN705" s="5"/>
      <c r="ACO705" s="5"/>
      <c r="ACP705" s="5"/>
      <c r="ACQ705" s="5"/>
      <c r="ACR705" s="5"/>
      <c r="ACS705" s="5"/>
      <c r="ACT705" s="5"/>
      <c r="ACU705" s="5"/>
      <c r="ACV705" s="5"/>
      <c r="ACW705" s="5"/>
      <c r="ACX705" s="5"/>
      <c r="ACY705" s="5"/>
      <c r="ACZ705" s="5"/>
      <c r="ADA705" s="5"/>
      <c r="ADB705" s="5"/>
      <c r="ADC705" s="5"/>
      <c r="ADD705" s="5"/>
      <c r="ADE705" s="5"/>
      <c r="ADF705" s="5"/>
      <c r="ADG705" s="5"/>
      <c r="ADH705" s="5"/>
      <c r="ADI705" s="5"/>
      <c r="ADJ705" s="5"/>
      <c r="ADK705" s="5"/>
      <c r="ADL705" s="5"/>
      <c r="ADM705" s="5"/>
      <c r="ADN705" s="5"/>
      <c r="ADO705" s="5"/>
      <c r="ADP705" s="5"/>
      <c r="ADQ705" s="5"/>
      <c r="ADR705" s="5"/>
      <c r="ADS705" s="5"/>
      <c r="ADT705" s="5"/>
      <c r="ADU705" s="5"/>
      <c r="ADV705" s="5"/>
      <c r="ADW705" s="5"/>
      <c r="ADX705" s="5"/>
      <c r="ADY705" s="5"/>
      <c r="ADZ705" s="5"/>
      <c r="AEA705" s="5"/>
      <c r="AEB705" s="5"/>
      <c r="AEC705" s="5"/>
      <c r="AED705" s="5"/>
      <c r="AEE705" s="5"/>
      <c r="AEF705" s="5"/>
      <c r="AEG705" s="5"/>
      <c r="AEH705" s="5"/>
      <c r="AEI705" s="5"/>
      <c r="AEJ705" s="5"/>
      <c r="AEK705" s="5"/>
      <c r="AEL705" s="5"/>
      <c r="AEM705" s="5"/>
      <c r="AEN705" s="5"/>
      <c r="AEO705" s="5"/>
      <c r="AEP705" s="5"/>
      <c r="AEQ705" s="5"/>
      <c r="AER705" s="5"/>
      <c r="AES705" s="5"/>
      <c r="AET705" s="5"/>
      <c r="AEU705" s="5"/>
      <c r="AEV705" s="5"/>
      <c r="AEW705" s="5"/>
      <c r="AEX705" s="5"/>
      <c r="AEY705" s="5"/>
      <c r="AEZ705" s="5"/>
      <c r="AFA705" s="5"/>
      <c r="AFB705" s="5"/>
      <c r="AFC705" s="5"/>
      <c r="AFD705" s="5"/>
      <c r="AFE705" s="5"/>
      <c r="AFF705" s="5"/>
      <c r="AFG705" s="5"/>
      <c r="AFH705" s="5"/>
      <c r="AFI705" s="5"/>
      <c r="AFJ705" s="5"/>
      <c r="AFK705" s="5"/>
      <c r="AFL705" s="5"/>
      <c r="AFM705" s="5"/>
      <c r="AFN705" s="5"/>
      <c r="AFO705" s="5"/>
      <c r="AFP705" s="5"/>
      <c r="AFQ705" s="5"/>
      <c r="AFR705" s="5"/>
      <c r="AFS705" s="5"/>
      <c r="AFT705" s="5"/>
      <c r="AFU705" s="5"/>
      <c r="AFV705" s="5"/>
      <c r="AFW705" s="5"/>
      <c r="AFX705" s="5"/>
      <c r="AFY705" s="5"/>
      <c r="AFZ705" s="5"/>
      <c r="AGA705" s="5"/>
      <c r="AGB705" s="5"/>
      <c r="AGC705" s="5"/>
      <c r="AGD705" s="5"/>
      <c r="AGE705" s="5"/>
      <c r="AGF705" s="5"/>
      <c r="AGG705" s="5"/>
      <c r="AGH705" s="5"/>
      <c r="AGI705" s="5"/>
      <c r="AGJ705" s="5"/>
      <c r="AGK705" s="5"/>
      <c r="AGL705" s="5"/>
      <c r="AGM705" s="5"/>
      <c r="AGN705" s="5"/>
      <c r="AGO705" s="5"/>
      <c r="AGP705" s="5"/>
      <c r="AGQ705" s="5"/>
      <c r="AGR705" s="5"/>
      <c r="AGS705" s="5"/>
      <c r="AGT705" s="5"/>
      <c r="AGU705" s="5"/>
      <c r="AGV705" s="5"/>
      <c r="AGW705" s="5"/>
      <c r="AGX705" s="5"/>
      <c r="AGY705" s="5"/>
      <c r="AGZ705" s="5"/>
      <c r="AHA705" s="5"/>
      <c r="AHB705" s="5"/>
      <c r="AHC705" s="5"/>
      <c r="AHD705" s="5"/>
      <c r="AHE705" s="5"/>
      <c r="AHF705" s="5"/>
      <c r="AHG705" s="5"/>
      <c r="AHH705" s="5"/>
      <c r="AHI705" s="5"/>
      <c r="AHJ705" s="5"/>
      <c r="AHK705" s="5"/>
      <c r="AHL705" s="5"/>
      <c r="AHM705" s="5"/>
      <c r="AHN705" s="5"/>
      <c r="AHO705" s="5"/>
      <c r="AHP705" s="5"/>
      <c r="AHQ705" s="5"/>
      <c r="AHR705" s="5"/>
      <c r="AHS705" s="5"/>
      <c r="AHT705" s="5"/>
      <c r="AHU705" s="5"/>
      <c r="AHV705" s="5"/>
      <c r="AHW705" s="5"/>
      <c r="AHX705" s="5"/>
      <c r="AHY705" s="5"/>
      <c r="AHZ705" s="5"/>
      <c r="AIA705" s="5"/>
      <c r="AIB705" s="5"/>
      <c r="AIC705" s="5"/>
      <c r="AID705" s="5"/>
      <c r="AIE705" s="5"/>
      <c r="AIF705" s="5"/>
      <c r="AIG705" s="5"/>
      <c r="AIH705" s="5"/>
      <c r="AII705" s="5"/>
      <c r="AIJ705" s="5"/>
      <c r="AIK705" s="5"/>
      <c r="AIL705" s="5"/>
      <c r="AIM705" s="5"/>
      <c r="AIN705" s="5"/>
      <c r="AIO705" s="5"/>
      <c r="AIP705" s="5"/>
      <c r="AIQ705" s="5"/>
      <c r="AIR705" s="5"/>
      <c r="AIS705" s="5"/>
      <c r="AIT705" s="5"/>
      <c r="AIU705" s="5"/>
      <c r="AIV705" s="5"/>
      <c r="AIW705" s="5"/>
      <c r="AIX705" s="5"/>
      <c r="AIY705" s="5"/>
      <c r="AIZ705" s="5"/>
      <c r="AJA705" s="5"/>
      <c r="AJB705" s="5"/>
      <c r="AJC705" s="5"/>
      <c r="AJD705" s="5"/>
      <c r="AJE705" s="5"/>
      <c r="AJF705" s="5"/>
      <c r="AJG705" s="5"/>
      <c r="AJH705" s="5"/>
      <c r="AJI705" s="5"/>
      <c r="AJJ705" s="5"/>
      <c r="AJK705" s="5"/>
      <c r="AJL705" s="5"/>
      <c r="AJM705" s="5"/>
      <c r="AJN705" s="5"/>
      <c r="AJO705" s="5"/>
      <c r="AJP705" s="5"/>
      <c r="AJQ705" s="5"/>
      <c r="AJR705" s="5"/>
      <c r="AJS705" s="5"/>
      <c r="AJT705" s="5"/>
      <c r="AJU705" s="5"/>
      <c r="AJV705" s="5"/>
      <c r="AJW705" s="5"/>
      <c r="AJX705" s="5"/>
      <c r="AJY705" s="5"/>
      <c r="AJZ705" s="5"/>
      <c r="AKA705" s="5"/>
      <c r="AKB705" s="5"/>
      <c r="AKC705" s="5"/>
      <c r="AKD705" s="5"/>
      <c r="AKE705" s="5"/>
      <c r="AKF705" s="5"/>
      <c r="AKG705" s="5"/>
      <c r="AKH705" s="5"/>
      <c r="AKI705" s="5"/>
      <c r="AKJ705" s="5"/>
      <c r="AKK705" s="5"/>
      <c r="AKL705" s="5"/>
      <c r="AKM705" s="5"/>
      <c r="AKN705" s="5"/>
      <c r="AKO705" s="5"/>
      <c r="AKP705" s="5"/>
      <c r="AKQ705" s="5"/>
      <c r="AKR705" s="5"/>
      <c r="AKS705" s="5"/>
      <c r="AKT705" s="5"/>
      <c r="AKU705" s="5"/>
      <c r="AKV705" s="5"/>
      <c r="AKW705" s="5"/>
      <c r="AKX705" s="5"/>
      <c r="AKY705" s="5"/>
      <c r="AKZ705" s="5"/>
      <c r="ALA705" s="5"/>
      <c r="ALB705" s="5"/>
      <c r="ALC705" s="5"/>
      <c r="ALD705" s="5"/>
      <c r="ALE705" s="5"/>
      <c r="ALF705" s="5"/>
      <c r="ALG705" s="5"/>
      <c r="ALH705" s="5"/>
      <c r="ALI705" s="5"/>
      <c r="ALJ705" s="5"/>
      <c r="ALK705" s="5"/>
      <c r="ALL705" s="5"/>
      <c r="ALM705" s="5"/>
      <c r="ALN705" s="5"/>
      <c r="ALO705" s="5"/>
      <c r="ALP705" s="5"/>
      <c r="ALQ705" s="5"/>
      <c r="ALR705" s="5"/>
      <c r="ALS705" s="5"/>
      <c r="ALT705" s="5"/>
      <c r="ALU705" s="5"/>
      <c r="ALV705" s="5"/>
      <c r="ALW705" s="5"/>
      <c r="ALX705" s="5"/>
      <c r="ALY705" s="5"/>
      <c r="ALZ705" s="5"/>
      <c r="AMA705" s="5"/>
      <c r="AMB705" s="5"/>
      <c r="AMC705" s="5"/>
      <c r="AMD705" s="5"/>
      <c r="AME705" s="5"/>
      <c r="AMF705" s="5"/>
      <c r="AMG705" s="5"/>
      <c r="AMH705" s="5"/>
      <c r="AMI705" s="5"/>
      <c r="AMJ705" s="5"/>
      <c r="AMK705" s="5"/>
      <c r="AML705" s="5"/>
      <c r="AMM705" s="5"/>
      <c r="AMN705" s="5"/>
      <c r="AMO705" s="5"/>
      <c r="AMP705" s="5"/>
      <c r="AMQ705" s="5"/>
      <c r="AMR705" s="5"/>
      <c r="AMS705" s="5"/>
      <c r="AMT705" s="5"/>
      <c r="AMU705" s="5"/>
      <c r="AMV705" s="5"/>
      <c r="AMW705" s="5"/>
      <c r="AMX705" s="5"/>
      <c r="AMY705" s="5"/>
      <c r="AMZ705" s="5"/>
      <c r="ANA705" s="5"/>
      <c r="ANB705" s="5"/>
      <c r="ANC705" s="5"/>
      <c r="AND705" s="5"/>
      <c r="ANE705" s="5"/>
      <c r="ANF705" s="5"/>
      <c r="ANG705" s="5"/>
      <c r="ANH705" s="5"/>
      <c r="ANI705" s="5"/>
      <c r="ANJ705" s="5"/>
      <c r="ANK705" s="5"/>
      <c r="ANL705" s="5"/>
      <c r="ANM705" s="5"/>
      <c r="ANN705" s="5"/>
      <c r="ANO705" s="5"/>
      <c r="ANP705" s="5"/>
      <c r="ANQ705" s="5"/>
      <c r="ANR705" s="5"/>
      <c r="ANS705" s="5"/>
      <c r="ANT705" s="5"/>
      <c r="ANU705" s="5"/>
      <c r="ANV705" s="5"/>
      <c r="ANW705" s="5"/>
      <c r="ANX705" s="5"/>
      <c r="ANY705" s="5"/>
      <c r="ANZ705" s="5"/>
      <c r="AOA705" s="5"/>
      <c r="AOB705" s="5"/>
      <c r="AOC705" s="5"/>
      <c r="AOD705" s="5"/>
      <c r="AOE705" s="5"/>
      <c r="AOF705" s="5"/>
      <c r="AOG705" s="5"/>
      <c r="AOH705" s="5"/>
      <c r="AOI705" s="5"/>
      <c r="AOJ705" s="5"/>
      <c r="AOK705" s="5"/>
      <c r="AOL705" s="5"/>
      <c r="AOM705" s="5"/>
      <c r="AON705" s="5"/>
      <c r="AOO705" s="5"/>
      <c r="AOP705" s="5"/>
      <c r="AOQ705" s="5"/>
      <c r="AOR705" s="5"/>
      <c r="AOS705" s="5"/>
      <c r="AOT705" s="5"/>
      <c r="AOU705" s="5"/>
      <c r="AOV705" s="5"/>
      <c r="AOW705" s="5"/>
      <c r="AOX705" s="5"/>
      <c r="AOY705" s="5"/>
      <c r="AOZ705" s="5"/>
      <c r="APA705" s="5"/>
      <c r="APB705" s="5"/>
      <c r="APC705" s="5"/>
      <c r="APD705" s="5"/>
      <c r="APE705" s="5"/>
      <c r="APF705" s="5"/>
      <c r="APG705" s="5"/>
      <c r="APH705" s="5"/>
      <c r="API705" s="5"/>
      <c r="APJ705" s="5"/>
      <c r="APK705" s="5"/>
      <c r="APL705" s="5"/>
      <c r="APM705" s="5"/>
      <c r="APN705" s="5"/>
      <c r="APO705" s="5"/>
      <c r="APP705" s="5"/>
      <c r="APQ705" s="5"/>
      <c r="APR705" s="5"/>
      <c r="APS705" s="5"/>
      <c r="APT705" s="5"/>
      <c r="APU705" s="5"/>
      <c r="APV705" s="5"/>
      <c r="APW705" s="5"/>
      <c r="APX705" s="5"/>
      <c r="APY705" s="5"/>
      <c r="APZ705" s="5"/>
      <c r="AQA705" s="5"/>
      <c r="AQB705" s="5"/>
      <c r="AQC705" s="5"/>
      <c r="AQD705" s="5"/>
      <c r="AQE705" s="5"/>
      <c r="AQF705" s="5"/>
      <c r="AQG705" s="5"/>
      <c r="AQH705" s="5"/>
      <c r="AQI705" s="5"/>
      <c r="AQJ705" s="5"/>
      <c r="AQK705" s="5"/>
      <c r="AQL705" s="5"/>
      <c r="AQM705" s="5"/>
      <c r="AQN705" s="5"/>
      <c r="AQO705" s="5"/>
      <c r="AQP705" s="5"/>
      <c r="AQQ705" s="5"/>
      <c r="AQR705" s="5"/>
      <c r="AQS705" s="5"/>
      <c r="AQT705" s="5"/>
      <c r="AQU705" s="5"/>
      <c r="AQV705" s="5"/>
      <c r="AQW705" s="5"/>
      <c r="AQX705" s="5"/>
      <c r="AQY705" s="5"/>
      <c r="AQZ705" s="5"/>
      <c r="ARA705" s="5"/>
      <c r="ARB705" s="5"/>
      <c r="ARC705" s="5"/>
      <c r="ARD705" s="5"/>
      <c r="ARE705" s="5"/>
      <c r="ARF705" s="5"/>
      <c r="ARG705" s="5"/>
      <c r="ARH705" s="5"/>
      <c r="ARI705" s="5"/>
      <c r="ARJ705" s="5"/>
      <c r="ARK705" s="5"/>
      <c r="ARL705" s="5"/>
      <c r="ARM705" s="5"/>
      <c r="ARN705" s="5"/>
      <c r="ARO705" s="5"/>
      <c r="ARP705" s="5"/>
      <c r="ARQ705" s="5"/>
      <c r="ARR705" s="5"/>
      <c r="ARS705" s="5"/>
      <c r="ART705" s="5"/>
      <c r="ARU705" s="5"/>
      <c r="ARV705" s="5"/>
      <c r="ARW705" s="5"/>
      <c r="ARX705" s="5"/>
      <c r="ARY705" s="5"/>
      <c r="ARZ705" s="5"/>
      <c r="ASA705" s="5"/>
      <c r="ASB705" s="5"/>
      <c r="ASC705" s="5"/>
      <c r="ASD705" s="5"/>
      <c r="ASE705" s="5"/>
      <c r="ASF705" s="5"/>
      <c r="ASG705" s="5"/>
      <c r="ASH705" s="5"/>
      <c r="ASI705" s="5"/>
      <c r="ASJ705" s="5"/>
      <c r="ASK705" s="5"/>
      <c r="ASL705" s="5"/>
      <c r="ASM705" s="5"/>
      <c r="ASN705" s="5"/>
      <c r="ASO705" s="5"/>
      <c r="ASP705" s="5"/>
      <c r="ASQ705" s="5"/>
      <c r="ASR705" s="5"/>
      <c r="ASS705" s="5"/>
      <c r="AST705" s="5"/>
      <c r="ASU705" s="5"/>
      <c r="ASV705" s="5"/>
      <c r="ASW705" s="5"/>
      <c r="ASX705" s="5"/>
      <c r="ASY705" s="5"/>
      <c r="ASZ705" s="5"/>
      <c r="ATA705" s="5"/>
      <c r="ATB705" s="5"/>
      <c r="ATC705" s="5"/>
      <c r="ATD705" s="5"/>
      <c r="ATE705" s="5"/>
      <c r="ATF705" s="5"/>
      <c r="ATG705" s="5"/>
      <c r="ATH705" s="5"/>
      <c r="ATI705" s="5"/>
      <c r="ATJ705" s="5"/>
      <c r="ATK705" s="5"/>
      <c r="ATL705" s="5"/>
      <c r="ATM705" s="5"/>
      <c r="ATN705" s="5"/>
      <c r="ATO705" s="5"/>
      <c r="ATP705" s="5"/>
      <c r="ATQ705" s="5"/>
      <c r="ATR705" s="5"/>
      <c r="ATS705" s="5"/>
      <c r="ATT705" s="5"/>
      <c r="ATU705" s="5"/>
      <c r="ATV705" s="5"/>
      <c r="ATW705" s="5"/>
      <c r="ATX705" s="5"/>
    </row>
    <row r="706" spans="1:1220" s="67" customFormat="1" ht="12.75" customHeight="1" x14ac:dyDescent="0.35">
      <c r="A706" s="76" t="s">
        <v>229</v>
      </c>
      <c r="B706" s="99" t="s">
        <v>147</v>
      </c>
      <c r="C706" s="76" t="s">
        <v>2606</v>
      </c>
      <c r="D706" s="142" t="s">
        <v>2606</v>
      </c>
      <c r="E706" s="76"/>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5"/>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s="5"/>
      <c r="FG706" s="5"/>
      <c r="FH706" s="5"/>
      <c r="FI706" s="5"/>
      <c r="FJ706" s="5"/>
      <c r="FK706" s="5"/>
      <c r="FL706" s="5"/>
      <c r="FM706" s="5"/>
      <c r="FN706" s="5"/>
      <c r="FO706" s="5"/>
      <c r="FP706" s="5"/>
      <c r="FQ706" s="5"/>
      <c r="FR706" s="5"/>
      <c r="FS706" s="5"/>
      <c r="FT706" s="5"/>
      <c r="FU706" s="5"/>
      <c r="FV706" s="5"/>
      <c r="FW706" s="5"/>
      <c r="FX706" s="5"/>
      <c r="FY706" s="5"/>
      <c r="FZ706" s="5"/>
      <c r="GA706" s="5"/>
      <c r="GB706" s="5"/>
      <c r="GC706" s="5"/>
      <c r="GD706" s="5"/>
      <c r="GE706" s="5"/>
      <c r="GF706" s="5"/>
      <c r="GG706" s="5"/>
      <c r="GH706" s="5"/>
      <c r="GI706" s="5"/>
      <c r="GJ706" s="5"/>
      <c r="GK706" s="5"/>
      <c r="GL706" s="5"/>
      <c r="GM706" s="5"/>
      <c r="GN706" s="5"/>
      <c r="GO706" s="5"/>
      <c r="GP706" s="5"/>
      <c r="GQ706" s="5"/>
      <c r="GR706" s="5"/>
      <c r="GS706" s="5"/>
      <c r="GT706" s="5"/>
      <c r="GU706" s="5"/>
      <c r="GV706" s="5"/>
      <c r="GW706" s="5"/>
      <c r="GX706" s="5"/>
      <c r="GY706" s="5"/>
      <c r="GZ706" s="5"/>
      <c r="HA706" s="5"/>
      <c r="HB706" s="5"/>
      <c r="HC706" s="5"/>
      <c r="HD706" s="5"/>
      <c r="HE706" s="5"/>
      <c r="HF706" s="5"/>
      <c r="HG706" s="5"/>
      <c r="HH706" s="5"/>
      <c r="HI706" s="5"/>
      <c r="HJ706" s="5"/>
      <c r="HK706" s="5"/>
      <c r="HL706" s="5"/>
      <c r="HM706" s="5"/>
      <c r="HN706" s="5"/>
      <c r="HO706" s="5"/>
      <c r="HP706" s="5"/>
      <c r="HQ706" s="5"/>
      <c r="HR706" s="5"/>
      <c r="HS706" s="5"/>
      <c r="HT706" s="5"/>
      <c r="HU706" s="5"/>
      <c r="HV706" s="5"/>
      <c r="HW706" s="5"/>
      <c r="HX706" s="5"/>
      <c r="HY706" s="5"/>
      <c r="HZ706" s="5"/>
      <c r="IA706" s="5"/>
      <c r="IB706" s="5"/>
      <c r="IC706" s="5"/>
      <c r="ID706" s="5"/>
      <c r="IE706" s="5"/>
      <c r="IF706" s="5"/>
      <c r="IG706" s="5"/>
      <c r="IH706" s="5"/>
      <c r="II706" s="5"/>
      <c r="IJ706" s="5"/>
      <c r="IK706" s="5"/>
      <c r="IL706" s="5"/>
      <c r="IM706" s="5"/>
      <c r="IN706" s="5"/>
      <c r="IO706" s="5"/>
      <c r="IP706" s="5"/>
      <c r="IQ706" s="5"/>
      <c r="IR706" s="5"/>
      <c r="IS706" s="5"/>
      <c r="IT706" s="5"/>
      <c r="IU706" s="5"/>
      <c r="IV706" s="5"/>
      <c r="IW706" s="5"/>
      <c r="IX706" s="5"/>
      <c r="IY706" s="5"/>
      <c r="IZ706" s="5"/>
      <c r="JA706" s="5"/>
      <c r="JB706" s="5"/>
      <c r="JC706" s="5"/>
      <c r="JD706" s="5"/>
      <c r="JE706" s="5"/>
      <c r="JF706" s="5"/>
      <c r="JG706" s="5"/>
      <c r="JH706" s="5"/>
      <c r="JI706" s="5"/>
      <c r="JJ706" s="5"/>
      <c r="JK706" s="5"/>
      <c r="JL706" s="5"/>
      <c r="JM706" s="5"/>
      <c r="JN706" s="5"/>
      <c r="JO706" s="5"/>
      <c r="JP706" s="5"/>
      <c r="JQ706" s="5"/>
      <c r="JR706" s="5"/>
      <c r="JS706" s="5"/>
      <c r="JT706" s="5"/>
      <c r="JU706" s="5"/>
      <c r="JV706" s="5"/>
      <c r="JW706" s="5"/>
      <c r="JX706" s="5"/>
      <c r="JY706" s="5"/>
      <c r="JZ706" s="5"/>
      <c r="KA706" s="5"/>
      <c r="KB706" s="5"/>
      <c r="KC706" s="5"/>
      <c r="KD706" s="5"/>
      <c r="KE706" s="5"/>
      <c r="KF706" s="5"/>
      <c r="KG706" s="5"/>
      <c r="KH706" s="5"/>
      <c r="KI706" s="5"/>
      <c r="KJ706" s="5"/>
      <c r="KK706" s="5"/>
      <c r="KL706" s="5"/>
      <c r="KM706" s="5"/>
      <c r="KN706" s="5"/>
      <c r="KO706" s="5"/>
      <c r="KP706" s="5"/>
      <c r="KQ706" s="5"/>
      <c r="KR706" s="5"/>
      <c r="KS706" s="5"/>
      <c r="KT706" s="5"/>
      <c r="KU706" s="5"/>
      <c r="KV706" s="5"/>
      <c r="KW706" s="5"/>
      <c r="KX706" s="5"/>
      <c r="KY706" s="5"/>
      <c r="KZ706" s="5"/>
      <c r="LA706" s="5"/>
      <c r="LB706" s="5"/>
      <c r="LC706" s="5"/>
      <c r="LD706" s="5"/>
      <c r="LE706" s="5"/>
      <c r="LF706" s="5"/>
      <c r="LG706" s="5"/>
      <c r="LH706" s="5"/>
      <c r="LI706" s="5"/>
      <c r="LJ706" s="5"/>
      <c r="LK706" s="5"/>
      <c r="LL706" s="5"/>
      <c r="LM706" s="5"/>
      <c r="LN706" s="5"/>
      <c r="LO706" s="5"/>
      <c r="LP706" s="5"/>
      <c r="LQ706" s="5"/>
      <c r="LR706" s="5"/>
      <c r="LS706" s="5"/>
      <c r="LT706" s="5"/>
      <c r="LU706" s="5"/>
      <c r="LV706" s="5"/>
      <c r="LW706" s="5"/>
      <c r="LX706" s="5"/>
      <c r="LY706" s="5"/>
      <c r="LZ706" s="5"/>
      <c r="MA706" s="5"/>
      <c r="MB706" s="5"/>
      <c r="MC706" s="5"/>
      <c r="MD706" s="5"/>
      <c r="ME706" s="5"/>
      <c r="MF706" s="5"/>
      <c r="MG706" s="5"/>
      <c r="MH706" s="5"/>
      <c r="MI706" s="5"/>
      <c r="MJ706" s="5"/>
      <c r="MK706" s="5"/>
      <c r="ML706" s="5"/>
      <c r="MM706" s="5"/>
      <c r="MN706" s="5"/>
      <c r="MO706" s="5"/>
      <c r="MP706" s="5"/>
      <c r="MQ706" s="5"/>
      <c r="MR706" s="5"/>
      <c r="MS706" s="5"/>
      <c r="MT706" s="5"/>
      <c r="MU706" s="5"/>
      <c r="MV706" s="5"/>
      <c r="MW706" s="5"/>
      <c r="MX706" s="5"/>
      <c r="MY706" s="5"/>
      <c r="MZ706" s="5"/>
      <c r="NA706" s="5"/>
      <c r="NB706" s="5"/>
      <c r="NC706" s="5"/>
      <c r="ND706" s="5"/>
      <c r="NE706" s="5"/>
      <c r="NF706" s="5"/>
      <c r="NG706" s="5"/>
      <c r="NH706" s="5"/>
      <c r="NI706" s="5"/>
      <c r="NJ706" s="5"/>
      <c r="NK706" s="5"/>
      <c r="NL706" s="5"/>
      <c r="NM706" s="5"/>
      <c r="NN706" s="5"/>
      <c r="NO706" s="5"/>
      <c r="NP706" s="5"/>
      <c r="NQ706" s="5"/>
      <c r="NR706" s="5"/>
      <c r="NS706" s="5"/>
      <c r="NT706" s="5"/>
      <c r="NU706" s="5"/>
      <c r="NV706" s="5"/>
      <c r="NW706" s="5"/>
      <c r="NX706" s="5"/>
      <c r="NY706" s="5"/>
      <c r="NZ706" s="5"/>
      <c r="OA706" s="5"/>
      <c r="OB706" s="5"/>
      <c r="OC706" s="5"/>
      <c r="OD706" s="5"/>
      <c r="OE706" s="5"/>
      <c r="OF706" s="5"/>
      <c r="OG706" s="5"/>
      <c r="OH706" s="5"/>
      <c r="OI706" s="5"/>
      <c r="OJ706" s="5"/>
      <c r="OK706" s="5"/>
      <c r="OL706" s="5"/>
      <c r="OM706" s="5"/>
      <c r="ON706" s="5"/>
      <c r="OO706" s="5"/>
      <c r="OP706" s="5"/>
      <c r="OQ706" s="5"/>
      <c r="OR706" s="5"/>
      <c r="OS706" s="5"/>
      <c r="OT706" s="5"/>
      <c r="OU706" s="5"/>
      <c r="OV706" s="5"/>
      <c r="OW706" s="5"/>
      <c r="OX706" s="5"/>
      <c r="OY706" s="5"/>
      <c r="OZ706" s="5"/>
      <c r="PA706" s="5"/>
      <c r="PB706" s="5"/>
      <c r="PC706" s="5"/>
      <c r="PD706" s="5"/>
      <c r="PE706" s="5"/>
      <c r="PF706" s="5"/>
      <c r="PG706" s="5"/>
      <c r="PH706" s="5"/>
      <c r="PI706" s="5"/>
      <c r="PJ706" s="5"/>
      <c r="PK706" s="5"/>
      <c r="PL706" s="5"/>
      <c r="PM706" s="5"/>
      <c r="PN706" s="5"/>
      <c r="PO706" s="5"/>
      <c r="PP706" s="5"/>
      <c r="PQ706" s="5"/>
      <c r="PR706" s="5"/>
      <c r="PS706" s="5"/>
      <c r="PT706" s="5"/>
      <c r="PU706" s="5"/>
      <c r="PV706" s="5"/>
      <c r="PW706" s="5"/>
      <c r="PX706" s="5"/>
      <c r="PY706" s="5"/>
      <c r="PZ706" s="5"/>
      <c r="QA706" s="5"/>
      <c r="QB706" s="5"/>
      <c r="QC706" s="5"/>
      <c r="QD706" s="5"/>
      <c r="QE706" s="5"/>
      <c r="QF706" s="5"/>
      <c r="QG706" s="5"/>
      <c r="QH706" s="5"/>
      <c r="QI706" s="5"/>
      <c r="QJ706" s="5"/>
      <c r="QK706" s="5"/>
      <c r="QL706" s="5"/>
      <c r="QM706" s="5"/>
      <c r="QN706" s="5"/>
      <c r="QO706" s="5"/>
      <c r="QP706" s="5"/>
      <c r="QQ706" s="5"/>
      <c r="QR706" s="5"/>
      <c r="QS706" s="5"/>
      <c r="QT706" s="5"/>
      <c r="QU706" s="5"/>
      <c r="QV706" s="5"/>
      <c r="QW706" s="5"/>
      <c r="QX706" s="5"/>
      <c r="QY706" s="5"/>
      <c r="QZ706" s="5"/>
      <c r="RA706" s="5"/>
      <c r="RB706" s="5"/>
      <c r="RC706" s="5"/>
      <c r="RD706" s="5"/>
      <c r="RE706" s="5"/>
      <c r="RF706" s="5"/>
      <c r="RG706" s="5"/>
      <c r="RH706" s="5"/>
      <c r="RI706" s="5"/>
      <c r="RJ706" s="5"/>
      <c r="RK706" s="5"/>
      <c r="RL706" s="5"/>
      <c r="RM706" s="5"/>
      <c r="RN706" s="5"/>
      <c r="RO706" s="5"/>
      <c r="RP706" s="5"/>
      <c r="RQ706" s="5"/>
      <c r="RR706" s="5"/>
      <c r="RS706" s="5"/>
      <c r="RT706" s="5"/>
      <c r="RU706" s="5"/>
      <c r="RV706" s="5"/>
      <c r="RW706" s="5"/>
      <c r="RX706" s="5"/>
      <c r="RY706" s="5"/>
      <c r="RZ706" s="5"/>
      <c r="SA706" s="5"/>
      <c r="SB706" s="5"/>
      <c r="SC706" s="5"/>
      <c r="SD706" s="5"/>
      <c r="SE706" s="5"/>
      <c r="SF706" s="5"/>
      <c r="SG706" s="5"/>
      <c r="SH706" s="5"/>
      <c r="SI706" s="5"/>
      <c r="SJ706" s="5"/>
      <c r="SK706" s="5"/>
      <c r="SL706" s="5"/>
      <c r="SM706" s="5"/>
      <c r="SN706" s="5"/>
      <c r="SO706" s="5"/>
      <c r="SP706" s="5"/>
      <c r="SQ706" s="5"/>
      <c r="SR706" s="5"/>
      <c r="SS706" s="5"/>
      <c r="ST706" s="5"/>
      <c r="SU706" s="5"/>
      <c r="SV706" s="5"/>
      <c r="SW706" s="5"/>
      <c r="SX706" s="5"/>
      <c r="SY706" s="5"/>
      <c r="SZ706" s="5"/>
      <c r="TA706" s="5"/>
      <c r="TB706" s="5"/>
      <c r="TC706" s="5"/>
      <c r="TD706" s="5"/>
      <c r="TE706" s="5"/>
      <c r="TF706" s="5"/>
      <c r="TG706" s="5"/>
      <c r="TH706" s="5"/>
      <c r="TI706" s="5"/>
      <c r="TJ706" s="5"/>
      <c r="TK706" s="5"/>
      <c r="TL706" s="5"/>
      <c r="TM706" s="5"/>
      <c r="TN706" s="5"/>
      <c r="TO706" s="5"/>
      <c r="TP706" s="5"/>
      <c r="TQ706" s="5"/>
      <c r="TR706" s="5"/>
      <c r="TS706" s="5"/>
      <c r="TT706" s="5"/>
      <c r="TU706" s="5"/>
      <c r="TV706" s="5"/>
      <c r="TW706" s="5"/>
      <c r="TX706" s="5"/>
      <c r="TY706" s="5"/>
      <c r="TZ706" s="5"/>
      <c r="UA706" s="5"/>
      <c r="UB706" s="5"/>
      <c r="UC706" s="5"/>
      <c r="UD706" s="5"/>
      <c r="UE706" s="5"/>
      <c r="UF706" s="5"/>
      <c r="UG706" s="5"/>
      <c r="UH706" s="5"/>
      <c r="UI706" s="5"/>
      <c r="UJ706" s="5"/>
      <c r="UK706" s="5"/>
      <c r="UL706" s="5"/>
      <c r="UM706" s="5"/>
      <c r="UN706" s="5"/>
      <c r="UO706" s="5"/>
      <c r="UP706" s="5"/>
      <c r="UQ706" s="5"/>
      <c r="UR706" s="5"/>
      <c r="US706" s="5"/>
      <c r="UT706" s="5"/>
      <c r="UU706" s="5"/>
      <c r="UV706" s="5"/>
      <c r="UW706" s="5"/>
      <c r="UX706" s="5"/>
      <c r="UY706" s="5"/>
      <c r="UZ706" s="5"/>
      <c r="VA706" s="5"/>
      <c r="VB706" s="5"/>
      <c r="VC706" s="5"/>
      <c r="VD706" s="5"/>
      <c r="VE706" s="5"/>
      <c r="VF706" s="5"/>
      <c r="VG706" s="5"/>
      <c r="VH706" s="5"/>
      <c r="VI706" s="5"/>
      <c r="VJ706" s="5"/>
      <c r="VK706" s="5"/>
      <c r="VL706" s="5"/>
      <c r="VM706" s="5"/>
      <c r="VN706" s="5"/>
      <c r="VO706" s="5"/>
      <c r="VP706" s="5"/>
      <c r="VQ706" s="5"/>
      <c r="VR706" s="5"/>
      <c r="VS706" s="5"/>
      <c r="VT706" s="5"/>
      <c r="VU706" s="5"/>
      <c r="VV706" s="5"/>
      <c r="VW706" s="5"/>
      <c r="VX706" s="5"/>
      <c r="VY706" s="5"/>
      <c r="VZ706" s="5"/>
      <c r="WA706" s="5"/>
      <c r="WB706" s="5"/>
      <c r="WC706" s="5"/>
      <c r="WD706" s="5"/>
      <c r="WE706" s="5"/>
      <c r="WF706" s="5"/>
      <c r="WG706" s="5"/>
      <c r="WH706" s="5"/>
      <c r="WI706" s="5"/>
      <c r="WJ706" s="5"/>
      <c r="WK706" s="5"/>
      <c r="WL706" s="5"/>
      <c r="WM706" s="5"/>
      <c r="WN706" s="5"/>
      <c r="WO706" s="5"/>
      <c r="WP706" s="5"/>
      <c r="WQ706" s="5"/>
      <c r="WR706" s="5"/>
      <c r="WS706" s="5"/>
      <c r="WT706" s="5"/>
      <c r="WU706" s="5"/>
      <c r="WV706" s="5"/>
      <c r="WW706" s="5"/>
      <c r="WX706" s="5"/>
      <c r="WY706" s="5"/>
      <c r="WZ706" s="5"/>
      <c r="XA706" s="5"/>
      <c r="XB706" s="5"/>
      <c r="XC706" s="5"/>
      <c r="XD706" s="5"/>
      <c r="XE706" s="5"/>
      <c r="XF706" s="5"/>
      <c r="XG706" s="5"/>
      <c r="XH706" s="5"/>
      <c r="XI706" s="5"/>
      <c r="XJ706" s="5"/>
      <c r="XK706" s="5"/>
      <c r="XL706" s="5"/>
      <c r="XM706" s="5"/>
      <c r="XN706" s="5"/>
      <c r="XO706" s="5"/>
      <c r="XP706" s="5"/>
      <c r="XQ706" s="5"/>
      <c r="XR706" s="5"/>
      <c r="XS706" s="5"/>
      <c r="XT706" s="5"/>
      <c r="XU706" s="5"/>
      <c r="XV706" s="5"/>
      <c r="XW706" s="5"/>
      <c r="XX706" s="5"/>
      <c r="XY706" s="5"/>
      <c r="XZ706" s="5"/>
      <c r="YA706" s="5"/>
      <c r="YB706" s="5"/>
      <c r="YC706" s="5"/>
      <c r="YD706" s="5"/>
      <c r="YE706" s="5"/>
      <c r="YF706" s="5"/>
      <c r="YG706" s="5"/>
      <c r="YH706" s="5"/>
      <c r="YI706" s="5"/>
      <c r="YJ706" s="5"/>
      <c r="YK706" s="5"/>
      <c r="YL706" s="5"/>
      <c r="YM706" s="5"/>
      <c r="YN706" s="5"/>
      <c r="YO706" s="5"/>
      <c r="YP706" s="5"/>
      <c r="YQ706" s="5"/>
      <c r="YR706" s="5"/>
      <c r="YS706" s="5"/>
      <c r="YT706" s="5"/>
      <c r="YU706" s="5"/>
      <c r="YV706" s="5"/>
      <c r="YW706" s="5"/>
      <c r="YX706" s="5"/>
      <c r="YY706" s="5"/>
      <c r="YZ706" s="5"/>
      <c r="ZA706" s="5"/>
      <c r="ZB706" s="5"/>
      <c r="ZC706" s="5"/>
      <c r="ZD706" s="5"/>
      <c r="ZE706" s="5"/>
      <c r="ZF706" s="5"/>
      <c r="ZG706" s="5"/>
      <c r="ZH706" s="5"/>
      <c r="ZI706" s="5"/>
      <c r="ZJ706" s="5"/>
      <c r="ZK706" s="5"/>
      <c r="ZL706" s="5"/>
      <c r="ZM706" s="5"/>
      <c r="ZN706" s="5"/>
      <c r="ZO706" s="5"/>
      <c r="ZP706" s="5"/>
      <c r="ZQ706" s="5"/>
      <c r="ZR706" s="5"/>
      <c r="ZS706" s="5"/>
      <c r="ZT706" s="5"/>
      <c r="ZU706" s="5"/>
      <c r="ZV706" s="5"/>
      <c r="ZW706" s="5"/>
      <c r="ZX706" s="5"/>
      <c r="ZY706" s="5"/>
      <c r="ZZ706" s="5"/>
      <c r="AAA706" s="5"/>
      <c r="AAB706" s="5"/>
      <c r="AAC706" s="5"/>
      <c r="AAD706" s="5"/>
      <c r="AAE706" s="5"/>
      <c r="AAF706" s="5"/>
      <c r="AAG706" s="5"/>
      <c r="AAH706" s="5"/>
      <c r="AAI706" s="5"/>
      <c r="AAJ706" s="5"/>
      <c r="AAK706" s="5"/>
      <c r="AAL706" s="5"/>
      <c r="AAM706" s="5"/>
      <c r="AAN706" s="5"/>
      <c r="AAO706" s="5"/>
      <c r="AAP706" s="5"/>
      <c r="AAQ706" s="5"/>
      <c r="AAR706" s="5"/>
      <c r="AAS706" s="5"/>
      <c r="AAT706" s="5"/>
      <c r="AAU706" s="5"/>
      <c r="AAV706" s="5"/>
      <c r="AAW706" s="5"/>
      <c r="AAX706" s="5"/>
      <c r="AAY706" s="5"/>
      <c r="AAZ706" s="5"/>
      <c r="ABA706" s="5"/>
      <c r="ABB706" s="5"/>
      <c r="ABC706" s="5"/>
      <c r="ABD706" s="5"/>
      <c r="ABE706" s="5"/>
      <c r="ABF706" s="5"/>
      <c r="ABG706" s="5"/>
      <c r="ABH706" s="5"/>
      <c r="ABI706" s="5"/>
      <c r="ABJ706" s="5"/>
      <c r="ABK706" s="5"/>
      <c r="ABL706" s="5"/>
      <c r="ABM706" s="5"/>
      <c r="ABN706" s="5"/>
      <c r="ABO706" s="5"/>
      <c r="ABP706" s="5"/>
      <c r="ABQ706" s="5"/>
      <c r="ABR706" s="5"/>
      <c r="ABS706" s="5"/>
      <c r="ABT706" s="5"/>
      <c r="ABU706" s="5"/>
      <c r="ABV706" s="5"/>
      <c r="ABW706" s="5"/>
      <c r="ABX706" s="5"/>
      <c r="ABY706" s="5"/>
      <c r="ABZ706" s="5"/>
      <c r="ACA706" s="5"/>
      <c r="ACB706" s="5"/>
      <c r="ACC706" s="5"/>
      <c r="ACD706" s="5"/>
      <c r="ACE706" s="5"/>
      <c r="ACF706" s="5"/>
      <c r="ACG706" s="5"/>
      <c r="ACH706" s="5"/>
      <c r="ACI706" s="5"/>
      <c r="ACJ706" s="5"/>
      <c r="ACK706" s="5"/>
      <c r="ACL706" s="5"/>
      <c r="ACM706" s="5"/>
      <c r="ACN706" s="5"/>
      <c r="ACO706" s="5"/>
      <c r="ACP706" s="5"/>
      <c r="ACQ706" s="5"/>
      <c r="ACR706" s="5"/>
      <c r="ACS706" s="5"/>
      <c r="ACT706" s="5"/>
      <c r="ACU706" s="5"/>
      <c r="ACV706" s="5"/>
      <c r="ACW706" s="5"/>
      <c r="ACX706" s="5"/>
      <c r="ACY706" s="5"/>
      <c r="ACZ706" s="5"/>
      <c r="ADA706" s="5"/>
      <c r="ADB706" s="5"/>
      <c r="ADC706" s="5"/>
      <c r="ADD706" s="5"/>
      <c r="ADE706" s="5"/>
      <c r="ADF706" s="5"/>
      <c r="ADG706" s="5"/>
      <c r="ADH706" s="5"/>
      <c r="ADI706" s="5"/>
      <c r="ADJ706" s="5"/>
      <c r="ADK706" s="5"/>
      <c r="ADL706" s="5"/>
      <c r="ADM706" s="5"/>
      <c r="ADN706" s="5"/>
      <c r="ADO706" s="5"/>
      <c r="ADP706" s="5"/>
      <c r="ADQ706" s="5"/>
      <c r="ADR706" s="5"/>
      <c r="ADS706" s="5"/>
      <c r="ADT706" s="5"/>
      <c r="ADU706" s="5"/>
      <c r="ADV706" s="5"/>
      <c r="ADW706" s="5"/>
      <c r="ADX706" s="5"/>
      <c r="ADY706" s="5"/>
      <c r="ADZ706" s="5"/>
      <c r="AEA706" s="5"/>
      <c r="AEB706" s="5"/>
      <c r="AEC706" s="5"/>
      <c r="AED706" s="5"/>
      <c r="AEE706" s="5"/>
      <c r="AEF706" s="5"/>
      <c r="AEG706" s="5"/>
      <c r="AEH706" s="5"/>
      <c r="AEI706" s="5"/>
      <c r="AEJ706" s="5"/>
      <c r="AEK706" s="5"/>
      <c r="AEL706" s="5"/>
      <c r="AEM706" s="5"/>
      <c r="AEN706" s="5"/>
      <c r="AEO706" s="5"/>
      <c r="AEP706" s="5"/>
      <c r="AEQ706" s="5"/>
      <c r="AER706" s="5"/>
      <c r="AES706" s="5"/>
      <c r="AET706" s="5"/>
      <c r="AEU706" s="5"/>
      <c r="AEV706" s="5"/>
      <c r="AEW706" s="5"/>
      <c r="AEX706" s="5"/>
      <c r="AEY706" s="5"/>
      <c r="AEZ706" s="5"/>
      <c r="AFA706" s="5"/>
      <c r="AFB706" s="5"/>
      <c r="AFC706" s="5"/>
      <c r="AFD706" s="5"/>
      <c r="AFE706" s="5"/>
      <c r="AFF706" s="5"/>
      <c r="AFG706" s="5"/>
      <c r="AFH706" s="5"/>
      <c r="AFI706" s="5"/>
      <c r="AFJ706" s="5"/>
      <c r="AFK706" s="5"/>
      <c r="AFL706" s="5"/>
      <c r="AFM706" s="5"/>
      <c r="AFN706" s="5"/>
      <c r="AFO706" s="5"/>
      <c r="AFP706" s="5"/>
      <c r="AFQ706" s="5"/>
      <c r="AFR706" s="5"/>
      <c r="AFS706" s="5"/>
      <c r="AFT706" s="5"/>
      <c r="AFU706" s="5"/>
      <c r="AFV706" s="5"/>
      <c r="AFW706" s="5"/>
      <c r="AFX706" s="5"/>
      <c r="AFY706" s="5"/>
      <c r="AFZ706" s="5"/>
      <c r="AGA706" s="5"/>
      <c r="AGB706" s="5"/>
      <c r="AGC706" s="5"/>
      <c r="AGD706" s="5"/>
      <c r="AGE706" s="5"/>
      <c r="AGF706" s="5"/>
      <c r="AGG706" s="5"/>
      <c r="AGH706" s="5"/>
      <c r="AGI706" s="5"/>
      <c r="AGJ706" s="5"/>
      <c r="AGK706" s="5"/>
      <c r="AGL706" s="5"/>
      <c r="AGM706" s="5"/>
      <c r="AGN706" s="5"/>
      <c r="AGO706" s="5"/>
      <c r="AGP706" s="5"/>
      <c r="AGQ706" s="5"/>
      <c r="AGR706" s="5"/>
      <c r="AGS706" s="5"/>
      <c r="AGT706" s="5"/>
      <c r="AGU706" s="5"/>
      <c r="AGV706" s="5"/>
      <c r="AGW706" s="5"/>
      <c r="AGX706" s="5"/>
      <c r="AGY706" s="5"/>
      <c r="AGZ706" s="5"/>
      <c r="AHA706" s="5"/>
      <c r="AHB706" s="5"/>
      <c r="AHC706" s="5"/>
      <c r="AHD706" s="5"/>
      <c r="AHE706" s="5"/>
      <c r="AHF706" s="5"/>
      <c r="AHG706" s="5"/>
      <c r="AHH706" s="5"/>
      <c r="AHI706" s="5"/>
      <c r="AHJ706" s="5"/>
      <c r="AHK706" s="5"/>
      <c r="AHL706" s="5"/>
      <c r="AHM706" s="5"/>
      <c r="AHN706" s="5"/>
      <c r="AHO706" s="5"/>
      <c r="AHP706" s="5"/>
      <c r="AHQ706" s="5"/>
      <c r="AHR706" s="5"/>
      <c r="AHS706" s="5"/>
      <c r="AHT706" s="5"/>
      <c r="AHU706" s="5"/>
      <c r="AHV706" s="5"/>
      <c r="AHW706" s="5"/>
      <c r="AHX706" s="5"/>
      <c r="AHY706" s="5"/>
      <c r="AHZ706" s="5"/>
      <c r="AIA706" s="5"/>
      <c r="AIB706" s="5"/>
      <c r="AIC706" s="5"/>
      <c r="AID706" s="5"/>
      <c r="AIE706" s="5"/>
      <c r="AIF706" s="5"/>
      <c r="AIG706" s="5"/>
      <c r="AIH706" s="5"/>
      <c r="AII706" s="5"/>
      <c r="AIJ706" s="5"/>
      <c r="AIK706" s="5"/>
      <c r="AIL706" s="5"/>
      <c r="AIM706" s="5"/>
      <c r="AIN706" s="5"/>
      <c r="AIO706" s="5"/>
      <c r="AIP706" s="5"/>
      <c r="AIQ706" s="5"/>
      <c r="AIR706" s="5"/>
      <c r="AIS706" s="5"/>
      <c r="AIT706" s="5"/>
      <c r="AIU706" s="5"/>
      <c r="AIV706" s="5"/>
      <c r="AIW706" s="5"/>
      <c r="AIX706" s="5"/>
      <c r="AIY706" s="5"/>
      <c r="AIZ706" s="5"/>
      <c r="AJA706" s="5"/>
      <c r="AJB706" s="5"/>
      <c r="AJC706" s="5"/>
      <c r="AJD706" s="5"/>
      <c r="AJE706" s="5"/>
      <c r="AJF706" s="5"/>
      <c r="AJG706" s="5"/>
      <c r="AJH706" s="5"/>
      <c r="AJI706" s="5"/>
      <c r="AJJ706" s="5"/>
      <c r="AJK706" s="5"/>
      <c r="AJL706" s="5"/>
      <c r="AJM706" s="5"/>
      <c r="AJN706" s="5"/>
      <c r="AJO706" s="5"/>
      <c r="AJP706" s="5"/>
      <c r="AJQ706" s="5"/>
      <c r="AJR706" s="5"/>
      <c r="AJS706" s="5"/>
      <c r="AJT706" s="5"/>
      <c r="AJU706" s="5"/>
      <c r="AJV706" s="5"/>
      <c r="AJW706" s="5"/>
      <c r="AJX706" s="5"/>
      <c r="AJY706" s="5"/>
      <c r="AJZ706" s="5"/>
      <c r="AKA706" s="5"/>
      <c r="AKB706" s="5"/>
      <c r="AKC706" s="5"/>
      <c r="AKD706" s="5"/>
      <c r="AKE706" s="5"/>
      <c r="AKF706" s="5"/>
      <c r="AKG706" s="5"/>
      <c r="AKH706" s="5"/>
      <c r="AKI706" s="5"/>
      <c r="AKJ706" s="5"/>
      <c r="AKK706" s="5"/>
      <c r="AKL706" s="5"/>
      <c r="AKM706" s="5"/>
      <c r="AKN706" s="5"/>
      <c r="AKO706" s="5"/>
      <c r="AKP706" s="5"/>
      <c r="AKQ706" s="5"/>
      <c r="AKR706" s="5"/>
      <c r="AKS706" s="5"/>
      <c r="AKT706" s="5"/>
      <c r="AKU706" s="5"/>
      <c r="AKV706" s="5"/>
      <c r="AKW706" s="5"/>
      <c r="AKX706" s="5"/>
      <c r="AKY706" s="5"/>
      <c r="AKZ706" s="5"/>
      <c r="ALA706" s="5"/>
      <c r="ALB706" s="5"/>
      <c r="ALC706" s="5"/>
      <c r="ALD706" s="5"/>
      <c r="ALE706" s="5"/>
      <c r="ALF706" s="5"/>
      <c r="ALG706" s="5"/>
      <c r="ALH706" s="5"/>
      <c r="ALI706" s="5"/>
      <c r="ALJ706" s="5"/>
      <c r="ALK706" s="5"/>
      <c r="ALL706" s="5"/>
      <c r="ALM706" s="5"/>
      <c r="ALN706" s="5"/>
      <c r="ALO706" s="5"/>
      <c r="ALP706" s="5"/>
      <c r="ALQ706" s="5"/>
      <c r="ALR706" s="5"/>
      <c r="ALS706" s="5"/>
      <c r="ALT706" s="5"/>
      <c r="ALU706" s="5"/>
      <c r="ALV706" s="5"/>
      <c r="ALW706" s="5"/>
      <c r="ALX706" s="5"/>
      <c r="ALY706" s="5"/>
      <c r="ALZ706" s="5"/>
      <c r="AMA706" s="5"/>
      <c r="AMB706" s="5"/>
      <c r="AMC706" s="5"/>
      <c r="AMD706" s="5"/>
      <c r="AME706" s="5"/>
      <c r="AMF706" s="5"/>
      <c r="AMG706" s="5"/>
      <c r="AMH706" s="5"/>
      <c r="AMI706" s="5"/>
      <c r="AMJ706" s="5"/>
      <c r="AMK706" s="5"/>
      <c r="AML706" s="5"/>
      <c r="AMM706" s="5"/>
      <c r="AMN706" s="5"/>
      <c r="AMO706" s="5"/>
      <c r="AMP706" s="5"/>
      <c r="AMQ706" s="5"/>
      <c r="AMR706" s="5"/>
      <c r="AMS706" s="5"/>
      <c r="AMT706" s="5"/>
      <c r="AMU706" s="5"/>
      <c r="AMV706" s="5"/>
      <c r="AMW706" s="5"/>
      <c r="AMX706" s="5"/>
      <c r="AMY706" s="5"/>
      <c r="AMZ706" s="5"/>
      <c r="ANA706" s="5"/>
      <c r="ANB706" s="5"/>
      <c r="ANC706" s="5"/>
      <c r="AND706" s="5"/>
      <c r="ANE706" s="5"/>
      <c r="ANF706" s="5"/>
      <c r="ANG706" s="5"/>
      <c r="ANH706" s="5"/>
      <c r="ANI706" s="5"/>
      <c r="ANJ706" s="5"/>
      <c r="ANK706" s="5"/>
      <c r="ANL706" s="5"/>
      <c r="ANM706" s="5"/>
      <c r="ANN706" s="5"/>
      <c r="ANO706" s="5"/>
      <c r="ANP706" s="5"/>
      <c r="ANQ706" s="5"/>
      <c r="ANR706" s="5"/>
      <c r="ANS706" s="5"/>
      <c r="ANT706" s="5"/>
      <c r="ANU706" s="5"/>
      <c r="ANV706" s="5"/>
      <c r="ANW706" s="5"/>
      <c r="ANX706" s="5"/>
      <c r="ANY706" s="5"/>
      <c r="ANZ706" s="5"/>
      <c r="AOA706" s="5"/>
      <c r="AOB706" s="5"/>
      <c r="AOC706" s="5"/>
      <c r="AOD706" s="5"/>
      <c r="AOE706" s="5"/>
      <c r="AOF706" s="5"/>
      <c r="AOG706" s="5"/>
      <c r="AOH706" s="5"/>
      <c r="AOI706" s="5"/>
      <c r="AOJ706" s="5"/>
      <c r="AOK706" s="5"/>
      <c r="AOL706" s="5"/>
      <c r="AOM706" s="5"/>
      <c r="AON706" s="5"/>
      <c r="AOO706" s="5"/>
      <c r="AOP706" s="5"/>
      <c r="AOQ706" s="5"/>
      <c r="AOR706" s="5"/>
      <c r="AOS706" s="5"/>
      <c r="AOT706" s="5"/>
      <c r="AOU706" s="5"/>
      <c r="AOV706" s="5"/>
      <c r="AOW706" s="5"/>
      <c r="AOX706" s="5"/>
      <c r="AOY706" s="5"/>
      <c r="AOZ706" s="5"/>
      <c r="APA706" s="5"/>
      <c r="APB706" s="5"/>
      <c r="APC706" s="5"/>
      <c r="APD706" s="5"/>
      <c r="APE706" s="5"/>
      <c r="APF706" s="5"/>
      <c r="APG706" s="5"/>
      <c r="APH706" s="5"/>
      <c r="API706" s="5"/>
      <c r="APJ706" s="5"/>
      <c r="APK706" s="5"/>
      <c r="APL706" s="5"/>
      <c r="APM706" s="5"/>
      <c r="APN706" s="5"/>
      <c r="APO706" s="5"/>
      <c r="APP706" s="5"/>
      <c r="APQ706" s="5"/>
      <c r="APR706" s="5"/>
      <c r="APS706" s="5"/>
      <c r="APT706" s="5"/>
      <c r="APU706" s="5"/>
      <c r="APV706" s="5"/>
      <c r="APW706" s="5"/>
      <c r="APX706" s="5"/>
      <c r="APY706" s="5"/>
      <c r="APZ706" s="5"/>
      <c r="AQA706" s="5"/>
      <c r="AQB706" s="5"/>
      <c r="AQC706" s="5"/>
      <c r="AQD706" s="5"/>
      <c r="AQE706" s="5"/>
      <c r="AQF706" s="5"/>
      <c r="AQG706" s="5"/>
      <c r="AQH706" s="5"/>
      <c r="AQI706" s="5"/>
      <c r="AQJ706" s="5"/>
      <c r="AQK706" s="5"/>
      <c r="AQL706" s="5"/>
      <c r="AQM706" s="5"/>
      <c r="AQN706" s="5"/>
      <c r="AQO706" s="5"/>
      <c r="AQP706" s="5"/>
      <c r="AQQ706" s="5"/>
      <c r="AQR706" s="5"/>
      <c r="AQS706" s="5"/>
      <c r="AQT706" s="5"/>
      <c r="AQU706" s="5"/>
      <c r="AQV706" s="5"/>
      <c r="AQW706" s="5"/>
      <c r="AQX706" s="5"/>
      <c r="AQY706" s="5"/>
      <c r="AQZ706" s="5"/>
      <c r="ARA706" s="5"/>
      <c r="ARB706" s="5"/>
      <c r="ARC706" s="5"/>
      <c r="ARD706" s="5"/>
      <c r="ARE706" s="5"/>
      <c r="ARF706" s="5"/>
      <c r="ARG706" s="5"/>
      <c r="ARH706" s="5"/>
      <c r="ARI706" s="5"/>
      <c r="ARJ706" s="5"/>
      <c r="ARK706" s="5"/>
      <c r="ARL706" s="5"/>
      <c r="ARM706" s="5"/>
      <c r="ARN706" s="5"/>
      <c r="ARO706" s="5"/>
      <c r="ARP706" s="5"/>
      <c r="ARQ706" s="5"/>
      <c r="ARR706" s="5"/>
      <c r="ARS706" s="5"/>
      <c r="ART706" s="5"/>
      <c r="ARU706" s="5"/>
      <c r="ARV706" s="5"/>
      <c r="ARW706" s="5"/>
      <c r="ARX706" s="5"/>
      <c r="ARY706" s="5"/>
      <c r="ARZ706" s="5"/>
      <c r="ASA706" s="5"/>
      <c r="ASB706" s="5"/>
      <c r="ASC706" s="5"/>
      <c r="ASD706" s="5"/>
      <c r="ASE706" s="5"/>
      <c r="ASF706" s="5"/>
      <c r="ASG706" s="5"/>
      <c r="ASH706" s="5"/>
      <c r="ASI706" s="5"/>
      <c r="ASJ706" s="5"/>
      <c r="ASK706" s="5"/>
      <c r="ASL706" s="5"/>
      <c r="ASM706" s="5"/>
      <c r="ASN706" s="5"/>
      <c r="ASO706" s="5"/>
      <c r="ASP706" s="5"/>
      <c r="ASQ706" s="5"/>
      <c r="ASR706" s="5"/>
      <c r="ASS706" s="5"/>
      <c r="AST706" s="5"/>
      <c r="ASU706" s="5"/>
      <c r="ASV706" s="5"/>
      <c r="ASW706" s="5"/>
      <c r="ASX706" s="5"/>
      <c r="ASY706" s="5"/>
      <c r="ASZ706" s="5"/>
      <c r="ATA706" s="5"/>
      <c r="ATB706" s="5"/>
      <c r="ATC706" s="5"/>
      <c r="ATD706" s="5"/>
      <c r="ATE706" s="5"/>
      <c r="ATF706" s="5"/>
      <c r="ATG706" s="5"/>
      <c r="ATH706" s="5"/>
      <c r="ATI706" s="5"/>
      <c r="ATJ706" s="5"/>
      <c r="ATK706" s="5"/>
      <c r="ATL706" s="5"/>
      <c r="ATM706" s="5"/>
      <c r="ATN706" s="5"/>
      <c r="ATO706" s="5"/>
      <c r="ATP706" s="5"/>
      <c r="ATQ706" s="5"/>
      <c r="ATR706" s="5"/>
      <c r="ATS706" s="5"/>
      <c r="ATT706" s="5"/>
      <c r="ATU706" s="5"/>
      <c r="ATV706" s="5"/>
      <c r="ATW706" s="5"/>
      <c r="ATX706" s="5"/>
    </row>
    <row r="707" spans="1:1220" s="67" customFormat="1" ht="12.75" customHeight="1" x14ac:dyDescent="0.35">
      <c r="A707" s="76" t="s">
        <v>229</v>
      </c>
      <c r="B707" s="99" t="s">
        <v>153</v>
      </c>
      <c r="C707" s="76" t="s">
        <v>2607</v>
      </c>
      <c r="D707" s="142" t="s">
        <v>2607</v>
      </c>
      <c r="E707" s="76"/>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c r="DS707" s="5"/>
      <c r="DT707" s="5"/>
      <c r="DU707" s="5"/>
      <c r="DV707" s="5"/>
      <c r="DW707" s="5"/>
      <c r="DX707" s="5"/>
      <c r="DY707" s="5"/>
      <c r="DZ707" s="5"/>
      <c r="EA707" s="5"/>
      <c r="EB707" s="5"/>
      <c r="EC707" s="5"/>
      <c r="ED707" s="5"/>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s="5"/>
      <c r="FG707" s="5"/>
      <c r="FH707" s="5"/>
      <c r="FI707" s="5"/>
      <c r="FJ707" s="5"/>
      <c r="FK707" s="5"/>
      <c r="FL707" s="5"/>
      <c r="FM707" s="5"/>
      <c r="FN707" s="5"/>
      <c r="FO707" s="5"/>
      <c r="FP707" s="5"/>
      <c r="FQ707" s="5"/>
      <c r="FR707" s="5"/>
      <c r="FS707" s="5"/>
      <c r="FT707" s="5"/>
      <c r="FU707" s="5"/>
      <c r="FV707" s="5"/>
      <c r="FW707" s="5"/>
      <c r="FX707" s="5"/>
      <c r="FY707" s="5"/>
      <c r="FZ707" s="5"/>
      <c r="GA707" s="5"/>
      <c r="GB707" s="5"/>
      <c r="GC707" s="5"/>
      <c r="GD707" s="5"/>
      <c r="GE707" s="5"/>
      <c r="GF707" s="5"/>
      <c r="GG707" s="5"/>
      <c r="GH707" s="5"/>
      <c r="GI707" s="5"/>
      <c r="GJ707" s="5"/>
      <c r="GK707" s="5"/>
      <c r="GL707" s="5"/>
      <c r="GM707" s="5"/>
      <c r="GN707" s="5"/>
      <c r="GO707" s="5"/>
      <c r="GP707" s="5"/>
      <c r="GQ707" s="5"/>
      <c r="GR707" s="5"/>
      <c r="GS707" s="5"/>
      <c r="GT707" s="5"/>
      <c r="GU707" s="5"/>
      <c r="GV707" s="5"/>
      <c r="GW707" s="5"/>
      <c r="GX707" s="5"/>
      <c r="GY707" s="5"/>
      <c r="GZ707" s="5"/>
      <c r="HA707" s="5"/>
      <c r="HB707" s="5"/>
      <c r="HC707" s="5"/>
      <c r="HD707" s="5"/>
      <c r="HE707" s="5"/>
      <c r="HF707" s="5"/>
      <c r="HG707" s="5"/>
      <c r="HH707" s="5"/>
      <c r="HI707" s="5"/>
      <c r="HJ707" s="5"/>
      <c r="HK707" s="5"/>
      <c r="HL707" s="5"/>
      <c r="HM707" s="5"/>
      <c r="HN707" s="5"/>
      <c r="HO707" s="5"/>
      <c r="HP707" s="5"/>
      <c r="HQ707" s="5"/>
      <c r="HR707" s="5"/>
      <c r="HS707" s="5"/>
      <c r="HT707" s="5"/>
      <c r="HU707" s="5"/>
      <c r="HV707" s="5"/>
      <c r="HW707" s="5"/>
      <c r="HX707" s="5"/>
      <c r="HY707" s="5"/>
      <c r="HZ707" s="5"/>
      <c r="IA707" s="5"/>
      <c r="IB707" s="5"/>
      <c r="IC707" s="5"/>
      <c r="ID707" s="5"/>
      <c r="IE707" s="5"/>
      <c r="IF707" s="5"/>
      <c r="IG707" s="5"/>
      <c r="IH707" s="5"/>
      <c r="II707" s="5"/>
      <c r="IJ707" s="5"/>
      <c r="IK707" s="5"/>
      <c r="IL707" s="5"/>
      <c r="IM707" s="5"/>
      <c r="IN707" s="5"/>
      <c r="IO707" s="5"/>
      <c r="IP707" s="5"/>
      <c r="IQ707" s="5"/>
      <c r="IR707" s="5"/>
      <c r="IS707" s="5"/>
      <c r="IT707" s="5"/>
      <c r="IU707" s="5"/>
      <c r="IV707" s="5"/>
      <c r="IW707" s="5"/>
      <c r="IX707" s="5"/>
      <c r="IY707" s="5"/>
      <c r="IZ707" s="5"/>
      <c r="JA707" s="5"/>
      <c r="JB707" s="5"/>
      <c r="JC707" s="5"/>
      <c r="JD707" s="5"/>
      <c r="JE707" s="5"/>
      <c r="JF707" s="5"/>
      <c r="JG707" s="5"/>
      <c r="JH707" s="5"/>
      <c r="JI707" s="5"/>
      <c r="JJ707" s="5"/>
      <c r="JK707" s="5"/>
      <c r="JL707" s="5"/>
      <c r="JM707" s="5"/>
      <c r="JN707" s="5"/>
      <c r="JO707" s="5"/>
      <c r="JP707" s="5"/>
      <c r="JQ707" s="5"/>
      <c r="JR707" s="5"/>
      <c r="JS707" s="5"/>
      <c r="JT707" s="5"/>
      <c r="JU707" s="5"/>
      <c r="JV707" s="5"/>
      <c r="JW707" s="5"/>
      <c r="JX707" s="5"/>
      <c r="JY707" s="5"/>
      <c r="JZ707" s="5"/>
      <c r="KA707" s="5"/>
      <c r="KB707" s="5"/>
      <c r="KC707" s="5"/>
      <c r="KD707" s="5"/>
      <c r="KE707" s="5"/>
      <c r="KF707" s="5"/>
      <c r="KG707" s="5"/>
      <c r="KH707" s="5"/>
      <c r="KI707" s="5"/>
      <c r="KJ707" s="5"/>
      <c r="KK707" s="5"/>
      <c r="KL707" s="5"/>
      <c r="KM707" s="5"/>
      <c r="KN707" s="5"/>
      <c r="KO707" s="5"/>
      <c r="KP707" s="5"/>
      <c r="KQ707" s="5"/>
      <c r="KR707" s="5"/>
      <c r="KS707" s="5"/>
      <c r="KT707" s="5"/>
      <c r="KU707" s="5"/>
      <c r="KV707" s="5"/>
      <c r="KW707" s="5"/>
      <c r="KX707" s="5"/>
      <c r="KY707" s="5"/>
      <c r="KZ707" s="5"/>
      <c r="LA707" s="5"/>
      <c r="LB707" s="5"/>
      <c r="LC707" s="5"/>
      <c r="LD707" s="5"/>
      <c r="LE707" s="5"/>
      <c r="LF707" s="5"/>
      <c r="LG707" s="5"/>
      <c r="LH707" s="5"/>
      <c r="LI707" s="5"/>
      <c r="LJ707" s="5"/>
      <c r="LK707" s="5"/>
      <c r="LL707" s="5"/>
      <c r="LM707" s="5"/>
      <c r="LN707" s="5"/>
      <c r="LO707" s="5"/>
      <c r="LP707" s="5"/>
      <c r="LQ707" s="5"/>
      <c r="LR707" s="5"/>
      <c r="LS707" s="5"/>
      <c r="LT707" s="5"/>
      <c r="LU707" s="5"/>
      <c r="LV707" s="5"/>
      <c r="LW707" s="5"/>
      <c r="LX707" s="5"/>
      <c r="LY707" s="5"/>
      <c r="LZ707" s="5"/>
      <c r="MA707" s="5"/>
      <c r="MB707" s="5"/>
      <c r="MC707" s="5"/>
      <c r="MD707" s="5"/>
      <c r="ME707" s="5"/>
      <c r="MF707" s="5"/>
      <c r="MG707" s="5"/>
      <c r="MH707" s="5"/>
      <c r="MI707" s="5"/>
      <c r="MJ707" s="5"/>
      <c r="MK707" s="5"/>
      <c r="ML707" s="5"/>
      <c r="MM707" s="5"/>
      <c r="MN707" s="5"/>
      <c r="MO707" s="5"/>
      <c r="MP707" s="5"/>
      <c r="MQ707" s="5"/>
      <c r="MR707" s="5"/>
      <c r="MS707" s="5"/>
      <c r="MT707" s="5"/>
      <c r="MU707" s="5"/>
      <c r="MV707" s="5"/>
      <c r="MW707" s="5"/>
      <c r="MX707" s="5"/>
      <c r="MY707" s="5"/>
      <c r="MZ707" s="5"/>
      <c r="NA707" s="5"/>
      <c r="NB707" s="5"/>
      <c r="NC707" s="5"/>
      <c r="ND707" s="5"/>
      <c r="NE707" s="5"/>
      <c r="NF707" s="5"/>
      <c r="NG707" s="5"/>
      <c r="NH707" s="5"/>
      <c r="NI707" s="5"/>
      <c r="NJ707" s="5"/>
      <c r="NK707" s="5"/>
      <c r="NL707" s="5"/>
      <c r="NM707" s="5"/>
      <c r="NN707" s="5"/>
      <c r="NO707" s="5"/>
      <c r="NP707" s="5"/>
      <c r="NQ707" s="5"/>
      <c r="NR707" s="5"/>
      <c r="NS707" s="5"/>
      <c r="NT707" s="5"/>
      <c r="NU707" s="5"/>
      <c r="NV707" s="5"/>
      <c r="NW707" s="5"/>
      <c r="NX707" s="5"/>
      <c r="NY707" s="5"/>
      <c r="NZ707" s="5"/>
      <c r="OA707" s="5"/>
      <c r="OB707" s="5"/>
      <c r="OC707" s="5"/>
      <c r="OD707" s="5"/>
      <c r="OE707" s="5"/>
      <c r="OF707" s="5"/>
      <c r="OG707" s="5"/>
      <c r="OH707" s="5"/>
      <c r="OI707" s="5"/>
      <c r="OJ707" s="5"/>
      <c r="OK707" s="5"/>
      <c r="OL707" s="5"/>
      <c r="OM707" s="5"/>
      <c r="ON707" s="5"/>
      <c r="OO707" s="5"/>
      <c r="OP707" s="5"/>
      <c r="OQ707" s="5"/>
      <c r="OR707" s="5"/>
      <c r="OS707" s="5"/>
      <c r="OT707" s="5"/>
      <c r="OU707" s="5"/>
      <c r="OV707" s="5"/>
      <c r="OW707" s="5"/>
      <c r="OX707" s="5"/>
      <c r="OY707" s="5"/>
      <c r="OZ707" s="5"/>
      <c r="PA707" s="5"/>
      <c r="PB707" s="5"/>
      <c r="PC707" s="5"/>
      <c r="PD707" s="5"/>
      <c r="PE707" s="5"/>
      <c r="PF707" s="5"/>
      <c r="PG707" s="5"/>
      <c r="PH707" s="5"/>
      <c r="PI707" s="5"/>
      <c r="PJ707" s="5"/>
      <c r="PK707" s="5"/>
      <c r="PL707" s="5"/>
      <c r="PM707" s="5"/>
      <c r="PN707" s="5"/>
      <c r="PO707" s="5"/>
      <c r="PP707" s="5"/>
      <c r="PQ707" s="5"/>
      <c r="PR707" s="5"/>
      <c r="PS707" s="5"/>
      <c r="PT707" s="5"/>
      <c r="PU707" s="5"/>
      <c r="PV707" s="5"/>
      <c r="PW707" s="5"/>
      <c r="PX707" s="5"/>
      <c r="PY707" s="5"/>
      <c r="PZ707" s="5"/>
      <c r="QA707" s="5"/>
      <c r="QB707" s="5"/>
      <c r="QC707" s="5"/>
      <c r="QD707" s="5"/>
      <c r="QE707" s="5"/>
      <c r="QF707" s="5"/>
      <c r="QG707" s="5"/>
      <c r="QH707" s="5"/>
      <c r="QI707" s="5"/>
      <c r="QJ707" s="5"/>
      <c r="QK707" s="5"/>
      <c r="QL707" s="5"/>
      <c r="QM707" s="5"/>
      <c r="QN707" s="5"/>
      <c r="QO707" s="5"/>
      <c r="QP707" s="5"/>
      <c r="QQ707" s="5"/>
      <c r="QR707" s="5"/>
      <c r="QS707" s="5"/>
      <c r="QT707" s="5"/>
      <c r="QU707" s="5"/>
      <c r="QV707" s="5"/>
      <c r="QW707" s="5"/>
      <c r="QX707" s="5"/>
      <c r="QY707" s="5"/>
      <c r="QZ707" s="5"/>
      <c r="RA707" s="5"/>
      <c r="RB707" s="5"/>
      <c r="RC707" s="5"/>
      <c r="RD707" s="5"/>
      <c r="RE707" s="5"/>
      <c r="RF707" s="5"/>
      <c r="RG707" s="5"/>
      <c r="RH707" s="5"/>
      <c r="RI707" s="5"/>
      <c r="RJ707" s="5"/>
      <c r="RK707" s="5"/>
      <c r="RL707" s="5"/>
      <c r="RM707" s="5"/>
      <c r="RN707" s="5"/>
      <c r="RO707" s="5"/>
      <c r="RP707" s="5"/>
      <c r="RQ707" s="5"/>
      <c r="RR707" s="5"/>
      <c r="RS707" s="5"/>
      <c r="RT707" s="5"/>
      <c r="RU707" s="5"/>
      <c r="RV707" s="5"/>
      <c r="RW707" s="5"/>
      <c r="RX707" s="5"/>
      <c r="RY707" s="5"/>
      <c r="RZ707" s="5"/>
      <c r="SA707" s="5"/>
      <c r="SB707" s="5"/>
      <c r="SC707" s="5"/>
      <c r="SD707" s="5"/>
      <c r="SE707" s="5"/>
      <c r="SF707" s="5"/>
      <c r="SG707" s="5"/>
      <c r="SH707" s="5"/>
      <c r="SI707" s="5"/>
      <c r="SJ707" s="5"/>
      <c r="SK707" s="5"/>
      <c r="SL707" s="5"/>
      <c r="SM707" s="5"/>
      <c r="SN707" s="5"/>
      <c r="SO707" s="5"/>
      <c r="SP707" s="5"/>
      <c r="SQ707" s="5"/>
      <c r="SR707" s="5"/>
      <c r="SS707" s="5"/>
      <c r="ST707" s="5"/>
      <c r="SU707" s="5"/>
      <c r="SV707" s="5"/>
      <c r="SW707" s="5"/>
      <c r="SX707" s="5"/>
      <c r="SY707" s="5"/>
      <c r="SZ707" s="5"/>
      <c r="TA707" s="5"/>
      <c r="TB707" s="5"/>
      <c r="TC707" s="5"/>
      <c r="TD707" s="5"/>
      <c r="TE707" s="5"/>
      <c r="TF707" s="5"/>
      <c r="TG707" s="5"/>
      <c r="TH707" s="5"/>
      <c r="TI707" s="5"/>
      <c r="TJ707" s="5"/>
      <c r="TK707" s="5"/>
      <c r="TL707" s="5"/>
      <c r="TM707" s="5"/>
      <c r="TN707" s="5"/>
      <c r="TO707" s="5"/>
      <c r="TP707" s="5"/>
      <c r="TQ707" s="5"/>
      <c r="TR707" s="5"/>
      <c r="TS707" s="5"/>
      <c r="TT707" s="5"/>
      <c r="TU707" s="5"/>
      <c r="TV707" s="5"/>
      <c r="TW707" s="5"/>
      <c r="TX707" s="5"/>
      <c r="TY707" s="5"/>
      <c r="TZ707" s="5"/>
      <c r="UA707" s="5"/>
      <c r="UB707" s="5"/>
      <c r="UC707" s="5"/>
      <c r="UD707" s="5"/>
      <c r="UE707" s="5"/>
      <c r="UF707" s="5"/>
      <c r="UG707" s="5"/>
      <c r="UH707" s="5"/>
      <c r="UI707" s="5"/>
      <c r="UJ707" s="5"/>
      <c r="UK707" s="5"/>
      <c r="UL707" s="5"/>
      <c r="UM707" s="5"/>
      <c r="UN707" s="5"/>
      <c r="UO707" s="5"/>
      <c r="UP707" s="5"/>
      <c r="UQ707" s="5"/>
      <c r="UR707" s="5"/>
      <c r="US707" s="5"/>
      <c r="UT707" s="5"/>
      <c r="UU707" s="5"/>
      <c r="UV707" s="5"/>
      <c r="UW707" s="5"/>
      <c r="UX707" s="5"/>
      <c r="UY707" s="5"/>
      <c r="UZ707" s="5"/>
      <c r="VA707" s="5"/>
      <c r="VB707" s="5"/>
      <c r="VC707" s="5"/>
      <c r="VD707" s="5"/>
      <c r="VE707" s="5"/>
      <c r="VF707" s="5"/>
      <c r="VG707" s="5"/>
      <c r="VH707" s="5"/>
      <c r="VI707" s="5"/>
      <c r="VJ707" s="5"/>
      <c r="VK707" s="5"/>
      <c r="VL707" s="5"/>
      <c r="VM707" s="5"/>
      <c r="VN707" s="5"/>
      <c r="VO707" s="5"/>
      <c r="VP707" s="5"/>
      <c r="VQ707" s="5"/>
      <c r="VR707" s="5"/>
      <c r="VS707" s="5"/>
      <c r="VT707" s="5"/>
      <c r="VU707" s="5"/>
      <c r="VV707" s="5"/>
      <c r="VW707" s="5"/>
      <c r="VX707" s="5"/>
      <c r="VY707" s="5"/>
      <c r="VZ707" s="5"/>
      <c r="WA707" s="5"/>
      <c r="WB707" s="5"/>
      <c r="WC707" s="5"/>
      <c r="WD707" s="5"/>
      <c r="WE707" s="5"/>
      <c r="WF707" s="5"/>
      <c r="WG707" s="5"/>
      <c r="WH707" s="5"/>
      <c r="WI707" s="5"/>
      <c r="WJ707" s="5"/>
      <c r="WK707" s="5"/>
      <c r="WL707" s="5"/>
      <c r="WM707" s="5"/>
      <c r="WN707" s="5"/>
      <c r="WO707" s="5"/>
      <c r="WP707" s="5"/>
      <c r="WQ707" s="5"/>
      <c r="WR707" s="5"/>
      <c r="WS707" s="5"/>
      <c r="WT707" s="5"/>
      <c r="WU707" s="5"/>
      <c r="WV707" s="5"/>
      <c r="WW707" s="5"/>
      <c r="WX707" s="5"/>
      <c r="WY707" s="5"/>
      <c r="WZ707" s="5"/>
      <c r="XA707" s="5"/>
      <c r="XB707" s="5"/>
      <c r="XC707" s="5"/>
      <c r="XD707" s="5"/>
      <c r="XE707" s="5"/>
      <c r="XF707" s="5"/>
      <c r="XG707" s="5"/>
      <c r="XH707" s="5"/>
      <c r="XI707" s="5"/>
      <c r="XJ707" s="5"/>
      <c r="XK707" s="5"/>
      <c r="XL707" s="5"/>
      <c r="XM707" s="5"/>
      <c r="XN707" s="5"/>
      <c r="XO707" s="5"/>
      <c r="XP707" s="5"/>
      <c r="XQ707" s="5"/>
      <c r="XR707" s="5"/>
      <c r="XS707" s="5"/>
      <c r="XT707" s="5"/>
      <c r="XU707" s="5"/>
      <c r="XV707" s="5"/>
      <c r="XW707" s="5"/>
      <c r="XX707" s="5"/>
      <c r="XY707" s="5"/>
      <c r="XZ707" s="5"/>
      <c r="YA707" s="5"/>
      <c r="YB707" s="5"/>
      <c r="YC707" s="5"/>
      <c r="YD707" s="5"/>
      <c r="YE707" s="5"/>
      <c r="YF707" s="5"/>
      <c r="YG707" s="5"/>
      <c r="YH707" s="5"/>
      <c r="YI707" s="5"/>
      <c r="YJ707" s="5"/>
      <c r="YK707" s="5"/>
      <c r="YL707" s="5"/>
      <c r="YM707" s="5"/>
      <c r="YN707" s="5"/>
      <c r="YO707" s="5"/>
      <c r="YP707" s="5"/>
      <c r="YQ707" s="5"/>
      <c r="YR707" s="5"/>
      <c r="YS707" s="5"/>
      <c r="YT707" s="5"/>
      <c r="YU707" s="5"/>
      <c r="YV707" s="5"/>
      <c r="YW707" s="5"/>
      <c r="YX707" s="5"/>
      <c r="YY707" s="5"/>
      <c r="YZ707" s="5"/>
      <c r="ZA707" s="5"/>
      <c r="ZB707" s="5"/>
      <c r="ZC707" s="5"/>
      <c r="ZD707" s="5"/>
      <c r="ZE707" s="5"/>
      <c r="ZF707" s="5"/>
      <c r="ZG707" s="5"/>
      <c r="ZH707" s="5"/>
      <c r="ZI707" s="5"/>
      <c r="ZJ707" s="5"/>
      <c r="ZK707" s="5"/>
      <c r="ZL707" s="5"/>
      <c r="ZM707" s="5"/>
      <c r="ZN707" s="5"/>
      <c r="ZO707" s="5"/>
      <c r="ZP707" s="5"/>
      <c r="ZQ707" s="5"/>
      <c r="ZR707" s="5"/>
      <c r="ZS707" s="5"/>
      <c r="ZT707" s="5"/>
      <c r="ZU707" s="5"/>
      <c r="ZV707" s="5"/>
      <c r="ZW707" s="5"/>
      <c r="ZX707" s="5"/>
      <c r="ZY707" s="5"/>
      <c r="ZZ707" s="5"/>
      <c r="AAA707" s="5"/>
      <c r="AAB707" s="5"/>
      <c r="AAC707" s="5"/>
      <c r="AAD707" s="5"/>
      <c r="AAE707" s="5"/>
      <c r="AAF707" s="5"/>
      <c r="AAG707" s="5"/>
      <c r="AAH707" s="5"/>
      <c r="AAI707" s="5"/>
      <c r="AAJ707" s="5"/>
      <c r="AAK707" s="5"/>
      <c r="AAL707" s="5"/>
      <c r="AAM707" s="5"/>
      <c r="AAN707" s="5"/>
      <c r="AAO707" s="5"/>
      <c r="AAP707" s="5"/>
      <c r="AAQ707" s="5"/>
      <c r="AAR707" s="5"/>
      <c r="AAS707" s="5"/>
      <c r="AAT707" s="5"/>
      <c r="AAU707" s="5"/>
      <c r="AAV707" s="5"/>
      <c r="AAW707" s="5"/>
      <c r="AAX707" s="5"/>
      <c r="AAY707" s="5"/>
      <c r="AAZ707" s="5"/>
      <c r="ABA707" s="5"/>
      <c r="ABB707" s="5"/>
      <c r="ABC707" s="5"/>
      <c r="ABD707" s="5"/>
      <c r="ABE707" s="5"/>
      <c r="ABF707" s="5"/>
      <c r="ABG707" s="5"/>
      <c r="ABH707" s="5"/>
      <c r="ABI707" s="5"/>
      <c r="ABJ707" s="5"/>
      <c r="ABK707" s="5"/>
      <c r="ABL707" s="5"/>
      <c r="ABM707" s="5"/>
      <c r="ABN707" s="5"/>
      <c r="ABO707" s="5"/>
      <c r="ABP707" s="5"/>
      <c r="ABQ707" s="5"/>
      <c r="ABR707" s="5"/>
      <c r="ABS707" s="5"/>
      <c r="ABT707" s="5"/>
      <c r="ABU707" s="5"/>
      <c r="ABV707" s="5"/>
      <c r="ABW707" s="5"/>
      <c r="ABX707" s="5"/>
      <c r="ABY707" s="5"/>
      <c r="ABZ707" s="5"/>
      <c r="ACA707" s="5"/>
      <c r="ACB707" s="5"/>
      <c r="ACC707" s="5"/>
      <c r="ACD707" s="5"/>
      <c r="ACE707" s="5"/>
      <c r="ACF707" s="5"/>
      <c r="ACG707" s="5"/>
      <c r="ACH707" s="5"/>
      <c r="ACI707" s="5"/>
      <c r="ACJ707" s="5"/>
      <c r="ACK707" s="5"/>
      <c r="ACL707" s="5"/>
      <c r="ACM707" s="5"/>
      <c r="ACN707" s="5"/>
      <c r="ACO707" s="5"/>
      <c r="ACP707" s="5"/>
      <c r="ACQ707" s="5"/>
      <c r="ACR707" s="5"/>
      <c r="ACS707" s="5"/>
      <c r="ACT707" s="5"/>
      <c r="ACU707" s="5"/>
      <c r="ACV707" s="5"/>
      <c r="ACW707" s="5"/>
      <c r="ACX707" s="5"/>
      <c r="ACY707" s="5"/>
      <c r="ACZ707" s="5"/>
      <c r="ADA707" s="5"/>
      <c r="ADB707" s="5"/>
      <c r="ADC707" s="5"/>
      <c r="ADD707" s="5"/>
      <c r="ADE707" s="5"/>
      <c r="ADF707" s="5"/>
      <c r="ADG707" s="5"/>
      <c r="ADH707" s="5"/>
      <c r="ADI707" s="5"/>
      <c r="ADJ707" s="5"/>
      <c r="ADK707" s="5"/>
      <c r="ADL707" s="5"/>
      <c r="ADM707" s="5"/>
      <c r="ADN707" s="5"/>
      <c r="ADO707" s="5"/>
      <c r="ADP707" s="5"/>
      <c r="ADQ707" s="5"/>
      <c r="ADR707" s="5"/>
      <c r="ADS707" s="5"/>
      <c r="ADT707" s="5"/>
      <c r="ADU707" s="5"/>
      <c r="ADV707" s="5"/>
      <c r="ADW707" s="5"/>
      <c r="ADX707" s="5"/>
      <c r="ADY707" s="5"/>
      <c r="ADZ707" s="5"/>
      <c r="AEA707" s="5"/>
      <c r="AEB707" s="5"/>
      <c r="AEC707" s="5"/>
      <c r="AED707" s="5"/>
      <c r="AEE707" s="5"/>
      <c r="AEF707" s="5"/>
      <c r="AEG707" s="5"/>
      <c r="AEH707" s="5"/>
      <c r="AEI707" s="5"/>
      <c r="AEJ707" s="5"/>
      <c r="AEK707" s="5"/>
      <c r="AEL707" s="5"/>
      <c r="AEM707" s="5"/>
      <c r="AEN707" s="5"/>
      <c r="AEO707" s="5"/>
      <c r="AEP707" s="5"/>
      <c r="AEQ707" s="5"/>
      <c r="AER707" s="5"/>
      <c r="AES707" s="5"/>
      <c r="AET707" s="5"/>
      <c r="AEU707" s="5"/>
      <c r="AEV707" s="5"/>
      <c r="AEW707" s="5"/>
      <c r="AEX707" s="5"/>
      <c r="AEY707" s="5"/>
      <c r="AEZ707" s="5"/>
      <c r="AFA707" s="5"/>
      <c r="AFB707" s="5"/>
      <c r="AFC707" s="5"/>
      <c r="AFD707" s="5"/>
      <c r="AFE707" s="5"/>
      <c r="AFF707" s="5"/>
      <c r="AFG707" s="5"/>
      <c r="AFH707" s="5"/>
      <c r="AFI707" s="5"/>
      <c r="AFJ707" s="5"/>
      <c r="AFK707" s="5"/>
      <c r="AFL707" s="5"/>
      <c r="AFM707" s="5"/>
      <c r="AFN707" s="5"/>
      <c r="AFO707" s="5"/>
      <c r="AFP707" s="5"/>
      <c r="AFQ707" s="5"/>
      <c r="AFR707" s="5"/>
      <c r="AFS707" s="5"/>
      <c r="AFT707" s="5"/>
      <c r="AFU707" s="5"/>
      <c r="AFV707" s="5"/>
      <c r="AFW707" s="5"/>
      <c r="AFX707" s="5"/>
      <c r="AFY707" s="5"/>
      <c r="AFZ707" s="5"/>
      <c r="AGA707" s="5"/>
      <c r="AGB707" s="5"/>
      <c r="AGC707" s="5"/>
      <c r="AGD707" s="5"/>
      <c r="AGE707" s="5"/>
      <c r="AGF707" s="5"/>
      <c r="AGG707" s="5"/>
      <c r="AGH707" s="5"/>
      <c r="AGI707" s="5"/>
      <c r="AGJ707" s="5"/>
      <c r="AGK707" s="5"/>
      <c r="AGL707" s="5"/>
      <c r="AGM707" s="5"/>
      <c r="AGN707" s="5"/>
      <c r="AGO707" s="5"/>
      <c r="AGP707" s="5"/>
      <c r="AGQ707" s="5"/>
      <c r="AGR707" s="5"/>
      <c r="AGS707" s="5"/>
      <c r="AGT707" s="5"/>
      <c r="AGU707" s="5"/>
      <c r="AGV707" s="5"/>
      <c r="AGW707" s="5"/>
      <c r="AGX707" s="5"/>
      <c r="AGY707" s="5"/>
      <c r="AGZ707" s="5"/>
      <c r="AHA707" s="5"/>
      <c r="AHB707" s="5"/>
      <c r="AHC707" s="5"/>
      <c r="AHD707" s="5"/>
      <c r="AHE707" s="5"/>
      <c r="AHF707" s="5"/>
      <c r="AHG707" s="5"/>
      <c r="AHH707" s="5"/>
      <c r="AHI707" s="5"/>
      <c r="AHJ707" s="5"/>
      <c r="AHK707" s="5"/>
      <c r="AHL707" s="5"/>
      <c r="AHM707" s="5"/>
      <c r="AHN707" s="5"/>
      <c r="AHO707" s="5"/>
      <c r="AHP707" s="5"/>
      <c r="AHQ707" s="5"/>
      <c r="AHR707" s="5"/>
      <c r="AHS707" s="5"/>
      <c r="AHT707" s="5"/>
      <c r="AHU707" s="5"/>
      <c r="AHV707" s="5"/>
      <c r="AHW707" s="5"/>
      <c r="AHX707" s="5"/>
      <c r="AHY707" s="5"/>
      <c r="AHZ707" s="5"/>
      <c r="AIA707" s="5"/>
      <c r="AIB707" s="5"/>
      <c r="AIC707" s="5"/>
      <c r="AID707" s="5"/>
      <c r="AIE707" s="5"/>
      <c r="AIF707" s="5"/>
      <c r="AIG707" s="5"/>
      <c r="AIH707" s="5"/>
      <c r="AII707" s="5"/>
      <c r="AIJ707" s="5"/>
      <c r="AIK707" s="5"/>
      <c r="AIL707" s="5"/>
      <c r="AIM707" s="5"/>
      <c r="AIN707" s="5"/>
      <c r="AIO707" s="5"/>
      <c r="AIP707" s="5"/>
      <c r="AIQ707" s="5"/>
      <c r="AIR707" s="5"/>
      <c r="AIS707" s="5"/>
      <c r="AIT707" s="5"/>
      <c r="AIU707" s="5"/>
      <c r="AIV707" s="5"/>
      <c r="AIW707" s="5"/>
      <c r="AIX707" s="5"/>
      <c r="AIY707" s="5"/>
      <c r="AIZ707" s="5"/>
      <c r="AJA707" s="5"/>
      <c r="AJB707" s="5"/>
      <c r="AJC707" s="5"/>
      <c r="AJD707" s="5"/>
      <c r="AJE707" s="5"/>
      <c r="AJF707" s="5"/>
      <c r="AJG707" s="5"/>
      <c r="AJH707" s="5"/>
      <c r="AJI707" s="5"/>
      <c r="AJJ707" s="5"/>
      <c r="AJK707" s="5"/>
      <c r="AJL707" s="5"/>
      <c r="AJM707" s="5"/>
      <c r="AJN707" s="5"/>
      <c r="AJO707" s="5"/>
      <c r="AJP707" s="5"/>
      <c r="AJQ707" s="5"/>
      <c r="AJR707" s="5"/>
      <c r="AJS707" s="5"/>
      <c r="AJT707" s="5"/>
      <c r="AJU707" s="5"/>
      <c r="AJV707" s="5"/>
      <c r="AJW707" s="5"/>
      <c r="AJX707" s="5"/>
      <c r="AJY707" s="5"/>
      <c r="AJZ707" s="5"/>
      <c r="AKA707" s="5"/>
      <c r="AKB707" s="5"/>
      <c r="AKC707" s="5"/>
      <c r="AKD707" s="5"/>
      <c r="AKE707" s="5"/>
      <c r="AKF707" s="5"/>
      <c r="AKG707" s="5"/>
      <c r="AKH707" s="5"/>
      <c r="AKI707" s="5"/>
      <c r="AKJ707" s="5"/>
      <c r="AKK707" s="5"/>
      <c r="AKL707" s="5"/>
      <c r="AKM707" s="5"/>
      <c r="AKN707" s="5"/>
      <c r="AKO707" s="5"/>
      <c r="AKP707" s="5"/>
      <c r="AKQ707" s="5"/>
      <c r="AKR707" s="5"/>
      <c r="AKS707" s="5"/>
      <c r="AKT707" s="5"/>
      <c r="AKU707" s="5"/>
      <c r="AKV707" s="5"/>
      <c r="AKW707" s="5"/>
      <c r="AKX707" s="5"/>
      <c r="AKY707" s="5"/>
      <c r="AKZ707" s="5"/>
      <c r="ALA707" s="5"/>
      <c r="ALB707" s="5"/>
      <c r="ALC707" s="5"/>
      <c r="ALD707" s="5"/>
      <c r="ALE707" s="5"/>
      <c r="ALF707" s="5"/>
      <c r="ALG707" s="5"/>
      <c r="ALH707" s="5"/>
      <c r="ALI707" s="5"/>
      <c r="ALJ707" s="5"/>
      <c r="ALK707" s="5"/>
      <c r="ALL707" s="5"/>
      <c r="ALM707" s="5"/>
      <c r="ALN707" s="5"/>
      <c r="ALO707" s="5"/>
      <c r="ALP707" s="5"/>
      <c r="ALQ707" s="5"/>
      <c r="ALR707" s="5"/>
      <c r="ALS707" s="5"/>
      <c r="ALT707" s="5"/>
      <c r="ALU707" s="5"/>
      <c r="ALV707" s="5"/>
      <c r="ALW707" s="5"/>
      <c r="ALX707" s="5"/>
      <c r="ALY707" s="5"/>
      <c r="ALZ707" s="5"/>
      <c r="AMA707" s="5"/>
      <c r="AMB707" s="5"/>
      <c r="AMC707" s="5"/>
      <c r="AMD707" s="5"/>
      <c r="AME707" s="5"/>
      <c r="AMF707" s="5"/>
      <c r="AMG707" s="5"/>
      <c r="AMH707" s="5"/>
      <c r="AMI707" s="5"/>
      <c r="AMJ707" s="5"/>
      <c r="AMK707" s="5"/>
      <c r="AML707" s="5"/>
      <c r="AMM707" s="5"/>
      <c r="AMN707" s="5"/>
      <c r="AMO707" s="5"/>
      <c r="AMP707" s="5"/>
      <c r="AMQ707" s="5"/>
      <c r="AMR707" s="5"/>
      <c r="AMS707" s="5"/>
      <c r="AMT707" s="5"/>
      <c r="AMU707" s="5"/>
      <c r="AMV707" s="5"/>
      <c r="AMW707" s="5"/>
      <c r="AMX707" s="5"/>
      <c r="AMY707" s="5"/>
      <c r="AMZ707" s="5"/>
      <c r="ANA707" s="5"/>
      <c r="ANB707" s="5"/>
      <c r="ANC707" s="5"/>
      <c r="AND707" s="5"/>
      <c r="ANE707" s="5"/>
      <c r="ANF707" s="5"/>
      <c r="ANG707" s="5"/>
      <c r="ANH707" s="5"/>
      <c r="ANI707" s="5"/>
      <c r="ANJ707" s="5"/>
      <c r="ANK707" s="5"/>
      <c r="ANL707" s="5"/>
      <c r="ANM707" s="5"/>
      <c r="ANN707" s="5"/>
      <c r="ANO707" s="5"/>
      <c r="ANP707" s="5"/>
      <c r="ANQ707" s="5"/>
      <c r="ANR707" s="5"/>
      <c r="ANS707" s="5"/>
      <c r="ANT707" s="5"/>
      <c r="ANU707" s="5"/>
      <c r="ANV707" s="5"/>
      <c r="ANW707" s="5"/>
      <c r="ANX707" s="5"/>
      <c r="ANY707" s="5"/>
      <c r="ANZ707" s="5"/>
      <c r="AOA707" s="5"/>
      <c r="AOB707" s="5"/>
      <c r="AOC707" s="5"/>
      <c r="AOD707" s="5"/>
      <c r="AOE707" s="5"/>
      <c r="AOF707" s="5"/>
      <c r="AOG707" s="5"/>
      <c r="AOH707" s="5"/>
      <c r="AOI707" s="5"/>
      <c r="AOJ707" s="5"/>
      <c r="AOK707" s="5"/>
      <c r="AOL707" s="5"/>
      <c r="AOM707" s="5"/>
      <c r="AON707" s="5"/>
      <c r="AOO707" s="5"/>
      <c r="AOP707" s="5"/>
      <c r="AOQ707" s="5"/>
      <c r="AOR707" s="5"/>
      <c r="AOS707" s="5"/>
      <c r="AOT707" s="5"/>
      <c r="AOU707" s="5"/>
      <c r="AOV707" s="5"/>
      <c r="AOW707" s="5"/>
      <c r="AOX707" s="5"/>
      <c r="AOY707" s="5"/>
      <c r="AOZ707" s="5"/>
      <c r="APA707" s="5"/>
      <c r="APB707" s="5"/>
      <c r="APC707" s="5"/>
      <c r="APD707" s="5"/>
      <c r="APE707" s="5"/>
      <c r="APF707" s="5"/>
      <c r="APG707" s="5"/>
      <c r="APH707" s="5"/>
      <c r="API707" s="5"/>
      <c r="APJ707" s="5"/>
      <c r="APK707" s="5"/>
      <c r="APL707" s="5"/>
      <c r="APM707" s="5"/>
      <c r="APN707" s="5"/>
      <c r="APO707" s="5"/>
      <c r="APP707" s="5"/>
      <c r="APQ707" s="5"/>
      <c r="APR707" s="5"/>
      <c r="APS707" s="5"/>
      <c r="APT707" s="5"/>
      <c r="APU707" s="5"/>
      <c r="APV707" s="5"/>
      <c r="APW707" s="5"/>
      <c r="APX707" s="5"/>
      <c r="APY707" s="5"/>
      <c r="APZ707" s="5"/>
      <c r="AQA707" s="5"/>
      <c r="AQB707" s="5"/>
      <c r="AQC707" s="5"/>
      <c r="AQD707" s="5"/>
      <c r="AQE707" s="5"/>
      <c r="AQF707" s="5"/>
      <c r="AQG707" s="5"/>
      <c r="AQH707" s="5"/>
      <c r="AQI707" s="5"/>
      <c r="AQJ707" s="5"/>
      <c r="AQK707" s="5"/>
      <c r="AQL707" s="5"/>
      <c r="AQM707" s="5"/>
      <c r="AQN707" s="5"/>
      <c r="AQO707" s="5"/>
      <c r="AQP707" s="5"/>
      <c r="AQQ707" s="5"/>
      <c r="AQR707" s="5"/>
      <c r="AQS707" s="5"/>
      <c r="AQT707" s="5"/>
      <c r="AQU707" s="5"/>
      <c r="AQV707" s="5"/>
      <c r="AQW707" s="5"/>
      <c r="AQX707" s="5"/>
      <c r="AQY707" s="5"/>
      <c r="AQZ707" s="5"/>
      <c r="ARA707" s="5"/>
      <c r="ARB707" s="5"/>
      <c r="ARC707" s="5"/>
      <c r="ARD707" s="5"/>
      <c r="ARE707" s="5"/>
      <c r="ARF707" s="5"/>
      <c r="ARG707" s="5"/>
      <c r="ARH707" s="5"/>
      <c r="ARI707" s="5"/>
      <c r="ARJ707" s="5"/>
      <c r="ARK707" s="5"/>
      <c r="ARL707" s="5"/>
      <c r="ARM707" s="5"/>
      <c r="ARN707" s="5"/>
      <c r="ARO707" s="5"/>
      <c r="ARP707" s="5"/>
      <c r="ARQ707" s="5"/>
      <c r="ARR707" s="5"/>
      <c r="ARS707" s="5"/>
      <c r="ART707" s="5"/>
      <c r="ARU707" s="5"/>
      <c r="ARV707" s="5"/>
      <c r="ARW707" s="5"/>
      <c r="ARX707" s="5"/>
      <c r="ARY707" s="5"/>
      <c r="ARZ707" s="5"/>
      <c r="ASA707" s="5"/>
      <c r="ASB707" s="5"/>
      <c r="ASC707" s="5"/>
      <c r="ASD707" s="5"/>
      <c r="ASE707" s="5"/>
      <c r="ASF707" s="5"/>
      <c r="ASG707" s="5"/>
      <c r="ASH707" s="5"/>
      <c r="ASI707" s="5"/>
      <c r="ASJ707" s="5"/>
      <c r="ASK707" s="5"/>
      <c r="ASL707" s="5"/>
      <c r="ASM707" s="5"/>
      <c r="ASN707" s="5"/>
      <c r="ASO707" s="5"/>
      <c r="ASP707" s="5"/>
      <c r="ASQ707" s="5"/>
      <c r="ASR707" s="5"/>
      <c r="ASS707" s="5"/>
      <c r="AST707" s="5"/>
      <c r="ASU707" s="5"/>
      <c r="ASV707" s="5"/>
      <c r="ASW707" s="5"/>
      <c r="ASX707" s="5"/>
      <c r="ASY707" s="5"/>
      <c r="ASZ707" s="5"/>
      <c r="ATA707" s="5"/>
      <c r="ATB707" s="5"/>
      <c r="ATC707" s="5"/>
      <c r="ATD707" s="5"/>
      <c r="ATE707" s="5"/>
      <c r="ATF707" s="5"/>
      <c r="ATG707" s="5"/>
      <c r="ATH707" s="5"/>
      <c r="ATI707" s="5"/>
      <c r="ATJ707" s="5"/>
      <c r="ATK707" s="5"/>
      <c r="ATL707" s="5"/>
      <c r="ATM707" s="5"/>
      <c r="ATN707" s="5"/>
      <c r="ATO707" s="5"/>
      <c r="ATP707" s="5"/>
      <c r="ATQ707" s="5"/>
      <c r="ATR707" s="5"/>
      <c r="ATS707" s="5"/>
      <c r="ATT707" s="5"/>
      <c r="ATU707" s="5"/>
      <c r="ATV707" s="5"/>
      <c r="ATW707" s="5"/>
      <c r="ATX707" s="5"/>
    </row>
    <row r="708" spans="1:1220" s="67" customFormat="1" ht="12.75" customHeight="1" x14ac:dyDescent="0.35">
      <c r="A708" s="76" t="s">
        <v>229</v>
      </c>
      <c r="B708" s="99" t="s">
        <v>157</v>
      </c>
      <c r="C708" s="76" t="s">
        <v>2608</v>
      </c>
      <c r="D708" s="142" t="s">
        <v>2608</v>
      </c>
      <c r="E708" s="76"/>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c r="DS708" s="5"/>
      <c r="DT708" s="5"/>
      <c r="DU708" s="5"/>
      <c r="DV708" s="5"/>
      <c r="DW708" s="5"/>
      <c r="DX708" s="5"/>
      <c r="DY708" s="5"/>
      <c r="DZ708" s="5"/>
      <c r="EA708" s="5"/>
      <c r="EB708" s="5"/>
      <c r="EC708" s="5"/>
      <c r="ED708" s="5"/>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s="5"/>
      <c r="FG708" s="5"/>
      <c r="FH708" s="5"/>
      <c r="FI708" s="5"/>
      <c r="FJ708" s="5"/>
      <c r="FK708" s="5"/>
      <c r="FL708" s="5"/>
      <c r="FM708" s="5"/>
      <c r="FN708" s="5"/>
      <c r="FO708" s="5"/>
      <c r="FP708" s="5"/>
      <c r="FQ708" s="5"/>
      <c r="FR708" s="5"/>
      <c r="FS708" s="5"/>
      <c r="FT708" s="5"/>
      <c r="FU708" s="5"/>
      <c r="FV708" s="5"/>
      <c r="FW708" s="5"/>
      <c r="FX708" s="5"/>
      <c r="FY708" s="5"/>
      <c r="FZ708" s="5"/>
      <c r="GA708" s="5"/>
      <c r="GB708" s="5"/>
      <c r="GC708" s="5"/>
      <c r="GD708" s="5"/>
      <c r="GE708" s="5"/>
      <c r="GF708" s="5"/>
      <c r="GG708" s="5"/>
      <c r="GH708" s="5"/>
      <c r="GI708" s="5"/>
      <c r="GJ708" s="5"/>
      <c r="GK708" s="5"/>
      <c r="GL708" s="5"/>
      <c r="GM708" s="5"/>
      <c r="GN708" s="5"/>
      <c r="GO708" s="5"/>
      <c r="GP708" s="5"/>
      <c r="GQ708" s="5"/>
      <c r="GR708" s="5"/>
      <c r="GS708" s="5"/>
      <c r="GT708" s="5"/>
      <c r="GU708" s="5"/>
      <c r="GV708" s="5"/>
      <c r="GW708" s="5"/>
      <c r="GX708" s="5"/>
      <c r="GY708" s="5"/>
      <c r="GZ708" s="5"/>
      <c r="HA708" s="5"/>
      <c r="HB708" s="5"/>
      <c r="HC708" s="5"/>
      <c r="HD708" s="5"/>
      <c r="HE708" s="5"/>
      <c r="HF708" s="5"/>
      <c r="HG708" s="5"/>
      <c r="HH708" s="5"/>
      <c r="HI708" s="5"/>
      <c r="HJ708" s="5"/>
      <c r="HK708" s="5"/>
      <c r="HL708" s="5"/>
      <c r="HM708" s="5"/>
      <c r="HN708" s="5"/>
      <c r="HO708" s="5"/>
      <c r="HP708" s="5"/>
      <c r="HQ708" s="5"/>
      <c r="HR708" s="5"/>
      <c r="HS708" s="5"/>
      <c r="HT708" s="5"/>
      <c r="HU708" s="5"/>
      <c r="HV708" s="5"/>
      <c r="HW708" s="5"/>
      <c r="HX708" s="5"/>
      <c r="HY708" s="5"/>
      <c r="HZ708" s="5"/>
      <c r="IA708" s="5"/>
      <c r="IB708" s="5"/>
      <c r="IC708" s="5"/>
      <c r="ID708" s="5"/>
      <c r="IE708" s="5"/>
      <c r="IF708" s="5"/>
      <c r="IG708" s="5"/>
      <c r="IH708" s="5"/>
      <c r="II708" s="5"/>
      <c r="IJ708" s="5"/>
      <c r="IK708" s="5"/>
      <c r="IL708" s="5"/>
      <c r="IM708" s="5"/>
      <c r="IN708" s="5"/>
      <c r="IO708" s="5"/>
      <c r="IP708" s="5"/>
      <c r="IQ708" s="5"/>
      <c r="IR708" s="5"/>
      <c r="IS708" s="5"/>
      <c r="IT708" s="5"/>
      <c r="IU708" s="5"/>
      <c r="IV708" s="5"/>
      <c r="IW708" s="5"/>
      <c r="IX708" s="5"/>
      <c r="IY708" s="5"/>
      <c r="IZ708" s="5"/>
      <c r="JA708" s="5"/>
      <c r="JB708" s="5"/>
      <c r="JC708" s="5"/>
      <c r="JD708" s="5"/>
      <c r="JE708" s="5"/>
      <c r="JF708" s="5"/>
      <c r="JG708" s="5"/>
      <c r="JH708" s="5"/>
      <c r="JI708" s="5"/>
      <c r="JJ708" s="5"/>
      <c r="JK708" s="5"/>
      <c r="JL708" s="5"/>
      <c r="JM708" s="5"/>
      <c r="JN708" s="5"/>
      <c r="JO708" s="5"/>
      <c r="JP708" s="5"/>
      <c r="JQ708" s="5"/>
      <c r="JR708" s="5"/>
      <c r="JS708" s="5"/>
      <c r="JT708" s="5"/>
      <c r="JU708" s="5"/>
      <c r="JV708" s="5"/>
      <c r="JW708" s="5"/>
      <c r="JX708" s="5"/>
      <c r="JY708" s="5"/>
      <c r="JZ708" s="5"/>
      <c r="KA708" s="5"/>
      <c r="KB708" s="5"/>
      <c r="KC708" s="5"/>
      <c r="KD708" s="5"/>
      <c r="KE708" s="5"/>
      <c r="KF708" s="5"/>
      <c r="KG708" s="5"/>
      <c r="KH708" s="5"/>
      <c r="KI708" s="5"/>
      <c r="KJ708" s="5"/>
      <c r="KK708" s="5"/>
      <c r="KL708" s="5"/>
      <c r="KM708" s="5"/>
      <c r="KN708" s="5"/>
      <c r="KO708" s="5"/>
      <c r="KP708" s="5"/>
      <c r="KQ708" s="5"/>
      <c r="KR708" s="5"/>
      <c r="KS708" s="5"/>
      <c r="KT708" s="5"/>
      <c r="KU708" s="5"/>
      <c r="KV708" s="5"/>
      <c r="KW708" s="5"/>
      <c r="KX708" s="5"/>
      <c r="KY708" s="5"/>
      <c r="KZ708" s="5"/>
      <c r="LA708" s="5"/>
      <c r="LB708" s="5"/>
      <c r="LC708" s="5"/>
      <c r="LD708" s="5"/>
      <c r="LE708" s="5"/>
      <c r="LF708" s="5"/>
      <c r="LG708" s="5"/>
      <c r="LH708" s="5"/>
      <c r="LI708" s="5"/>
      <c r="LJ708" s="5"/>
      <c r="LK708" s="5"/>
      <c r="LL708" s="5"/>
      <c r="LM708" s="5"/>
      <c r="LN708" s="5"/>
      <c r="LO708" s="5"/>
      <c r="LP708" s="5"/>
      <c r="LQ708" s="5"/>
      <c r="LR708" s="5"/>
      <c r="LS708" s="5"/>
      <c r="LT708" s="5"/>
      <c r="LU708" s="5"/>
      <c r="LV708" s="5"/>
      <c r="LW708" s="5"/>
      <c r="LX708" s="5"/>
      <c r="LY708" s="5"/>
      <c r="LZ708" s="5"/>
      <c r="MA708" s="5"/>
      <c r="MB708" s="5"/>
      <c r="MC708" s="5"/>
      <c r="MD708" s="5"/>
      <c r="ME708" s="5"/>
      <c r="MF708" s="5"/>
      <c r="MG708" s="5"/>
      <c r="MH708" s="5"/>
      <c r="MI708" s="5"/>
      <c r="MJ708" s="5"/>
      <c r="MK708" s="5"/>
      <c r="ML708" s="5"/>
      <c r="MM708" s="5"/>
      <c r="MN708" s="5"/>
      <c r="MO708" s="5"/>
      <c r="MP708" s="5"/>
      <c r="MQ708" s="5"/>
      <c r="MR708" s="5"/>
      <c r="MS708" s="5"/>
      <c r="MT708" s="5"/>
      <c r="MU708" s="5"/>
      <c r="MV708" s="5"/>
      <c r="MW708" s="5"/>
      <c r="MX708" s="5"/>
      <c r="MY708" s="5"/>
      <c r="MZ708" s="5"/>
      <c r="NA708" s="5"/>
      <c r="NB708" s="5"/>
      <c r="NC708" s="5"/>
      <c r="ND708" s="5"/>
      <c r="NE708" s="5"/>
      <c r="NF708" s="5"/>
      <c r="NG708" s="5"/>
      <c r="NH708" s="5"/>
      <c r="NI708" s="5"/>
      <c r="NJ708" s="5"/>
      <c r="NK708" s="5"/>
      <c r="NL708" s="5"/>
      <c r="NM708" s="5"/>
      <c r="NN708" s="5"/>
      <c r="NO708" s="5"/>
      <c r="NP708" s="5"/>
      <c r="NQ708" s="5"/>
      <c r="NR708" s="5"/>
      <c r="NS708" s="5"/>
      <c r="NT708" s="5"/>
      <c r="NU708" s="5"/>
      <c r="NV708" s="5"/>
      <c r="NW708" s="5"/>
      <c r="NX708" s="5"/>
      <c r="NY708" s="5"/>
      <c r="NZ708" s="5"/>
      <c r="OA708" s="5"/>
      <c r="OB708" s="5"/>
      <c r="OC708" s="5"/>
      <c r="OD708" s="5"/>
      <c r="OE708" s="5"/>
      <c r="OF708" s="5"/>
      <c r="OG708" s="5"/>
      <c r="OH708" s="5"/>
      <c r="OI708" s="5"/>
      <c r="OJ708" s="5"/>
      <c r="OK708" s="5"/>
      <c r="OL708" s="5"/>
      <c r="OM708" s="5"/>
      <c r="ON708" s="5"/>
      <c r="OO708" s="5"/>
      <c r="OP708" s="5"/>
      <c r="OQ708" s="5"/>
      <c r="OR708" s="5"/>
      <c r="OS708" s="5"/>
      <c r="OT708" s="5"/>
      <c r="OU708" s="5"/>
      <c r="OV708" s="5"/>
      <c r="OW708" s="5"/>
      <c r="OX708" s="5"/>
      <c r="OY708" s="5"/>
      <c r="OZ708" s="5"/>
      <c r="PA708" s="5"/>
      <c r="PB708" s="5"/>
      <c r="PC708" s="5"/>
      <c r="PD708" s="5"/>
      <c r="PE708" s="5"/>
      <c r="PF708" s="5"/>
      <c r="PG708" s="5"/>
      <c r="PH708" s="5"/>
      <c r="PI708" s="5"/>
      <c r="PJ708" s="5"/>
      <c r="PK708" s="5"/>
      <c r="PL708" s="5"/>
      <c r="PM708" s="5"/>
      <c r="PN708" s="5"/>
      <c r="PO708" s="5"/>
      <c r="PP708" s="5"/>
      <c r="PQ708" s="5"/>
      <c r="PR708" s="5"/>
      <c r="PS708" s="5"/>
      <c r="PT708" s="5"/>
      <c r="PU708" s="5"/>
      <c r="PV708" s="5"/>
      <c r="PW708" s="5"/>
      <c r="PX708" s="5"/>
      <c r="PY708" s="5"/>
      <c r="PZ708" s="5"/>
      <c r="QA708" s="5"/>
      <c r="QB708" s="5"/>
      <c r="QC708" s="5"/>
      <c r="QD708" s="5"/>
      <c r="QE708" s="5"/>
      <c r="QF708" s="5"/>
      <c r="QG708" s="5"/>
      <c r="QH708" s="5"/>
      <c r="QI708" s="5"/>
      <c r="QJ708" s="5"/>
      <c r="QK708" s="5"/>
      <c r="QL708" s="5"/>
      <c r="QM708" s="5"/>
      <c r="QN708" s="5"/>
      <c r="QO708" s="5"/>
      <c r="QP708" s="5"/>
      <c r="QQ708" s="5"/>
      <c r="QR708" s="5"/>
      <c r="QS708" s="5"/>
      <c r="QT708" s="5"/>
      <c r="QU708" s="5"/>
      <c r="QV708" s="5"/>
      <c r="QW708" s="5"/>
      <c r="QX708" s="5"/>
      <c r="QY708" s="5"/>
      <c r="QZ708" s="5"/>
      <c r="RA708" s="5"/>
      <c r="RB708" s="5"/>
      <c r="RC708" s="5"/>
      <c r="RD708" s="5"/>
      <c r="RE708" s="5"/>
      <c r="RF708" s="5"/>
      <c r="RG708" s="5"/>
      <c r="RH708" s="5"/>
      <c r="RI708" s="5"/>
      <c r="RJ708" s="5"/>
      <c r="RK708" s="5"/>
      <c r="RL708" s="5"/>
      <c r="RM708" s="5"/>
      <c r="RN708" s="5"/>
      <c r="RO708" s="5"/>
      <c r="RP708" s="5"/>
      <c r="RQ708" s="5"/>
      <c r="RR708" s="5"/>
      <c r="RS708" s="5"/>
      <c r="RT708" s="5"/>
      <c r="RU708" s="5"/>
      <c r="RV708" s="5"/>
      <c r="RW708" s="5"/>
      <c r="RX708" s="5"/>
      <c r="RY708" s="5"/>
      <c r="RZ708" s="5"/>
      <c r="SA708" s="5"/>
      <c r="SB708" s="5"/>
      <c r="SC708" s="5"/>
      <c r="SD708" s="5"/>
      <c r="SE708" s="5"/>
      <c r="SF708" s="5"/>
      <c r="SG708" s="5"/>
      <c r="SH708" s="5"/>
      <c r="SI708" s="5"/>
      <c r="SJ708" s="5"/>
      <c r="SK708" s="5"/>
      <c r="SL708" s="5"/>
      <c r="SM708" s="5"/>
      <c r="SN708" s="5"/>
      <c r="SO708" s="5"/>
      <c r="SP708" s="5"/>
      <c r="SQ708" s="5"/>
      <c r="SR708" s="5"/>
      <c r="SS708" s="5"/>
      <c r="ST708" s="5"/>
      <c r="SU708" s="5"/>
      <c r="SV708" s="5"/>
      <c r="SW708" s="5"/>
      <c r="SX708" s="5"/>
      <c r="SY708" s="5"/>
      <c r="SZ708" s="5"/>
      <c r="TA708" s="5"/>
      <c r="TB708" s="5"/>
      <c r="TC708" s="5"/>
      <c r="TD708" s="5"/>
      <c r="TE708" s="5"/>
      <c r="TF708" s="5"/>
      <c r="TG708" s="5"/>
      <c r="TH708" s="5"/>
      <c r="TI708" s="5"/>
      <c r="TJ708" s="5"/>
      <c r="TK708" s="5"/>
      <c r="TL708" s="5"/>
      <c r="TM708" s="5"/>
      <c r="TN708" s="5"/>
      <c r="TO708" s="5"/>
      <c r="TP708" s="5"/>
      <c r="TQ708" s="5"/>
      <c r="TR708" s="5"/>
      <c r="TS708" s="5"/>
      <c r="TT708" s="5"/>
      <c r="TU708" s="5"/>
      <c r="TV708" s="5"/>
      <c r="TW708" s="5"/>
      <c r="TX708" s="5"/>
      <c r="TY708" s="5"/>
      <c r="TZ708" s="5"/>
      <c r="UA708" s="5"/>
      <c r="UB708" s="5"/>
      <c r="UC708" s="5"/>
      <c r="UD708" s="5"/>
      <c r="UE708" s="5"/>
      <c r="UF708" s="5"/>
      <c r="UG708" s="5"/>
      <c r="UH708" s="5"/>
      <c r="UI708" s="5"/>
      <c r="UJ708" s="5"/>
      <c r="UK708" s="5"/>
      <c r="UL708" s="5"/>
      <c r="UM708" s="5"/>
      <c r="UN708" s="5"/>
      <c r="UO708" s="5"/>
      <c r="UP708" s="5"/>
      <c r="UQ708" s="5"/>
      <c r="UR708" s="5"/>
      <c r="US708" s="5"/>
      <c r="UT708" s="5"/>
      <c r="UU708" s="5"/>
      <c r="UV708" s="5"/>
      <c r="UW708" s="5"/>
      <c r="UX708" s="5"/>
      <c r="UY708" s="5"/>
      <c r="UZ708" s="5"/>
      <c r="VA708" s="5"/>
      <c r="VB708" s="5"/>
      <c r="VC708" s="5"/>
      <c r="VD708" s="5"/>
      <c r="VE708" s="5"/>
      <c r="VF708" s="5"/>
      <c r="VG708" s="5"/>
      <c r="VH708" s="5"/>
      <c r="VI708" s="5"/>
      <c r="VJ708" s="5"/>
      <c r="VK708" s="5"/>
      <c r="VL708" s="5"/>
      <c r="VM708" s="5"/>
      <c r="VN708" s="5"/>
      <c r="VO708" s="5"/>
      <c r="VP708" s="5"/>
      <c r="VQ708" s="5"/>
      <c r="VR708" s="5"/>
      <c r="VS708" s="5"/>
      <c r="VT708" s="5"/>
      <c r="VU708" s="5"/>
      <c r="VV708" s="5"/>
      <c r="VW708" s="5"/>
      <c r="VX708" s="5"/>
      <c r="VY708" s="5"/>
      <c r="VZ708" s="5"/>
      <c r="WA708" s="5"/>
      <c r="WB708" s="5"/>
      <c r="WC708" s="5"/>
      <c r="WD708" s="5"/>
      <c r="WE708" s="5"/>
      <c r="WF708" s="5"/>
      <c r="WG708" s="5"/>
      <c r="WH708" s="5"/>
      <c r="WI708" s="5"/>
      <c r="WJ708" s="5"/>
      <c r="WK708" s="5"/>
      <c r="WL708" s="5"/>
      <c r="WM708" s="5"/>
      <c r="WN708" s="5"/>
      <c r="WO708" s="5"/>
      <c r="WP708" s="5"/>
      <c r="WQ708" s="5"/>
      <c r="WR708" s="5"/>
      <c r="WS708" s="5"/>
      <c r="WT708" s="5"/>
      <c r="WU708" s="5"/>
      <c r="WV708" s="5"/>
      <c r="WW708" s="5"/>
      <c r="WX708" s="5"/>
      <c r="WY708" s="5"/>
      <c r="WZ708" s="5"/>
      <c r="XA708" s="5"/>
      <c r="XB708" s="5"/>
      <c r="XC708" s="5"/>
      <c r="XD708" s="5"/>
      <c r="XE708" s="5"/>
      <c r="XF708" s="5"/>
      <c r="XG708" s="5"/>
      <c r="XH708" s="5"/>
      <c r="XI708" s="5"/>
      <c r="XJ708" s="5"/>
      <c r="XK708" s="5"/>
      <c r="XL708" s="5"/>
      <c r="XM708" s="5"/>
      <c r="XN708" s="5"/>
      <c r="XO708" s="5"/>
      <c r="XP708" s="5"/>
      <c r="XQ708" s="5"/>
      <c r="XR708" s="5"/>
      <c r="XS708" s="5"/>
      <c r="XT708" s="5"/>
      <c r="XU708" s="5"/>
      <c r="XV708" s="5"/>
      <c r="XW708" s="5"/>
      <c r="XX708" s="5"/>
      <c r="XY708" s="5"/>
      <c r="XZ708" s="5"/>
      <c r="YA708" s="5"/>
      <c r="YB708" s="5"/>
      <c r="YC708" s="5"/>
      <c r="YD708" s="5"/>
      <c r="YE708" s="5"/>
      <c r="YF708" s="5"/>
      <c r="YG708" s="5"/>
      <c r="YH708" s="5"/>
      <c r="YI708" s="5"/>
      <c r="YJ708" s="5"/>
      <c r="YK708" s="5"/>
      <c r="YL708" s="5"/>
      <c r="YM708" s="5"/>
      <c r="YN708" s="5"/>
      <c r="YO708" s="5"/>
      <c r="YP708" s="5"/>
      <c r="YQ708" s="5"/>
      <c r="YR708" s="5"/>
      <c r="YS708" s="5"/>
      <c r="YT708" s="5"/>
      <c r="YU708" s="5"/>
      <c r="YV708" s="5"/>
      <c r="YW708" s="5"/>
      <c r="YX708" s="5"/>
      <c r="YY708" s="5"/>
      <c r="YZ708" s="5"/>
      <c r="ZA708" s="5"/>
      <c r="ZB708" s="5"/>
      <c r="ZC708" s="5"/>
      <c r="ZD708" s="5"/>
      <c r="ZE708" s="5"/>
      <c r="ZF708" s="5"/>
      <c r="ZG708" s="5"/>
      <c r="ZH708" s="5"/>
      <c r="ZI708" s="5"/>
      <c r="ZJ708" s="5"/>
      <c r="ZK708" s="5"/>
      <c r="ZL708" s="5"/>
      <c r="ZM708" s="5"/>
      <c r="ZN708" s="5"/>
      <c r="ZO708" s="5"/>
      <c r="ZP708" s="5"/>
      <c r="ZQ708" s="5"/>
      <c r="ZR708" s="5"/>
      <c r="ZS708" s="5"/>
      <c r="ZT708" s="5"/>
      <c r="ZU708" s="5"/>
      <c r="ZV708" s="5"/>
      <c r="ZW708" s="5"/>
      <c r="ZX708" s="5"/>
      <c r="ZY708" s="5"/>
      <c r="ZZ708" s="5"/>
      <c r="AAA708" s="5"/>
      <c r="AAB708" s="5"/>
      <c r="AAC708" s="5"/>
      <c r="AAD708" s="5"/>
      <c r="AAE708" s="5"/>
      <c r="AAF708" s="5"/>
      <c r="AAG708" s="5"/>
      <c r="AAH708" s="5"/>
      <c r="AAI708" s="5"/>
      <c r="AAJ708" s="5"/>
      <c r="AAK708" s="5"/>
      <c r="AAL708" s="5"/>
      <c r="AAM708" s="5"/>
      <c r="AAN708" s="5"/>
      <c r="AAO708" s="5"/>
      <c r="AAP708" s="5"/>
      <c r="AAQ708" s="5"/>
      <c r="AAR708" s="5"/>
      <c r="AAS708" s="5"/>
      <c r="AAT708" s="5"/>
      <c r="AAU708" s="5"/>
      <c r="AAV708" s="5"/>
      <c r="AAW708" s="5"/>
      <c r="AAX708" s="5"/>
      <c r="AAY708" s="5"/>
      <c r="AAZ708" s="5"/>
      <c r="ABA708" s="5"/>
      <c r="ABB708" s="5"/>
      <c r="ABC708" s="5"/>
      <c r="ABD708" s="5"/>
      <c r="ABE708" s="5"/>
      <c r="ABF708" s="5"/>
      <c r="ABG708" s="5"/>
      <c r="ABH708" s="5"/>
      <c r="ABI708" s="5"/>
      <c r="ABJ708" s="5"/>
      <c r="ABK708" s="5"/>
      <c r="ABL708" s="5"/>
      <c r="ABM708" s="5"/>
      <c r="ABN708" s="5"/>
      <c r="ABO708" s="5"/>
      <c r="ABP708" s="5"/>
      <c r="ABQ708" s="5"/>
      <c r="ABR708" s="5"/>
      <c r="ABS708" s="5"/>
      <c r="ABT708" s="5"/>
      <c r="ABU708" s="5"/>
      <c r="ABV708" s="5"/>
      <c r="ABW708" s="5"/>
      <c r="ABX708" s="5"/>
      <c r="ABY708" s="5"/>
      <c r="ABZ708" s="5"/>
      <c r="ACA708" s="5"/>
      <c r="ACB708" s="5"/>
      <c r="ACC708" s="5"/>
      <c r="ACD708" s="5"/>
      <c r="ACE708" s="5"/>
      <c r="ACF708" s="5"/>
      <c r="ACG708" s="5"/>
      <c r="ACH708" s="5"/>
      <c r="ACI708" s="5"/>
      <c r="ACJ708" s="5"/>
      <c r="ACK708" s="5"/>
      <c r="ACL708" s="5"/>
      <c r="ACM708" s="5"/>
      <c r="ACN708" s="5"/>
      <c r="ACO708" s="5"/>
      <c r="ACP708" s="5"/>
      <c r="ACQ708" s="5"/>
      <c r="ACR708" s="5"/>
      <c r="ACS708" s="5"/>
      <c r="ACT708" s="5"/>
      <c r="ACU708" s="5"/>
      <c r="ACV708" s="5"/>
      <c r="ACW708" s="5"/>
      <c r="ACX708" s="5"/>
      <c r="ACY708" s="5"/>
      <c r="ACZ708" s="5"/>
      <c r="ADA708" s="5"/>
      <c r="ADB708" s="5"/>
      <c r="ADC708" s="5"/>
      <c r="ADD708" s="5"/>
      <c r="ADE708" s="5"/>
      <c r="ADF708" s="5"/>
      <c r="ADG708" s="5"/>
      <c r="ADH708" s="5"/>
      <c r="ADI708" s="5"/>
      <c r="ADJ708" s="5"/>
      <c r="ADK708" s="5"/>
      <c r="ADL708" s="5"/>
      <c r="ADM708" s="5"/>
      <c r="ADN708" s="5"/>
      <c r="ADO708" s="5"/>
      <c r="ADP708" s="5"/>
      <c r="ADQ708" s="5"/>
      <c r="ADR708" s="5"/>
      <c r="ADS708" s="5"/>
      <c r="ADT708" s="5"/>
      <c r="ADU708" s="5"/>
      <c r="ADV708" s="5"/>
      <c r="ADW708" s="5"/>
      <c r="ADX708" s="5"/>
      <c r="ADY708" s="5"/>
      <c r="ADZ708" s="5"/>
      <c r="AEA708" s="5"/>
      <c r="AEB708" s="5"/>
      <c r="AEC708" s="5"/>
      <c r="AED708" s="5"/>
      <c r="AEE708" s="5"/>
      <c r="AEF708" s="5"/>
      <c r="AEG708" s="5"/>
      <c r="AEH708" s="5"/>
      <c r="AEI708" s="5"/>
      <c r="AEJ708" s="5"/>
      <c r="AEK708" s="5"/>
      <c r="AEL708" s="5"/>
      <c r="AEM708" s="5"/>
      <c r="AEN708" s="5"/>
      <c r="AEO708" s="5"/>
      <c r="AEP708" s="5"/>
      <c r="AEQ708" s="5"/>
      <c r="AER708" s="5"/>
      <c r="AES708" s="5"/>
      <c r="AET708" s="5"/>
      <c r="AEU708" s="5"/>
      <c r="AEV708" s="5"/>
      <c r="AEW708" s="5"/>
      <c r="AEX708" s="5"/>
      <c r="AEY708" s="5"/>
      <c r="AEZ708" s="5"/>
      <c r="AFA708" s="5"/>
      <c r="AFB708" s="5"/>
      <c r="AFC708" s="5"/>
      <c r="AFD708" s="5"/>
      <c r="AFE708" s="5"/>
      <c r="AFF708" s="5"/>
      <c r="AFG708" s="5"/>
      <c r="AFH708" s="5"/>
      <c r="AFI708" s="5"/>
      <c r="AFJ708" s="5"/>
      <c r="AFK708" s="5"/>
      <c r="AFL708" s="5"/>
      <c r="AFM708" s="5"/>
      <c r="AFN708" s="5"/>
      <c r="AFO708" s="5"/>
      <c r="AFP708" s="5"/>
      <c r="AFQ708" s="5"/>
      <c r="AFR708" s="5"/>
      <c r="AFS708" s="5"/>
      <c r="AFT708" s="5"/>
      <c r="AFU708" s="5"/>
      <c r="AFV708" s="5"/>
      <c r="AFW708" s="5"/>
      <c r="AFX708" s="5"/>
      <c r="AFY708" s="5"/>
      <c r="AFZ708" s="5"/>
      <c r="AGA708" s="5"/>
      <c r="AGB708" s="5"/>
      <c r="AGC708" s="5"/>
      <c r="AGD708" s="5"/>
      <c r="AGE708" s="5"/>
      <c r="AGF708" s="5"/>
      <c r="AGG708" s="5"/>
      <c r="AGH708" s="5"/>
      <c r="AGI708" s="5"/>
      <c r="AGJ708" s="5"/>
      <c r="AGK708" s="5"/>
      <c r="AGL708" s="5"/>
      <c r="AGM708" s="5"/>
      <c r="AGN708" s="5"/>
      <c r="AGO708" s="5"/>
      <c r="AGP708" s="5"/>
      <c r="AGQ708" s="5"/>
      <c r="AGR708" s="5"/>
      <c r="AGS708" s="5"/>
      <c r="AGT708" s="5"/>
      <c r="AGU708" s="5"/>
      <c r="AGV708" s="5"/>
      <c r="AGW708" s="5"/>
      <c r="AGX708" s="5"/>
      <c r="AGY708" s="5"/>
      <c r="AGZ708" s="5"/>
      <c r="AHA708" s="5"/>
      <c r="AHB708" s="5"/>
      <c r="AHC708" s="5"/>
      <c r="AHD708" s="5"/>
      <c r="AHE708" s="5"/>
      <c r="AHF708" s="5"/>
      <c r="AHG708" s="5"/>
      <c r="AHH708" s="5"/>
      <c r="AHI708" s="5"/>
      <c r="AHJ708" s="5"/>
      <c r="AHK708" s="5"/>
      <c r="AHL708" s="5"/>
      <c r="AHM708" s="5"/>
      <c r="AHN708" s="5"/>
      <c r="AHO708" s="5"/>
      <c r="AHP708" s="5"/>
      <c r="AHQ708" s="5"/>
      <c r="AHR708" s="5"/>
      <c r="AHS708" s="5"/>
      <c r="AHT708" s="5"/>
      <c r="AHU708" s="5"/>
      <c r="AHV708" s="5"/>
      <c r="AHW708" s="5"/>
      <c r="AHX708" s="5"/>
      <c r="AHY708" s="5"/>
      <c r="AHZ708" s="5"/>
      <c r="AIA708" s="5"/>
      <c r="AIB708" s="5"/>
      <c r="AIC708" s="5"/>
      <c r="AID708" s="5"/>
      <c r="AIE708" s="5"/>
      <c r="AIF708" s="5"/>
      <c r="AIG708" s="5"/>
      <c r="AIH708" s="5"/>
      <c r="AII708" s="5"/>
      <c r="AIJ708" s="5"/>
      <c r="AIK708" s="5"/>
      <c r="AIL708" s="5"/>
      <c r="AIM708" s="5"/>
      <c r="AIN708" s="5"/>
      <c r="AIO708" s="5"/>
      <c r="AIP708" s="5"/>
      <c r="AIQ708" s="5"/>
      <c r="AIR708" s="5"/>
      <c r="AIS708" s="5"/>
      <c r="AIT708" s="5"/>
      <c r="AIU708" s="5"/>
      <c r="AIV708" s="5"/>
      <c r="AIW708" s="5"/>
      <c r="AIX708" s="5"/>
      <c r="AIY708" s="5"/>
      <c r="AIZ708" s="5"/>
      <c r="AJA708" s="5"/>
      <c r="AJB708" s="5"/>
      <c r="AJC708" s="5"/>
      <c r="AJD708" s="5"/>
      <c r="AJE708" s="5"/>
      <c r="AJF708" s="5"/>
      <c r="AJG708" s="5"/>
      <c r="AJH708" s="5"/>
      <c r="AJI708" s="5"/>
      <c r="AJJ708" s="5"/>
      <c r="AJK708" s="5"/>
      <c r="AJL708" s="5"/>
      <c r="AJM708" s="5"/>
      <c r="AJN708" s="5"/>
      <c r="AJO708" s="5"/>
      <c r="AJP708" s="5"/>
      <c r="AJQ708" s="5"/>
      <c r="AJR708" s="5"/>
      <c r="AJS708" s="5"/>
      <c r="AJT708" s="5"/>
      <c r="AJU708" s="5"/>
      <c r="AJV708" s="5"/>
      <c r="AJW708" s="5"/>
      <c r="AJX708" s="5"/>
      <c r="AJY708" s="5"/>
      <c r="AJZ708" s="5"/>
      <c r="AKA708" s="5"/>
      <c r="AKB708" s="5"/>
      <c r="AKC708" s="5"/>
      <c r="AKD708" s="5"/>
      <c r="AKE708" s="5"/>
      <c r="AKF708" s="5"/>
      <c r="AKG708" s="5"/>
      <c r="AKH708" s="5"/>
      <c r="AKI708" s="5"/>
      <c r="AKJ708" s="5"/>
      <c r="AKK708" s="5"/>
      <c r="AKL708" s="5"/>
      <c r="AKM708" s="5"/>
      <c r="AKN708" s="5"/>
      <c r="AKO708" s="5"/>
      <c r="AKP708" s="5"/>
      <c r="AKQ708" s="5"/>
      <c r="AKR708" s="5"/>
      <c r="AKS708" s="5"/>
      <c r="AKT708" s="5"/>
      <c r="AKU708" s="5"/>
      <c r="AKV708" s="5"/>
      <c r="AKW708" s="5"/>
      <c r="AKX708" s="5"/>
      <c r="AKY708" s="5"/>
      <c r="AKZ708" s="5"/>
      <c r="ALA708" s="5"/>
      <c r="ALB708" s="5"/>
      <c r="ALC708" s="5"/>
      <c r="ALD708" s="5"/>
      <c r="ALE708" s="5"/>
      <c r="ALF708" s="5"/>
      <c r="ALG708" s="5"/>
      <c r="ALH708" s="5"/>
      <c r="ALI708" s="5"/>
      <c r="ALJ708" s="5"/>
      <c r="ALK708" s="5"/>
      <c r="ALL708" s="5"/>
      <c r="ALM708" s="5"/>
      <c r="ALN708" s="5"/>
      <c r="ALO708" s="5"/>
      <c r="ALP708" s="5"/>
      <c r="ALQ708" s="5"/>
      <c r="ALR708" s="5"/>
      <c r="ALS708" s="5"/>
      <c r="ALT708" s="5"/>
      <c r="ALU708" s="5"/>
      <c r="ALV708" s="5"/>
      <c r="ALW708" s="5"/>
      <c r="ALX708" s="5"/>
      <c r="ALY708" s="5"/>
      <c r="ALZ708" s="5"/>
      <c r="AMA708" s="5"/>
      <c r="AMB708" s="5"/>
      <c r="AMC708" s="5"/>
      <c r="AMD708" s="5"/>
      <c r="AME708" s="5"/>
      <c r="AMF708" s="5"/>
      <c r="AMG708" s="5"/>
      <c r="AMH708" s="5"/>
      <c r="AMI708" s="5"/>
      <c r="AMJ708" s="5"/>
      <c r="AMK708" s="5"/>
      <c r="AML708" s="5"/>
      <c r="AMM708" s="5"/>
      <c r="AMN708" s="5"/>
      <c r="AMO708" s="5"/>
      <c r="AMP708" s="5"/>
      <c r="AMQ708" s="5"/>
      <c r="AMR708" s="5"/>
      <c r="AMS708" s="5"/>
      <c r="AMT708" s="5"/>
      <c r="AMU708" s="5"/>
      <c r="AMV708" s="5"/>
      <c r="AMW708" s="5"/>
      <c r="AMX708" s="5"/>
      <c r="AMY708" s="5"/>
      <c r="AMZ708" s="5"/>
      <c r="ANA708" s="5"/>
      <c r="ANB708" s="5"/>
      <c r="ANC708" s="5"/>
      <c r="AND708" s="5"/>
      <c r="ANE708" s="5"/>
      <c r="ANF708" s="5"/>
      <c r="ANG708" s="5"/>
      <c r="ANH708" s="5"/>
      <c r="ANI708" s="5"/>
      <c r="ANJ708" s="5"/>
      <c r="ANK708" s="5"/>
      <c r="ANL708" s="5"/>
      <c r="ANM708" s="5"/>
      <c r="ANN708" s="5"/>
      <c r="ANO708" s="5"/>
      <c r="ANP708" s="5"/>
      <c r="ANQ708" s="5"/>
      <c r="ANR708" s="5"/>
      <c r="ANS708" s="5"/>
      <c r="ANT708" s="5"/>
      <c r="ANU708" s="5"/>
      <c r="ANV708" s="5"/>
      <c r="ANW708" s="5"/>
      <c r="ANX708" s="5"/>
      <c r="ANY708" s="5"/>
      <c r="ANZ708" s="5"/>
      <c r="AOA708" s="5"/>
      <c r="AOB708" s="5"/>
      <c r="AOC708" s="5"/>
      <c r="AOD708" s="5"/>
      <c r="AOE708" s="5"/>
      <c r="AOF708" s="5"/>
      <c r="AOG708" s="5"/>
      <c r="AOH708" s="5"/>
      <c r="AOI708" s="5"/>
      <c r="AOJ708" s="5"/>
      <c r="AOK708" s="5"/>
      <c r="AOL708" s="5"/>
      <c r="AOM708" s="5"/>
      <c r="AON708" s="5"/>
      <c r="AOO708" s="5"/>
      <c r="AOP708" s="5"/>
      <c r="AOQ708" s="5"/>
      <c r="AOR708" s="5"/>
      <c r="AOS708" s="5"/>
      <c r="AOT708" s="5"/>
      <c r="AOU708" s="5"/>
      <c r="AOV708" s="5"/>
      <c r="AOW708" s="5"/>
      <c r="AOX708" s="5"/>
      <c r="AOY708" s="5"/>
      <c r="AOZ708" s="5"/>
      <c r="APA708" s="5"/>
      <c r="APB708" s="5"/>
      <c r="APC708" s="5"/>
      <c r="APD708" s="5"/>
      <c r="APE708" s="5"/>
      <c r="APF708" s="5"/>
      <c r="APG708" s="5"/>
      <c r="APH708" s="5"/>
      <c r="API708" s="5"/>
      <c r="APJ708" s="5"/>
      <c r="APK708" s="5"/>
      <c r="APL708" s="5"/>
      <c r="APM708" s="5"/>
      <c r="APN708" s="5"/>
      <c r="APO708" s="5"/>
      <c r="APP708" s="5"/>
      <c r="APQ708" s="5"/>
      <c r="APR708" s="5"/>
      <c r="APS708" s="5"/>
      <c r="APT708" s="5"/>
      <c r="APU708" s="5"/>
      <c r="APV708" s="5"/>
      <c r="APW708" s="5"/>
      <c r="APX708" s="5"/>
      <c r="APY708" s="5"/>
      <c r="APZ708" s="5"/>
      <c r="AQA708" s="5"/>
      <c r="AQB708" s="5"/>
      <c r="AQC708" s="5"/>
      <c r="AQD708" s="5"/>
      <c r="AQE708" s="5"/>
      <c r="AQF708" s="5"/>
      <c r="AQG708" s="5"/>
      <c r="AQH708" s="5"/>
      <c r="AQI708" s="5"/>
      <c r="AQJ708" s="5"/>
      <c r="AQK708" s="5"/>
      <c r="AQL708" s="5"/>
      <c r="AQM708" s="5"/>
      <c r="AQN708" s="5"/>
      <c r="AQO708" s="5"/>
      <c r="AQP708" s="5"/>
      <c r="AQQ708" s="5"/>
      <c r="AQR708" s="5"/>
      <c r="AQS708" s="5"/>
      <c r="AQT708" s="5"/>
      <c r="AQU708" s="5"/>
      <c r="AQV708" s="5"/>
      <c r="AQW708" s="5"/>
      <c r="AQX708" s="5"/>
      <c r="AQY708" s="5"/>
      <c r="AQZ708" s="5"/>
      <c r="ARA708" s="5"/>
      <c r="ARB708" s="5"/>
      <c r="ARC708" s="5"/>
      <c r="ARD708" s="5"/>
      <c r="ARE708" s="5"/>
      <c r="ARF708" s="5"/>
      <c r="ARG708" s="5"/>
      <c r="ARH708" s="5"/>
      <c r="ARI708" s="5"/>
      <c r="ARJ708" s="5"/>
      <c r="ARK708" s="5"/>
      <c r="ARL708" s="5"/>
      <c r="ARM708" s="5"/>
      <c r="ARN708" s="5"/>
      <c r="ARO708" s="5"/>
      <c r="ARP708" s="5"/>
      <c r="ARQ708" s="5"/>
      <c r="ARR708" s="5"/>
      <c r="ARS708" s="5"/>
      <c r="ART708" s="5"/>
      <c r="ARU708" s="5"/>
      <c r="ARV708" s="5"/>
      <c r="ARW708" s="5"/>
      <c r="ARX708" s="5"/>
      <c r="ARY708" s="5"/>
      <c r="ARZ708" s="5"/>
      <c r="ASA708" s="5"/>
      <c r="ASB708" s="5"/>
      <c r="ASC708" s="5"/>
      <c r="ASD708" s="5"/>
      <c r="ASE708" s="5"/>
      <c r="ASF708" s="5"/>
      <c r="ASG708" s="5"/>
      <c r="ASH708" s="5"/>
      <c r="ASI708" s="5"/>
      <c r="ASJ708" s="5"/>
      <c r="ASK708" s="5"/>
      <c r="ASL708" s="5"/>
      <c r="ASM708" s="5"/>
      <c r="ASN708" s="5"/>
      <c r="ASO708" s="5"/>
      <c r="ASP708" s="5"/>
      <c r="ASQ708" s="5"/>
      <c r="ASR708" s="5"/>
      <c r="ASS708" s="5"/>
      <c r="AST708" s="5"/>
      <c r="ASU708" s="5"/>
      <c r="ASV708" s="5"/>
      <c r="ASW708" s="5"/>
      <c r="ASX708" s="5"/>
      <c r="ASY708" s="5"/>
      <c r="ASZ708" s="5"/>
      <c r="ATA708" s="5"/>
      <c r="ATB708" s="5"/>
      <c r="ATC708" s="5"/>
      <c r="ATD708" s="5"/>
      <c r="ATE708" s="5"/>
      <c r="ATF708" s="5"/>
      <c r="ATG708" s="5"/>
      <c r="ATH708" s="5"/>
      <c r="ATI708" s="5"/>
      <c r="ATJ708" s="5"/>
      <c r="ATK708" s="5"/>
      <c r="ATL708" s="5"/>
      <c r="ATM708" s="5"/>
      <c r="ATN708" s="5"/>
      <c r="ATO708" s="5"/>
      <c r="ATP708" s="5"/>
      <c r="ATQ708" s="5"/>
      <c r="ATR708" s="5"/>
      <c r="ATS708" s="5"/>
      <c r="ATT708" s="5"/>
      <c r="ATU708" s="5"/>
      <c r="ATV708" s="5"/>
      <c r="ATW708" s="5"/>
      <c r="ATX708" s="5"/>
    </row>
    <row r="709" spans="1:1220" s="67" customFormat="1" ht="12.75" customHeight="1" x14ac:dyDescent="0.35">
      <c r="A709" s="76" t="s">
        <v>229</v>
      </c>
      <c r="B709" s="99" t="s">
        <v>163</v>
      </c>
      <c r="C709" s="76" t="s">
        <v>2609</v>
      </c>
      <c r="D709" s="142" t="s">
        <v>2609</v>
      </c>
      <c r="E709" s="76"/>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c r="EC709" s="5"/>
      <c r="ED709" s="5"/>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s="5"/>
      <c r="FG709" s="5"/>
      <c r="FH709" s="5"/>
      <c r="FI709" s="5"/>
      <c r="FJ709" s="5"/>
      <c r="FK709" s="5"/>
      <c r="FL709" s="5"/>
      <c r="FM709" s="5"/>
      <c r="FN709" s="5"/>
      <c r="FO709" s="5"/>
      <c r="FP709" s="5"/>
      <c r="FQ709" s="5"/>
      <c r="FR709" s="5"/>
      <c r="FS709" s="5"/>
      <c r="FT709" s="5"/>
      <c r="FU709" s="5"/>
      <c r="FV709" s="5"/>
      <c r="FW709" s="5"/>
      <c r="FX709" s="5"/>
      <c r="FY709" s="5"/>
      <c r="FZ709" s="5"/>
      <c r="GA709" s="5"/>
      <c r="GB709" s="5"/>
      <c r="GC709" s="5"/>
      <c r="GD709" s="5"/>
      <c r="GE709" s="5"/>
      <c r="GF709" s="5"/>
      <c r="GG709" s="5"/>
      <c r="GH709" s="5"/>
      <c r="GI709" s="5"/>
      <c r="GJ709" s="5"/>
      <c r="GK709" s="5"/>
      <c r="GL709" s="5"/>
      <c r="GM709" s="5"/>
      <c r="GN709" s="5"/>
      <c r="GO709" s="5"/>
      <c r="GP709" s="5"/>
      <c r="GQ709" s="5"/>
      <c r="GR709" s="5"/>
      <c r="GS709" s="5"/>
      <c r="GT709" s="5"/>
      <c r="GU709" s="5"/>
      <c r="GV709" s="5"/>
      <c r="GW709" s="5"/>
      <c r="GX709" s="5"/>
      <c r="GY709" s="5"/>
      <c r="GZ709" s="5"/>
      <c r="HA709" s="5"/>
      <c r="HB709" s="5"/>
      <c r="HC709" s="5"/>
      <c r="HD709" s="5"/>
      <c r="HE709" s="5"/>
      <c r="HF709" s="5"/>
      <c r="HG709" s="5"/>
      <c r="HH709" s="5"/>
      <c r="HI709" s="5"/>
      <c r="HJ709" s="5"/>
      <c r="HK709" s="5"/>
      <c r="HL709" s="5"/>
      <c r="HM709" s="5"/>
      <c r="HN709" s="5"/>
      <c r="HO709" s="5"/>
      <c r="HP709" s="5"/>
      <c r="HQ709" s="5"/>
      <c r="HR709" s="5"/>
      <c r="HS709" s="5"/>
      <c r="HT709" s="5"/>
      <c r="HU709" s="5"/>
      <c r="HV709" s="5"/>
      <c r="HW709" s="5"/>
      <c r="HX709" s="5"/>
      <c r="HY709" s="5"/>
      <c r="HZ709" s="5"/>
      <c r="IA709" s="5"/>
      <c r="IB709" s="5"/>
      <c r="IC709" s="5"/>
      <c r="ID709" s="5"/>
      <c r="IE709" s="5"/>
      <c r="IF709" s="5"/>
      <c r="IG709" s="5"/>
      <c r="IH709" s="5"/>
      <c r="II709" s="5"/>
      <c r="IJ709" s="5"/>
      <c r="IK709" s="5"/>
      <c r="IL709" s="5"/>
      <c r="IM709" s="5"/>
      <c r="IN709" s="5"/>
      <c r="IO709" s="5"/>
      <c r="IP709" s="5"/>
      <c r="IQ709" s="5"/>
      <c r="IR709" s="5"/>
      <c r="IS709" s="5"/>
      <c r="IT709" s="5"/>
      <c r="IU709" s="5"/>
      <c r="IV709" s="5"/>
      <c r="IW709" s="5"/>
      <c r="IX709" s="5"/>
      <c r="IY709" s="5"/>
      <c r="IZ709" s="5"/>
      <c r="JA709" s="5"/>
      <c r="JB709" s="5"/>
      <c r="JC709" s="5"/>
      <c r="JD709" s="5"/>
      <c r="JE709" s="5"/>
      <c r="JF709" s="5"/>
      <c r="JG709" s="5"/>
      <c r="JH709" s="5"/>
      <c r="JI709" s="5"/>
      <c r="JJ709" s="5"/>
      <c r="JK709" s="5"/>
      <c r="JL709" s="5"/>
      <c r="JM709" s="5"/>
      <c r="JN709" s="5"/>
      <c r="JO709" s="5"/>
      <c r="JP709" s="5"/>
      <c r="JQ709" s="5"/>
      <c r="JR709" s="5"/>
      <c r="JS709" s="5"/>
      <c r="JT709" s="5"/>
      <c r="JU709" s="5"/>
      <c r="JV709" s="5"/>
      <c r="JW709" s="5"/>
      <c r="JX709" s="5"/>
      <c r="JY709" s="5"/>
      <c r="JZ709" s="5"/>
      <c r="KA709" s="5"/>
      <c r="KB709" s="5"/>
      <c r="KC709" s="5"/>
      <c r="KD709" s="5"/>
      <c r="KE709" s="5"/>
      <c r="KF709" s="5"/>
      <c r="KG709" s="5"/>
      <c r="KH709" s="5"/>
      <c r="KI709" s="5"/>
      <c r="KJ709" s="5"/>
      <c r="KK709" s="5"/>
      <c r="KL709" s="5"/>
      <c r="KM709" s="5"/>
      <c r="KN709" s="5"/>
      <c r="KO709" s="5"/>
      <c r="KP709" s="5"/>
      <c r="KQ709" s="5"/>
      <c r="KR709" s="5"/>
      <c r="KS709" s="5"/>
      <c r="KT709" s="5"/>
      <c r="KU709" s="5"/>
      <c r="KV709" s="5"/>
      <c r="KW709" s="5"/>
      <c r="KX709" s="5"/>
      <c r="KY709" s="5"/>
      <c r="KZ709" s="5"/>
      <c r="LA709" s="5"/>
      <c r="LB709" s="5"/>
      <c r="LC709" s="5"/>
      <c r="LD709" s="5"/>
      <c r="LE709" s="5"/>
      <c r="LF709" s="5"/>
      <c r="LG709" s="5"/>
      <c r="LH709" s="5"/>
      <c r="LI709" s="5"/>
      <c r="LJ709" s="5"/>
      <c r="LK709" s="5"/>
      <c r="LL709" s="5"/>
      <c r="LM709" s="5"/>
      <c r="LN709" s="5"/>
      <c r="LO709" s="5"/>
      <c r="LP709" s="5"/>
      <c r="LQ709" s="5"/>
      <c r="LR709" s="5"/>
      <c r="LS709" s="5"/>
      <c r="LT709" s="5"/>
      <c r="LU709" s="5"/>
      <c r="LV709" s="5"/>
      <c r="LW709" s="5"/>
      <c r="LX709" s="5"/>
      <c r="LY709" s="5"/>
      <c r="LZ709" s="5"/>
      <c r="MA709" s="5"/>
      <c r="MB709" s="5"/>
      <c r="MC709" s="5"/>
      <c r="MD709" s="5"/>
      <c r="ME709" s="5"/>
      <c r="MF709" s="5"/>
      <c r="MG709" s="5"/>
      <c r="MH709" s="5"/>
      <c r="MI709" s="5"/>
      <c r="MJ709" s="5"/>
      <c r="MK709" s="5"/>
      <c r="ML709" s="5"/>
      <c r="MM709" s="5"/>
      <c r="MN709" s="5"/>
      <c r="MO709" s="5"/>
      <c r="MP709" s="5"/>
      <c r="MQ709" s="5"/>
      <c r="MR709" s="5"/>
      <c r="MS709" s="5"/>
      <c r="MT709" s="5"/>
      <c r="MU709" s="5"/>
      <c r="MV709" s="5"/>
      <c r="MW709" s="5"/>
      <c r="MX709" s="5"/>
      <c r="MY709" s="5"/>
      <c r="MZ709" s="5"/>
      <c r="NA709" s="5"/>
      <c r="NB709" s="5"/>
      <c r="NC709" s="5"/>
      <c r="ND709" s="5"/>
      <c r="NE709" s="5"/>
      <c r="NF709" s="5"/>
      <c r="NG709" s="5"/>
      <c r="NH709" s="5"/>
      <c r="NI709" s="5"/>
      <c r="NJ709" s="5"/>
      <c r="NK709" s="5"/>
      <c r="NL709" s="5"/>
      <c r="NM709" s="5"/>
      <c r="NN709" s="5"/>
      <c r="NO709" s="5"/>
      <c r="NP709" s="5"/>
      <c r="NQ709" s="5"/>
      <c r="NR709" s="5"/>
      <c r="NS709" s="5"/>
      <c r="NT709" s="5"/>
      <c r="NU709" s="5"/>
      <c r="NV709" s="5"/>
      <c r="NW709" s="5"/>
      <c r="NX709" s="5"/>
      <c r="NY709" s="5"/>
      <c r="NZ709" s="5"/>
      <c r="OA709" s="5"/>
      <c r="OB709" s="5"/>
      <c r="OC709" s="5"/>
      <c r="OD709" s="5"/>
      <c r="OE709" s="5"/>
      <c r="OF709" s="5"/>
      <c r="OG709" s="5"/>
      <c r="OH709" s="5"/>
      <c r="OI709" s="5"/>
      <c r="OJ709" s="5"/>
      <c r="OK709" s="5"/>
      <c r="OL709" s="5"/>
      <c r="OM709" s="5"/>
      <c r="ON709" s="5"/>
      <c r="OO709" s="5"/>
      <c r="OP709" s="5"/>
      <c r="OQ709" s="5"/>
      <c r="OR709" s="5"/>
      <c r="OS709" s="5"/>
      <c r="OT709" s="5"/>
      <c r="OU709" s="5"/>
      <c r="OV709" s="5"/>
      <c r="OW709" s="5"/>
      <c r="OX709" s="5"/>
      <c r="OY709" s="5"/>
      <c r="OZ709" s="5"/>
      <c r="PA709" s="5"/>
      <c r="PB709" s="5"/>
      <c r="PC709" s="5"/>
      <c r="PD709" s="5"/>
      <c r="PE709" s="5"/>
      <c r="PF709" s="5"/>
      <c r="PG709" s="5"/>
      <c r="PH709" s="5"/>
      <c r="PI709" s="5"/>
      <c r="PJ709" s="5"/>
      <c r="PK709" s="5"/>
      <c r="PL709" s="5"/>
      <c r="PM709" s="5"/>
      <c r="PN709" s="5"/>
      <c r="PO709" s="5"/>
      <c r="PP709" s="5"/>
      <c r="PQ709" s="5"/>
      <c r="PR709" s="5"/>
      <c r="PS709" s="5"/>
      <c r="PT709" s="5"/>
      <c r="PU709" s="5"/>
      <c r="PV709" s="5"/>
      <c r="PW709" s="5"/>
      <c r="PX709" s="5"/>
      <c r="PY709" s="5"/>
      <c r="PZ709" s="5"/>
      <c r="QA709" s="5"/>
      <c r="QB709" s="5"/>
      <c r="QC709" s="5"/>
      <c r="QD709" s="5"/>
      <c r="QE709" s="5"/>
      <c r="QF709" s="5"/>
      <c r="QG709" s="5"/>
      <c r="QH709" s="5"/>
      <c r="QI709" s="5"/>
      <c r="QJ709" s="5"/>
      <c r="QK709" s="5"/>
      <c r="QL709" s="5"/>
      <c r="QM709" s="5"/>
      <c r="QN709" s="5"/>
      <c r="QO709" s="5"/>
      <c r="QP709" s="5"/>
      <c r="QQ709" s="5"/>
      <c r="QR709" s="5"/>
      <c r="QS709" s="5"/>
      <c r="QT709" s="5"/>
      <c r="QU709" s="5"/>
      <c r="QV709" s="5"/>
      <c r="QW709" s="5"/>
      <c r="QX709" s="5"/>
      <c r="QY709" s="5"/>
      <c r="QZ709" s="5"/>
      <c r="RA709" s="5"/>
      <c r="RB709" s="5"/>
      <c r="RC709" s="5"/>
      <c r="RD709" s="5"/>
      <c r="RE709" s="5"/>
      <c r="RF709" s="5"/>
      <c r="RG709" s="5"/>
      <c r="RH709" s="5"/>
      <c r="RI709" s="5"/>
      <c r="RJ709" s="5"/>
      <c r="RK709" s="5"/>
      <c r="RL709" s="5"/>
      <c r="RM709" s="5"/>
      <c r="RN709" s="5"/>
      <c r="RO709" s="5"/>
      <c r="RP709" s="5"/>
      <c r="RQ709" s="5"/>
      <c r="RR709" s="5"/>
      <c r="RS709" s="5"/>
      <c r="RT709" s="5"/>
      <c r="RU709" s="5"/>
      <c r="RV709" s="5"/>
      <c r="RW709" s="5"/>
      <c r="RX709" s="5"/>
      <c r="RY709" s="5"/>
      <c r="RZ709" s="5"/>
      <c r="SA709" s="5"/>
      <c r="SB709" s="5"/>
      <c r="SC709" s="5"/>
      <c r="SD709" s="5"/>
      <c r="SE709" s="5"/>
      <c r="SF709" s="5"/>
      <c r="SG709" s="5"/>
      <c r="SH709" s="5"/>
      <c r="SI709" s="5"/>
      <c r="SJ709" s="5"/>
      <c r="SK709" s="5"/>
      <c r="SL709" s="5"/>
      <c r="SM709" s="5"/>
      <c r="SN709" s="5"/>
      <c r="SO709" s="5"/>
      <c r="SP709" s="5"/>
      <c r="SQ709" s="5"/>
      <c r="SR709" s="5"/>
      <c r="SS709" s="5"/>
      <c r="ST709" s="5"/>
      <c r="SU709" s="5"/>
      <c r="SV709" s="5"/>
      <c r="SW709" s="5"/>
      <c r="SX709" s="5"/>
      <c r="SY709" s="5"/>
      <c r="SZ709" s="5"/>
      <c r="TA709" s="5"/>
      <c r="TB709" s="5"/>
      <c r="TC709" s="5"/>
      <c r="TD709" s="5"/>
      <c r="TE709" s="5"/>
      <c r="TF709" s="5"/>
      <c r="TG709" s="5"/>
      <c r="TH709" s="5"/>
      <c r="TI709" s="5"/>
      <c r="TJ709" s="5"/>
      <c r="TK709" s="5"/>
      <c r="TL709" s="5"/>
      <c r="TM709" s="5"/>
      <c r="TN709" s="5"/>
      <c r="TO709" s="5"/>
      <c r="TP709" s="5"/>
      <c r="TQ709" s="5"/>
      <c r="TR709" s="5"/>
      <c r="TS709" s="5"/>
      <c r="TT709" s="5"/>
      <c r="TU709" s="5"/>
      <c r="TV709" s="5"/>
      <c r="TW709" s="5"/>
      <c r="TX709" s="5"/>
      <c r="TY709" s="5"/>
      <c r="TZ709" s="5"/>
      <c r="UA709" s="5"/>
      <c r="UB709" s="5"/>
      <c r="UC709" s="5"/>
      <c r="UD709" s="5"/>
      <c r="UE709" s="5"/>
      <c r="UF709" s="5"/>
      <c r="UG709" s="5"/>
      <c r="UH709" s="5"/>
      <c r="UI709" s="5"/>
      <c r="UJ709" s="5"/>
      <c r="UK709" s="5"/>
      <c r="UL709" s="5"/>
      <c r="UM709" s="5"/>
      <c r="UN709" s="5"/>
      <c r="UO709" s="5"/>
      <c r="UP709" s="5"/>
      <c r="UQ709" s="5"/>
      <c r="UR709" s="5"/>
      <c r="US709" s="5"/>
      <c r="UT709" s="5"/>
      <c r="UU709" s="5"/>
      <c r="UV709" s="5"/>
      <c r="UW709" s="5"/>
      <c r="UX709" s="5"/>
      <c r="UY709" s="5"/>
      <c r="UZ709" s="5"/>
      <c r="VA709" s="5"/>
      <c r="VB709" s="5"/>
      <c r="VC709" s="5"/>
      <c r="VD709" s="5"/>
      <c r="VE709" s="5"/>
      <c r="VF709" s="5"/>
      <c r="VG709" s="5"/>
      <c r="VH709" s="5"/>
      <c r="VI709" s="5"/>
      <c r="VJ709" s="5"/>
      <c r="VK709" s="5"/>
      <c r="VL709" s="5"/>
      <c r="VM709" s="5"/>
      <c r="VN709" s="5"/>
      <c r="VO709" s="5"/>
      <c r="VP709" s="5"/>
      <c r="VQ709" s="5"/>
      <c r="VR709" s="5"/>
      <c r="VS709" s="5"/>
      <c r="VT709" s="5"/>
      <c r="VU709" s="5"/>
      <c r="VV709" s="5"/>
      <c r="VW709" s="5"/>
      <c r="VX709" s="5"/>
      <c r="VY709" s="5"/>
      <c r="VZ709" s="5"/>
      <c r="WA709" s="5"/>
      <c r="WB709" s="5"/>
      <c r="WC709" s="5"/>
      <c r="WD709" s="5"/>
      <c r="WE709" s="5"/>
      <c r="WF709" s="5"/>
      <c r="WG709" s="5"/>
      <c r="WH709" s="5"/>
      <c r="WI709" s="5"/>
      <c r="WJ709" s="5"/>
      <c r="WK709" s="5"/>
      <c r="WL709" s="5"/>
      <c r="WM709" s="5"/>
      <c r="WN709" s="5"/>
      <c r="WO709" s="5"/>
      <c r="WP709" s="5"/>
      <c r="WQ709" s="5"/>
      <c r="WR709" s="5"/>
      <c r="WS709" s="5"/>
      <c r="WT709" s="5"/>
      <c r="WU709" s="5"/>
      <c r="WV709" s="5"/>
      <c r="WW709" s="5"/>
      <c r="WX709" s="5"/>
      <c r="WY709" s="5"/>
      <c r="WZ709" s="5"/>
      <c r="XA709" s="5"/>
      <c r="XB709" s="5"/>
      <c r="XC709" s="5"/>
      <c r="XD709" s="5"/>
      <c r="XE709" s="5"/>
      <c r="XF709" s="5"/>
      <c r="XG709" s="5"/>
      <c r="XH709" s="5"/>
      <c r="XI709" s="5"/>
      <c r="XJ709" s="5"/>
      <c r="XK709" s="5"/>
      <c r="XL709" s="5"/>
      <c r="XM709" s="5"/>
      <c r="XN709" s="5"/>
      <c r="XO709" s="5"/>
      <c r="XP709" s="5"/>
      <c r="XQ709" s="5"/>
      <c r="XR709" s="5"/>
      <c r="XS709" s="5"/>
      <c r="XT709" s="5"/>
      <c r="XU709" s="5"/>
      <c r="XV709" s="5"/>
      <c r="XW709" s="5"/>
      <c r="XX709" s="5"/>
      <c r="XY709" s="5"/>
      <c r="XZ709" s="5"/>
      <c r="YA709" s="5"/>
      <c r="YB709" s="5"/>
      <c r="YC709" s="5"/>
      <c r="YD709" s="5"/>
      <c r="YE709" s="5"/>
      <c r="YF709" s="5"/>
      <c r="YG709" s="5"/>
      <c r="YH709" s="5"/>
      <c r="YI709" s="5"/>
      <c r="YJ709" s="5"/>
      <c r="YK709" s="5"/>
      <c r="YL709" s="5"/>
      <c r="YM709" s="5"/>
      <c r="YN709" s="5"/>
      <c r="YO709" s="5"/>
      <c r="YP709" s="5"/>
      <c r="YQ709" s="5"/>
      <c r="YR709" s="5"/>
      <c r="YS709" s="5"/>
      <c r="YT709" s="5"/>
      <c r="YU709" s="5"/>
      <c r="YV709" s="5"/>
      <c r="YW709" s="5"/>
      <c r="YX709" s="5"/>
      <c r="YY709" s="5"/>
      <c r="YZ709" s="5"/>
      <c r="ZA709" s="5"/>
      <c r="ZB709" s="5"/>
      <c r="ZC709" s="5"/>
      <c r="ZD709" s="5"/>
      <c r="ZE709" s="5"/>
      <c r="ZF709" s="5"/>
      <c r="ZG709" s="5"/>
      <c r="ZH709" s="5"/>
      <c r="ZI709" s="5"/>
      <c r="ZJ709" s="5"/>
      <c r="ZK709" s="5"/>
      <c r="ZL709" s="5"/>
      <c r="ZM709" s="5"/>
      <c r="ZN709" s="5"/>
      <c r="ZO709" s="5"/>
      <c r="ZP709" s="5"/>
      <c r="ZQ709" s="5"/>
      <c r="ZR709" s="5"/>
      <c r="ZS709" s="5"/>
      <c r="ZT709" s="5"/>
      <c r="ZU709" s="5"/>
      <c r="ZV709" s="5"/>
      <c r="ZW709" s="5"/>
      <c r="ZX709" s="5"/>
      <c r="ZY709" s="5"/>
      <c r="ZZ709" s="5"/>
      <c r="AAA709" s="5"/>
      <c r="AAB709" s="5"/>
      <c r="AAC709" s="5"/>
      <c r="AAD709" s="5"/>
      <c r="AAE709" s="5"/>
      <c r="AAF709" s="5"/>
      <c r="AAG709" s="5"/>
      <c r="AAH709" s="5"/>
      <c r="AAI709" s="5"/>
      <c r="AAJ709" s="5"/>
      <c r="AAK709" s="5"/>
      <c r="AAL709" s="5"/>
      <c r="AAM709" s="5"/>
      <c r="AAN709" s="5"/>
      <c r="AAO709" s="5"/>
      <c r="AAP709" s="5"/>
      <c r="AAQ709" s="5"/>
      <c r="AAR709" s="5"/>
      <c r="AAS709" s="5"/>
      <c r="AAT709" s="5"/>
      <c r="AAU709" s="5"/>
      <c r="AAV709" s="5"/>
      <c r="AAW709" s="5"/>
      <c r="AAX709" s="5"/>
      <c r="AAY709" s="5"/>
      <c r="AAZ709" s="5"/>
      <c r="ABA709" s="5"/>
      <c r="ABB709" s="5"/>
      <c r="ABC709" s="5"/>
      <c r="ABD709" s="5"/>
      <c r="ABE709" s="5"/>
      <c r="ABF709" s="5"/>
      <c r="ABG709" s="5"/>
      <c r="ABH709" s="5"/>
      <c r="ABI709" s="5"/>
      <c r="ABJ709" s="5"/>
      <c r="ABK709" s="5"/>
      <c r="ABL709" s="5"/>
      <c r="ABM709" s="5"/>
      <c r="ABN709" s="5"/>
      <c r="ABO709" s="5"/>
      <c r="ABP709" s="5"/>
      <c r="ABQ709" s="5"/>
      <c r="ABR709" s="5"/>
      <c r="ABS709" s="5"/>
      <c r="ABT709" s="5"/>
      <c r="ABU709" s="5"/>
      <c r="ABV709" s="5"/>
      <c r="ABW709" s="5"/>
      <c r="ABX709" s="5"/>
      <c r="ABY709" s="5"/>
      <c r="ABZ709" s="5"/>
      <c r="ACA709" s="5"/>
      <c r="ACB709" s="5"/>
      <c r="ACC709" s="5"/>
      <c r="ACD709" s="5"/>
      <c r="ACE709" s="5"/>
      <c r="ACF709" s="5"/>
      <c r="ACG709" s="5"/>
      <c r="ACH709" s="5"/>
      <c r="ACI709" s="5"/>
      <c r="ACJ709" s="5"/>
      <c r="ACK709" s="5"/>
      <c r="ACL709" s="5"/>
      <c r="ACM709" s="5"/>
      <c r="ACN709" s="5"/>
      <c r="ACO709" s="5"/>
      <c r="ACP709" s="5"/>
      <c r="ACQ709" s="5"/>
      <c r="ACR709" s="5"/>
      <c r="ACS709" s="5"/>
      <c r="ACT709" s="5"/>
      <c r="ACU709" s="5"/>
      <c r="ACV709" s="5"/>
      <c r="ACW709" s="5"/>
      <c r="ACX709" s="5"/>
      <c r="ACY709" s="5"/>
      <c r="ACZ709" s="5"/>
      <c r="ADA709" s="5"/>
      <c r="ADB709" s="5"/>
      <c r="ADC709" s="5"/>
      <c r="ADD709" s="5"/>
      <c r="ADE709" s="5"/>
      <c r="ADF709" s="5"/>
      <c r="ADG709" s="5"/>
      <c r="ADH709" s="5"/>
      <c r="ADI709" s="5"/>
      <c r="ADJ709" s="5"/>
      <c r="ADK709" s="5"/>
      <c r="ADL709" s="5"/>
      <c r="ADM709" s="5"/>
      <c r="ADN709" s="5"/>
      <c r="ADO709" s="5"/>
      <c r="ADP709" s="5"/>
      <c r="ADQ709" s="5"/>
      <c r="ADR709" s="5"/>
      <c r="ADS709" s="5"/>
      <c r="ADT709" s="5"/>
      <c r="ADU709" s="5"/>
      <c r="ADV709" s="5"/>
      <c r="ADW709" s="5"/>
      <c r="ADX709" s="5"/>
      <c r="ADY709" s="5"/>
      <c r="ADZ709" s="5"/>
      <c r="AEA709" s="5"/>
      <c r="AEB709" s="5"/>
      <c r="AEC709" s="5"/>
      <c r="AED709" s="5"/>
      <c r="AEE709" s="5"/>
      <c r="AEF709" s="5"/>
      <c r="AEG709" s="5"/>
      <c r="AEH709" s="5"/>
      <c r="AEI709" s="5"/>
      <c r="AEJ709" s="5"/>
      <c r="AEK709" s="5"/>
      <c r="AEL709" s="5"/>
      <c r="AEM709" s="5"/>
      <c r="AEN709" s="5"/>
      <c r="AEO709" s="5"/>
      <c r="AEP709" s="5"/>
      <c r="AEQ709" s="5"/>
      <c r="AER709" s="5"/>
      <c r="AES709" s="5"/>
      <c r="AET709" s="5"/>
      <c r="AEU709" s="5"/>
      <c r="AEV709" s="5"/>
      <c r="AEW709" s="5"/>
      <c r="AEX709" s="5"/>
      <c r="AEY709" s="5"/>
      <c r="AEZ709" s="5"/>
      <c r="AFA709" s="5"/>
      <c r="AFB709" s="5"/>
      <c r="AFC709" s="5"/>
      <c r="AFD709" s="5"/>
      <c r="AFE709" s="5"/>
      <c r="AFF709" s="5"/>
      <c r="AFG709" s="5"/>
      <c r="AFH709" s="5"/>
      <c r="AFI709" s="5"/>
      <c r="AFJ709" s="5"/>
      <c r="AFK709" s="5"/>
      <c r="AFL709" s="5"/>
      <c r="AFM709" s="5"/>
      <c r="AFN709" s="5"/>
      <c r="AFO709" s="5"/>
      <c r="AFP709" s="5"/>
      <c r="AFQ709" s="5"/>
      <c r="AFR709" s="5"/>
      <c r="AFS709" s="5"/>
      <c r="AFT709" s="5"/>
      <c r="AFU709" s="5"/>
      <c r="AFV709" s="5"/>
      <c r="AFW709" s="5"/>
      <c r="AFX709" s="5"/>
      <c r="AFY709" s="5"/>
      <c r="AFZ709" s="5"/>
      <c r="AGA709" s="5"/>
      <c r="AGB709" s="5"/>
      <c r="AGC709" s="5"/>
      <c r="AGD709" s="5"/>
      <c r="AGE709" s="5"/>
      <c r="AGF709" s="5"/>
      <c r="AGG709" s="5"/>
      <c r="AGH709" s="5"/>
      <c r="AGI709" s="5"/>
      <c r="AGJ709" s="5"/>
      <c r="AGK709" s="5"/>
      <c r="AGL709" s="5"/>
      <c r="AGM709" s="5"/>
      <c r="AGN709" s="5"/>
      <c r="AGO709" s="5"/>
      <c r="AGP709" s="5"/>
      <c r="AGQ709" s="5"/>
      <c r="AGR709" s="5"/>
      <c r="AGS709" s="5"/>
      <c r="AGT709" s="5"/>
      <c r="AGU709" s="5"/>
      <c r="AGV709" s="5"/>
      <c r="AGW709" s="5"/>
      <c r="AGX709" s="5"/>
      <c r="AGY709" s="5"/>
      <c r="AGZ709" s="5"/>
      <c r="AHA709" s="5"/>
      <c r="AHB709" s="5"/>
      <c r="AHC709" s="5"/>
      <c r="AHD709" s="5"/>
      <c r="AHE709" s="5"/>
      <c r="AHF709" s="5"/>
      <c r="AHG709" s="5"/>
      <c r="AHH709" s="5"/>
      <c r="AHI709" s="5"/>
      <c r="AHJ709" s="5"/>
      <c r="AHK709" s="5"/>
      <c r="AHL709" s="5"/>
      <c r="AHM709" s="5"/>
      <c r="AHN709" s="5"/>
      <c r="AHO709" s="5"/>
      <c r="AHP709" s="5"/>
      <c r="AHQ709" s="5"/>
      <c r="AHR709" s="5"/>
      <c r="AHS709" s="5"/>
      <c r="AHT709" s="5"/>
      <c r="AHU709" s="5"/>
      <c r="AHV709" s="5"/>
      <c r="AHW709" s="5"/>
      <c r="AHX709" s="5"/>
      <c r="AHY709" s="5"/>
      <c r="AHZ709" s="5"/>
      <c r="AIA709" s="5"/>
      <c r="AIB709" s="5"/>
      <c r="AIC709" s="5"/>
      <c r="AID709" s="5"/>
      <c r="AIE709" s="5"/>
      <c r="AIF709" s="5"/>
      <c r="AIG709" s="5"/>
      <c r="AIH709" s="5"/>
      <c r="AII709" s="5"/>
      <c r="AIJ709" s="5"/>
      <c r="AIK709" s="5"/>
      <c r="AIL709" s="5"/>
      <c r="AIM709" s="5"/>
      <c r="AIN709" s="5"/>
      <c r="AIO709" s="5"/>
      <c r="AIP709" s="5"/>
      <c r="AIQ709" s="5"/>
      <c r="AIR709" s="5"/>
      <c r="AIS709" s="5"/>
      <c r="AIT709" s="5"/>
      <c r="AIU709" s="5"/>
      <c r="AIV709" s="5"/>
      <c r="AIW709" s="5"/>
      <c r="AIX709" s="5"/>
      <c r="AIY709" s="5"/>
      <c r="AIZ709" s="5"/>
      <c r="AJA709" s="5"/>
      <c r="AJB709" s="5"/>
      <c r="AJC709" s="5"/>
      <c r="AJD709" s="5"/>
      <c r="AJE709" s="5"/>
      <c r="AJF709" s="5"/>
      <c r="AJG709" s="5"/>
      <c r="AJH709" s="5"/>
      <c r="AJI709" s="5"/>
      <c r="AJJ709" s="5"/>
      <c r="AJK709" s="5"/>
      <c r="AJL709" s="5"/>
      <c r="AJM709" s="5"/>
      <c r="AJN709" s="5"/>
      <c r="AJO709" s="5"/>
      <c r="AJP709" s="5"/>
      <c r="AJQ709" s="5"/>
      <c r="AJR709" s="5"/>
      <c r="AJS709" s="5"/>
      <c r="AJT709" s="5"/>
      <c r="AJU709" s="5"/>
      <c r="AJV709" s="5"/>
      <c r="AJW709" s="5"/>
      <c r="AJX709" s="5"/>
      <c r="AJY709" s="5"/>
      <c r="AJZ709" s="5"/>
      <c r="AKA709" s="5"/>
      <c r="AKB709" s="5"/>
      <c r="AKC709" s="5"/>
      <c r="AKD709" s="5"/>
      <c r="AKE709" s="5"/>
      <c r="AKF709" s="5"/>
      <c r="AKG709" s="5"/>
      <c r="AKH709" s="5"/>
      <c r="AKI709" s="5"/>
      <c r="AKJ709" s="5"/>
      <c r="AKK709" s="5"/>
      <c r="AKL709" s="5"/>
      <c r="AKM709" s="5"/>
      <c r="AKN709" s="5"/>
      <c r="AKO709" s="5"/>
      <c r="AKP709" s="5"/>
      <c r="AKQ709" s="5"/>
      <c r="AKR709" s="5"/>
      <c r="AKS709" s="5"/>
      <c r="AKT709" s="5"/>
      <c r="AKU709" s="5"/>
      <c r="AKV709" s="5"/>
      <c r="AKW709" s="5"/>
      <c r="AKX709" s="5"/>
      <c r="AKY709" s="5"/>
      <c r="AKZ709" s="5"/>
      <c r="ALA709" s="5"/>
      <c r="ALB709" s="5"/>
      <c r="ALC709" s="5"/>
      <c r="ALD709" s="5"/>
      <c r="ALE709" s="5"/>
      <c r="ALF709" s="5"/>
      <c r="ALG709" s="5"/>
      <c r="ALH709" s="5"/>
      <c r="ALI709" s="5"/>
      <c r="ALJ709" s="5"/>
      <c r="ALK709" s="5"/>
      <c r="ALL709" s="5"/>
      <c r="ALM709" s="5"/>
      <c r="ALN709" s="5"/>
      <c r="ALO709" s="5"/>
      <c r="ALP709" s="5"/>
      <c r="ALQ709" s="5"/>
      <c r="ALR709" s="5"/>
      <c r="ALS709" s="5"/>
      <c r="ALT709" s="5"/>
      <c r="ALU709" s="5"/>
      <c r="ALV709" s="5"/>
      <c r="ALW709" s="5"/>
      <c r="ALX709" s="5"/>
      <c r="ALY709" s="5"/>
      <c r="ALZ709" s="5"/>
      <c r="AMA709" s="5"/>
      <c r="AMB709" s="5"/>
      <c r="AMC709" s="5"/>
      <c r="AMD709" s="5"/>
      <c r="AME709" s="5"/>
      <c r="AMF709" s="5"/>
      <c r="AMG709" s="5"/>
      <c r="AMH709" s="5"/>
      <c r="AMI709" s="5"/>
      <c r="AMJ709" s="5"/>
      <c r="AMK709" s="5"/>
      <c r="AML709" s="5"/>
      <c r="AMM709" s="5"/>
      <c r="AMN709" s="5"/>
      <c r="AMO709" s="5"/>
      <c r="AMP709" s="5"/>
      <c r="AMQ709" s="5"/>
      <c r="AMR709" s="5"/>
      <c r="AMS709" s="5"/>
      <c r="AMT709" s="5"/>
      <c r="AMU709" s="5"/>
      <c r="AMV709" s="5"/>
      <c r="AMW709" s="5"/>
      <c r="AMX709" s="5"/>
      <c r="AMY709" s="5"/>
      <c r="AMZ709" s="5"/>
      <c r="ANA709" s="5"/>
      <c r="ANB709" s="5"/>
      <c r="ANC709" s="5"/>
      <c r="AND709" s="5"/>
      <c r="ANE709" s="5"/>
      <c r="ANF709" s="5"/>
      <c r="ANG709" s="5"/>
      <c r="ANH709" s="5"/>
      <c r="ANI709" s="5"/>
      <c r="ANJ709" s="5"/>
      <c r="ANK709" s="5"/>
      <c r="ANL709" s="5"/>
      <c r="ANM709" s="5"/>
      <c r="ANN709" s="5"/>
      <c r="ANO709" s="5"/>
      <c r="ANP709" s="5"/>
      <c r="ANQ709" s="5"/>
      <c r="ANR709" s="5"/>
      <c r="ANS709" s="5"/>
      <c r="ANT709" s="5"/>
      <c r="ANU709" s="5"/>
      <c r="ANV709" s="5"/>
      <c r="ANW709" s="5"/>
      <c r="ANX709" s="5"/>
      <c r="ANY709" s="5"/>
      <c r="ANZ709" s="5"/>
      <c r="AOA709" s="5"/>
      <c r="AOB709" s="5"/>
      <c r="AOC709" s="5"/>
      <c r="AOD709" s="5"/>
      <c r="AOE709" s="5"/>
      <c r="AOF709" s="5"/>
      <c r="AOG709" s="5"/>
      <c r="AOH709" s="5"/>
      <c r="AOI709" s="5"/>
      <c r="AOJ709" s="5"/>
      <c r="AOK709" s="5"/>
      <c r="AOL709" s="5"/>
      <c r="AOM709" s="5"/>
      <c r="AON709" s="5"/>
      <c r="AOO709" s="5"/>
      <c r="AOP709" s="5"/>
      <c r="AOQ709" s="5"/>
      <c r="AOR709" s="5"/>
      <c r="AOS709" s="5"/>
      <c r="AOT709" s="5"/>
      <c r="AOU709" s="5"/>
      <c r="AOV709" s="5"/>
      <c r="AOW709" s="5"/>
      <c r="AOX709" s="5"/>
      <c r="AOY709" s="5"/>
      <c r="AOZ709" s="5"/>
      <c r="APA709" s="5"/>
      <c r="APB709" s="5"/>
      <c r="APC709" s="5"/>
      <c r="APD709" s="5"/>
      <c r="APE709" s="5"/>
      <c r="APF709" s="5"/>
      <c r="APG709" s="5"/>
      <c r="APH709" s="5"/>
      <c r="API709" s="5"/>
      <c r="APJ709" s="5"/>
      <c r="APK709" s="5"/>
      <c r="APL709" s="5"/>
      <c r="APM709" s="5"/>
      <c r="APN709" s="5"/>
      <c r="APO709" s="5"/>
      <c r="APP709" s="5"/>
      <c r="APQ709" s="5"/>
      <c r="APR709" s="5"/>
      <c r="APS709" s="5"/>
      <c r="APT709" s="5"/>
      <c r="APU709" s="5"/>
      <c r="APV709" s="5"/>
      <c r="APW709" s="5"/>
      <c r="APX709" s="5"/>
      <c r="APY709" s="5"/>
      <c r="APZ709" s="5"/>
      <c r="AQA709" s="5"/>
      <c r="AQB709" s="5"/>
      <c r="AQC709" s="5"/>
      <c r="AQD709" s="5"/>
      <c r="AQE709" s="5"/>
      <c r="AQF709" s="5"/>
      <c r="AQG709" s="5"/>
      <c r="AQH709" s="5"/>
      <c r="AQI709" s="5"/>
      <c r="AQJ709" s="5"/>
      <c r="AQK709" s="5"/>
      <c r="AQL709" s="5"/>
      <c r="AQM709" s="5"/>
      <c r="AQN709" s="5"/>
      <c r="AQO709" s="5"/>
      <c r="AQP709" s="5"/>
      <c r="AQQ709" s="5"/>
      <c r="AQR709" s="5"/>
      <c r="AQS709" s="5"/>
      <c r="AQT709" s="5"/>
      <c r="AQU709" s="5"/>
      <c r="AQV709" s="5"/>
      <c r="AQW709" s="5"/>
      <c r="AQX709" s="5"/>
      <c r="AQY709" s="5"/>
      <c r="AQZ709" s="5"/>
      <c r="ARA709" s="5"/>
      <c r="ARB709" s="5"/>
      <c r="ARC709" s="5"/>
      <c r="ARD709" s="5"/>
      <c r="ARE709" s="5"/>
      <c r="ARF709" s="5"/>
      <c r="ARG709" s="5"/>
      <c r="ARH709" s="5"/>
      <c r="ARI709" s="5"/>
      <c r="ARJ709" s="5"/>
      <c r="ARK709" s="5"/>
      <c r="ARL709" s="5"/>
      <c r="ARM709" s="5"/>
      <c r="ARN709" s="5"/>
      <c r="ARO709" s="5"/>
      <c r="ARP709" s="5"/>
      <c r="ARQ709" s="5"/>
      <c r="ARR709" s="5"/>
      <c r="ARS709" s="5"/>
      <c r="ART709" s="5"/>
      <c r="ARU709" s="5"/>
      <c r="ARV709" s="5"/>
      <c r="ARW709" s="5"/>
      <c r="ARX709" s="5"/>
      <c r="ARY709" s="5"/>
      <c r="ARZ709" s="5"/>
      <c r="ASA709" s="5"/>
      <c r="ASB709" s="5"/>
      <c r="ASC709" s="5"/>
      <c r="ASD709" s="5"/>
      <c r="ASE709" s="5"/>
      <c r="ASF709" s="5"/>
      <c r="ASG709" s="5"/>
      <c r="ASH709" s="5"/>
      <c r="ASI709" s="5"/>
      <c r="ASJ709" s="5"/>
      <c r="ASK709" s="5"/>
      <c r="ASL709" s="5"/>
      <c r="ASM709" s="5"/>
      <c r="ASN709" s="5"/>
      <c r="ASO709" s="5"/>
      <c r="ASP709" s="5"/>
      <c r="ASQ709" s="5"/>
      <c r="ASR709" s="5"/>
      <c r="ASS709" s="5"/>
      <c r="AST709" s="5"/>
      <c r="ASU709" s="5"/>
      <c r="ASV709" s="5"/>
      <c r="ASW709" s="5"/>
      <c r="ASX709" s="5"/>
      <c r="ASY709" s="5"/>
      <c r="ASZ709" s="5"/>
      <c r="ATA709" s="5"/>
      <c r="ATB709" s="5"/>
      <c r="ATC709" s="5"/>
      <c r="ATD709" s="5"/>
      <c r="ATE709" s="5"/>
      <c r="ATF709" s="5"/>
      <c r="ATG709" s="5"/>
      <c r="ATH709" s="5"/>
      <c r="ATI709" s="5"/>
      <c r="ATJ709" s="5"/>
      <c r="ATK709" s="5"/>
      <c r="ATL709" s="5"/>
      <c r="ATM709" s="5"/>
      <c r="ATN709" s="5"/>
      <c r="ATO709" s="5"/>
      <c r="ATP709" s="5"/>
      <c r="ATQ709" s="5"/>
      <c r="ATR709" s="5"/>
      <c r="ATS709" s="5"/>
      <c r="ATT709" s="5"/>
      <c r="ATU709" s="5"/>
      <c r="ATV709" s="5"/>
      <c r="ATW709" s="5"/>
      <c r="ATX709" s="5"/>
    </row>
    <row r="710" spans="1:1220" s="67" customFormat="1" ht="12.75" customHeight="1" x14ac:dyDescent="0.35">
      <c r="A710" s="76" t="s">
        <v>229</v>
      </c>
      <c r="B710" s="99" t="s">
        <v>167</v>
      </c>
      <c r="C710" s="76" t="s">
        <v>2610</v>
      </c>
      <c r="D710" s="142" t="s">
        <v>2610</v>
      </c>
      <c r="E710" s="76"/>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c r="EC710" s="5"/>
      <c r="ED710" s="5"/>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s="5"/>
      <c r="FG710" s="5"/>
      <c r="FH710" s="5"/>
      <c r="FI710" s="5"/>
      <c r="FJ710" s="5"/>
      <c r="FK710" s="5"/>
      <c r="FL710" s="5"/>
      <c r="FM710" s="5"/>
      <c r="FN710" s="5"/>
      <c r="FO710" s="5"/>
      <c r="FP710" s="5"/>
      <c r="FQ710" s="5"/>
      <c r="FR710" s="5"/>
      <c r="FS710" s="5"/>
      <c r="FT710" s="5"/>
      <c r="FU710" s="5"/>
      <c r="FV710" s="5"/>
      <c r="FW710" s="5"/>
      <c r="FX710" s="5"/>
      <c r="FY710" s="5"/>
      <c r="FZ710" s="5"/>
      <c r="GA710" s="5"/>
      <c r="GB710" s="5"/>
      <c r="GC710" s="5"/>
      <c r="GD710" s="5"/>
      <c r="GE710" s="5"/>
      <c r="GF710" s="5"/>
      <c r="GG710" s="5"/>
      <c r="GH710" s="5"/>
      <c r="GI710" s="5"/>
      <c r="GJ710" s="5"/>
      <c r="GK710" s="5"/>
      <c r="GL710" s="5"/>
      <c r="GM710" s="5"/>
      <c r="GN710" s="5"/>
      <c r="GO710" s="5"/>
      <c r="GP710" s="5"/>
      <c r="GQ710" s="5"/>
      <c r="GR710" s="5"/>
      <c r="GS710" s="5"/>
      <c r="GT710" s="5"/>
      <c r="GU710" s="5"/>
      <c r="GV710" s="5"/>
      <c r="GW710" s="5"/>
      <c r="GX710" s="5"/>
      <c r="GY710" s="5"/>
      <c r="GZ710" s="5"/>
      <c r="HA710" s="5"/>
      <c r="HB710" s="5"/>
      <c r="HC710" s="5"/>
      <c r="HD710" s="5"/>
      <c r="HE710" s="5"/>
      <c r="HF710" s="5"/>
      <c r="HG710" s="5"/>
      <c r="HH710" s="5"/>
      <c r="HI710" s="5"/>
      <c r="HJ710" s="5"/>
      <c r="HK710" s="5"/>
      <c r="HL710" s="5"/>
      <c r="HM710" s="5"/>
      <c r="HN710" s="5"/>
      <c r="HO710" s="5"/>
      <c r="HP710" s="5"/>
      <c r="HQ710" s="5"/>
      <c r="HR710" s="5"/>
      <c r="HS710" s="5"/>
      <c r="HT710" s="5"/>
      <c r="HU710" s="5"/>
      <c r="HV710" s="5"/>
      <c r="HW710" s="5"/>
      <c r="HX710" s="5"/>
      <c r="HY710" s="5"/>
      <c r="HZ710" s="5"/>
      <c r="IA710" s="5"/>
      <c r="IB710" s="5"/>
      <c r="IC710" s="5"/>
      <c r="ID710" s="5"/>
      <c r="IE710" s="5"/>
      <c r="IF710" s="5"/>
      <c r="IG710" s="5"/>
      <c r="IH710" s="5"/>
      <c r="II710" s="5"/>
      <c r="IJ710" s="5"/>
      <c r="IK710" s="5"/>
      <c r="IL710" s="5"/>
      <c r="IM710" s="5"/>
      <c r="IN710" s="5"/>
      <c r="IO710" s="5"/>
      <c r="IP710" s="5"/>
      <c r="IQ710" s="5"/>
      <c r="IR710" s="5"/>
      <c r="IS710" s="5"/>
      <c r="IT710" s="5"/>
      <c r="IU710" s="5"/>
      <c r="IV710" s="5"/>
      <c r="IW710" s="5"/>
      <c r="IX710" s="5"/>
      <c r="IY710" s="5"/>
      <c r="IZ710" s="5"/>
      <c r="JA710" s="5"/>
      <c r="JB710" s="5"/>
      <c r="JC710" s="5"/>
      <c r="JD710" s="5"/>
      <c r="JE710" s="5"/>
      <c r="JF710" s="5"/>
      <c r="JG710" s="5"/>
      <c r="JH710" s="5"/>
      <c r="JI710" s="5"/>
      <c r="JJ710" s="5"/>
      <c r="JK710" s="5"/>
      <c r="JL710" s="5"/>
      <c r="JM710" s="5"/>
      <c r="JN710" s="5"/>
      <c r="JO710" s="5"/>
      <c r="JP710" s="5"/>
      <c r="JQ710" s="5"/>
      <c r="JR710" s="5"/>
      <c r="JS710" s="5"/>
      <c r="JT710" s="5"/>
      <c r="JU710" s="5"/>
      <c r="JV710" s="5"/>
      <c r="JW710" s="5"/>
      <c r="JX710" s="5"/>
      <c r="JY710" s="5"/>
      <c r="JZ710" s="5"/>
      <c r="KA710" s="5"/>
      <c r="KB710" s="5"/>
      <c r="KC710" s="5"/>
      <c r="KD710" s="5"/>
      <c r="KE710" s="5"/>
      <c r="KF710" s="5"/>
      <c r="KG710" s="5"/>
      <c r="KH710" s="5"/>
      <c r="KI710" s="5"/>
      <c r="KJ710" s="5"/>
      <c r="KK710" s="5"/>
      <c r="KL710" s="5"/>
      <c r="KM710" s="5"/>
      <c r="KN710" s="5"/>
      <c r="KO710" s="5"/>
      <c r="KP710" s="5"/>
      <c r="KQ710" s="5"/>
      <c r="KR710" s="5"/>
      <c r="KS710" s="5"/>
      <c r="KT710" s="5"/>
      <c r="KU710" s="5"/>
      <c r="KV710" s="5"/>
      <c r="KW710" s="5"/>
      <c r="KX710" s="5"/>
      <c r="KY710" s="5"/>
      <c r="KZ710" s="5"/>
      <c r="LA710" s="5"/>
      <c r="LB710" s="5"/>
      <c r="LC710" s="5"/>
      <c r="LD710" s="5"/>
      <c r="LE710" s="5"/>
      <c r="LF710" s="5"/>
      <c r="LG710" s="5"/>
      <c r="LH710" s="5"/>
      <c r="LI710" s="5"/>
      <c r="LJ710" s="5"/>
      <c r="LK710" s="5"/>
      <c r="LL710" s="5"/>
      <c r="LM710" s="5"/>
      <c r="LN710" s="5"/>
      <c r="LO710" s="5"/>
      <c r="LP710" s="5"/>
      <c r="LQ710" s="5"/>
      <c r="LR710" s="5"/>
      <c r="LS710" s="5"/>
      <c r="LT710" s="5"/>
      <c r="LU710" s="5"/>
      <c r="LV710" s="5"/>
      <c r="LW710" s="5"/>
      <c r="LX710" s="5"/>
      <c r="LY710" s="5"/>
      <c r="LZ710" s="5"/>
      <c r="MA710" s="5"/>
      <c r="MB710" s="5"/>
      <c r="MC710" s="5"/>
      <c r="MD710" s="5"/>
      <c r="ME710" s="5"/>
      <c r="MF710" s="5"/>
      <c r="MG710" s="5"/>
      <c r="MH710" s="5"/>
      <c r="MI710" s="5"/>
      <c r="MJ710" s="5"/>
      <c r="MK710" s="5"/>
      <c r="ML710" s="5"/>
      <c r="MM710" s="5"/>
      <c r="MN710" s="5"/>
      <c r="MO710" s="5"/>
      <c r="MP710" s="5"/>
      <c r="MQ710" s="5"/>
      <c r="MR710" s="5"/>
      <c r="MS710" s="5"/>
      <c r="MT710" s="5"/>
      <c r="MU710" s="5"/>
      <c r="MV710" s="5"/>
      <c r="MW710" s="5"/>
      <c r="MX710" s="5"/>
      <c r="MY710" s="5"/>
      <c r="MZ710" s="5"/>
      <c r="NA710" s="5"/>
      <c r="NB710" s="5"/>
      <c r="NC710" s="5"/>
      <c r="ND710" s="5"/>
      <c r="NE710" s="5"/>
      <c r="NF710" s="5"/>
      <c r="NG710" s="5"/>
      <c r="NH710" s="5"/>
      <c r="NI710" s="5"/>
      <c r="NJ710" s="5"/>
      <c r="NK710" s="5"/>
      <c r="NL710" s="5"/>
      <c r="NM710" s="5"/>
      <c r="NN710" s="5"/>
      <c r="NO710" s="5"/>
      <c r="NP710" s="5"/>
      <c r="NQ710" s="5"/>
      <c r="NR710" s="5"/>
      <c r="NS710" s="5"/>
      <c r="NT710" s="5"/>
      <c r="NU710" s="5"/>
      <c r="NV710" s="5"/>
      <c r="NW710" s="5"/>
      <c r="NX710" s="5"/>
      <c r="NY710" s="5"/>
      <c r="NZ710" s="5"/>
      <c r="OA710" s="5"/>
      <c r="OB710" s="5"/>
      <c r="OC710" s="5"/>
      <c r="OD710" s="5"/>
      <c r="OE710" s="5"/>
      <c r="OF710" s="5"/>
      <c r="OG710" s="5"/>
      <c r="OH710" s="5"/>
      <c r="OI710" s="5"/>
      <c r="OJ710" s="5"/>
      <c r="OK710" s="5"/>
      <c r="OL710" s="5"/>
      <c r="OM710" s="5"/>
      <c r="ON710" s="5"/>
      <c r="OO710" s="5"/>
      <c r="OP710" s="5"/>
      <c r="OQ710" s="5"/>
      <c r="OR710" s="5"/>
      <c r="OS710" s="5"/>
      <c r="OT710" s="5"/>
      <c r="OU710" s="5"/>
      <c r="OV710" s="5"/>
      <c r="OW710" s="5"/>
      <c r="OX710" s="5"/>
      <c r="OY710" s="5"/>
      <c r="OZ710" s="5"/>
      <c r="PA710" s="5"/>
      <c r="PB710" s="5"/>
      <c r="PC710" s="5"/>
      <c r="PD710" s="5"/>
      <c r="PE710" s="5"/>
      <c r="PF710" s="5"/>
      <c r="PG710" s="5"/>
      <c r="PH710" s="5"/>
      <c r="PI710" s="5"/>
      <c r="PJ710" s="5"/>
      <c r="PK710" s="5"/>
      <c r="PL710" s="5"/>
      <c r="PM710" s="5"/>
      <c r="PN710" s="5"/>
      <c r="PO710" s="5"/>
      <c r="PP710" s="5"/>
      <c r="PQ710" s="5"/>
      <c r="PR710" s="5"/>
      <c r="PS710" s="5"/>
      <c r="PT710" s="5"/>
      <c r="PU710" s="5"/>
      <c r="PV710" s="5"/>
      <c r="PW710" s="5"/>
      <c r="PX710" s="5"/>
      <c r="PY710" s="5"/>
      <c r="PZ710" s="5"/>
      <c r="QA710" s="5"/>
      <c r="QB710" s="5"/>
      <c r="QC710" s="5"/>
      <c r="QD710" s="5"/>
      <c r="QE710" s="5"/>
      <c r="QF710" s="5"/>
      <c r="QG710" s="5"/>
      <c r="QH710" s="5"/>
      <c r="QI710" s="5"/>
      <c r="QJ710" s="5"/>
      <c r="QK710" s="5"/>
      <c r="QL710" s="5"/>
      <c r="QM710" s="5"/>
      <c r="QN710" s="5"/>
      <c r="QO710" s="5"/>
      <c r="QP710" s="5"/>
      <c r="QQ710" s="5"/>
      <c r="QR710" s="5"/>
      <c r="QS710" s="5"/>
      <c r="QT710" s="5"/>
      <c r="QU710" s="5"/>
      <c r="QV710" s="5"/>
      <c r="QW710" s="5"/>
      <c r="QX710" s="5"/>
      <c r="QY710" s="5"/>
      <c r="QZ710" s="5"/>
      <c r="RA710" s="5"/>
      <c r="RB710" s="5"/>
      <c r="RC710" s="5"/>
      <c r="RD710" s="5"/>
      <c r="RE710" s="5"/>
      <c r="RF710" s="5"/>
      <c r="RG710" s="5"/>
      <c r="RH710" s="5"/>
      <c r="RI710" s="5"/>
      <c r="RJ710" s="5"/>
      <c r="RK710" s="5"/>
      <c r="RL710" s="5"/>
      <c r="RM710" s="5"/>
      <c r="RN710" s="5"/>
      <c r="RO710" s="5"/>
      <c r="RP710" s="5"/>
      <c r="RQ710" s="5"/>
      <c r="RR710" s="5"/>
      <c r="RS710" s="5"/>
      <c r="RT710" s="5"/>
      <c r="RU710" s="5"/>
      <c r="RV710" s="5"/>
      <c r="RW710" s="5"/>
      <c r="RX710" s="5"/>
      <c r="RY710" s="5"/>
      <c r="RZ710" s="5"/>
      <c r="SA710" s="5"/>
      <c r="SB710" s="5"/>
      <c r="SC710" s="5"/>
      <c r="SD710" s="5"/>
      <c r="SE710" s="5"/>
      <c r="SF710" s="5"/>
      <c r="SG710" s="5"/>
      <c r="SH710" s="5"/>
      <c r="SI710" s="5"/>
      <c r="SJ710" s="5"/>
      <c r="SK710" s="5"/>
      <c r="SL710" s="5"/>
      <c r="SM710" s="5"/>
      <c r="SN710" s="5"/>
      <c r="SO710" s="5"/>
      <c r="SP710" s="5"/>
      <c r="SQ710" s="5"/>
      <c r="SR710" s="5"/>
      <c r="SS710" s="5"/>
      <c r="ST710" s="5"/>
      <c r="SU710" s="5"/>
      <c r="SV710" s="5"/>
      <c r="SW710" s="5"/>
      <c r="SX710" s="5"/>
      <c r="SY710" s="5"/>
      <c r="SZ710" s="5"/>
      <c r="TA710" s="5"/>
      <c r="TB710" s="5"/>
      <c r="TC710" s="5"/>
      <c r="TD710" s="5"/>
      <c r="TE710" s="5"/>
      <c r="TF710" s="5"/>
      <c r="TG710" s="5"/>
      <c r="TH710" s="5"/>
      <c r="TI710" s="5"/>
      <c r="TJ710" s="5"/>
      <c r="TK710" s="5"/>
      <c r="TL710" s="5"/>
      <c r="TM710" s="5"/>
      <c r="TN710" s="5"/>
      <c r="TO710" s="5"/>
      <c r="TP710" s="5"/>
      <c r="TQ710" s="5"/>
      <c r="TR710" s="5"/>
      <c r="TS710" s="5"/>
      <c r="TT710" s="5"/>
      <c r="TU710" s="5"/>
      <c r="TV710" s="5"/>
      <c r="TW710" s="5"/>
      <c r="TX710" s="5"/>
      <c r="TY710" s="5"/>
      <c r="TZ710" s="5"/>
      <c r="UA710" s="5"/>
      <c r="UB710" s="5"/>
      <c r="UC710" s="5"/>
      <c r="UD710" s="5"/>
      <c r="UE710" s="5"/>
      <c r="UF710" s="5"/>
      <c r="UG710" s="5"/>
      <c r="UH710" s="5"/>
      <c r="UI710" s="5"/>
      <c r="UJ710" s="5"/>
      <c r="UK710" s="5"/>
      <c r="UL710" s="5"/>
      <c r="UM710" s="5"/>
      <c r="UN710" s="5"/>
      <c r="UO710" s="5"/>
      <c r="UP710" s="5"/>
      <c r="UQ710" s="5"/>
      <c r="UR710" s="5"/>
      <c r="US710" s="5"/>
      <c r="UT710" s="5"/>
      <c r="UU710" s="5"/>
      <c r="UV710" s="5"/>
      <c r="UW710" s="5"/>
      <c r="UX710" s="5"/>
      <c r="UY710" s="5"/>
      <c r="UZ710" s="5"/>
      <c r="VA710" s="5"/>
      <c r="VB710" s="5"/>
      <c r="VC710" s="5"/>
      <c r="VD710" s="5"/>
      <c r="VE710" s="5"/>
      <c r="VF710" s="5"/>
      <c r="VG710" s="5"/>
      <c r="VH710" s="5"/>
      <c r="VI710" s="5"/>
      <c r="VJ710" s="5"/>
      <c r="VK710" s="5"/>
      <c r="VL710" s="5"/>
      <c r="VM710" s="5"/>
      <c r="VN710" s="5"/>
      <c r="VO710" s="5"/>
      <c r="VP710" s="5"/>
      <c r="VQ710" s="5"/>
      <c r="VR710" s="5"/>
      <c r="VS710" s="5"/>
      <c r="VT710" s="5"/>
      <c r="VU710" s="5"/>
      <c r="VV710" s="5"/>
      <c r="VW710" s="5"/>
      <c r="VX710" s="5"/>
      <c r="VY710" s="5"/>
      <c r="VZ710" s="5"/>
      <c r="WA710" s="5"/>
      <c r="WB710" s="5"/>
      <c r="WC710" s="5"/>
      <c r="WD710" s="5"/>
      <c r="WE710" s="5"/>
      <c r="WF710" s="5"/>
      <c r="WG710" s="5"/>
      <c r="WH710" s="5"/>
      <c r="WI710" s="5"/>
      <c r="WJ710" s="5"/>
      <c r="WK710" s="5"/>
      <c r="WL710" s="5"/>
      <c r="WM710" s="5"/>
      <c r="WN710" s="5"/>
      <c r="WO710" s="5"/>
      <c r="WP710" s="5"/>
      <c r="WQ710" s="5"/>
      <c r="WR710" s="5"/>
      <c r="WS710" s="5"/>
      <c r="WT710" s="5"/>
      <c r="WU710" s="5"/>
      <c r="WV710" s="5"/>
      <c r="WW710" s="5"/>
      <c r="WX710" s="5"/>
      <c r="WY710" s="5"/>
      <c r="WZ710" s="5"/>
      <c r="XA710" s="5"/>
      <c r="XB710" s="5"/>
      <c r="XC710" s="5"/>
      <c r="XD710" s="5"/>
      <c r="XE710" s="5"/>
      <c r="XF710" s="5"/>
      <c r="XG710" s="5"/>
      <c r="XH710" s="5"/>
      <c r="XI710" s="5"/>
      <c r="XJ710" s="5"/>
      <c r="XK710" s="5"/>
      <c r="XL710" s="5"/>
      <c r="XM710" s="5"/>
      <c r="XN710" s="5"/>
      <c r="XO710" s="5"/>
      <c r="XP710" s="5"/>
      <c r="XQ710" s="5"/>
      <c r="XR710" s="5"/>
      <c r="XS710" s="5"/>
      <c r="XT710" s="5"/>
      <c r="XU710" s="5"/>
      <c r="XV710" s="5"/>
      <c r="XW710" s="5"/>
      <c r="XX710" s="5"/>
      <c r="XY710" s="5"/>
      <c r="XZ710" s="5"/>
      <c r="YA710" s="5"/>
      <c r="YB710" s="5"/>
      <c r="YC710" s="5"/>
      <c r="YD710" s="5"/>
      <c r="YE710" s="5"/>
      <c r="YF710" s="5"/>
      <c r="YG710" s="5"/>
      <c r="YH710" s="5"/>
      <c r="YI710" s="5"/>
      <c r="YJ710" s="5"/>
      <c r="YK710" s="5"/>
      <c r="YL710" s="5"/>
      <c r="YM710" s="5"/>
      <c r="YN710" s="5"/>
      <c r="YO710" s="5"/>
      <c r="YP710" s="5"/>
      <c r="YQ710" s="5"/>
      <c r="YR710" s="5"/>
      <c r="YS710" s="5"/>
      <c r="YT710" s="5"/>
      <c r="YU710" s="5"/>
      <c r="YV710" s="5"/>
      <c r="YW710" s="5"/>
      <c r="YX710" s="5"/>
      <c r="YY710" s="5"/>
      <c r="YZ710" s="5"/>
      <c r="ZA710" s="5"/>
      <c r="ZB710" s="5"/>
      <c r="ZC710" s="5"/>
      <c r="ZD710" s="5"/>
      <c r="ZE710" s="5"/>
      <c r="ZF710" s="5"/>
      <c r="ZG710" s="5"/>
      <c r="ZH710" s="5"/>
      <c r="ZI710" s="5"/>
      <c r="ZJ710" s="5"/>
      <c r="ZK710" s="5"/>
      <c r="ZL710" s="5"/>
      <c r="ZM710" s="5"/>
      <c r="ZN710" s="5"/>
      <c r="ZO710" s="5"/>
      <c r="ZP710" s="5"/>
      <c r="ZQ710" s="5"/>
      <c r="ZR710" s="5"/>
      <c r="ZS710" s="5"/>
      <c r="ZT710" s="5"/>
      <c r="ZU710" s="5"/>
      <c r="ZV710" s="5"/>
      <c r="ZW710" s="5"/>
      <c r="ZX710" s="5"/>
      <c r="ZY710" s="5"/>
      <c r="ZZ710" s="5"/>
      <c r="AAA710" s="5"/>
      <c r="AAB710" s="5"/>
      <c r="AAC710" s="5"/>
      <c r="AAD710" s="5"/>
      <c r="AAE710" s="5"/>
      <c r="AAF710" s="5"/>
      <c r="AAG710" s="5"/>
      <c r="AAH710" s="5"/>
      <c r="AAI710" s="5"/>
      <c r="AAJ710" s="5"/>
      <c r="AAK710" s="5"/>
      <c r="AAL710" s="5"/>
      <c r="AAM710" s="5"/>
      <c r="AAN710" s="5"/>
      <c r="AAO710" s="5"/>
      <c r="AAP710" s="5"/>
      <c r="AAQ710" s="5"/>
      <c r="AAR710" s="5"/>
      <c r="AAS710" s="5"/>
      <c r="AAT710" s="5"/>
      <c r="AAU710" s="5"/>
      <c r="AAV710" s="5"/>
      <c r="AAW710" s="5"/>
      <c r="AAX710" s="5"/>
      <c r="AAY710" s="5"/>
      <c r="AAZ710" s="5"/>
      <c r="ABA710" s="5"/>
      <c r="ABB710" s="5"/>
      <c r="ABC710" s="5"/>
      <c r="ABD710" s="5"/>
      <c r="ABE710" s="5"/>
      <c r="ABF710" s="5"/>
      <c r="ABG710" s="5"/>
      <c r="ABH710" s="5"/>
      <c r="ABI710" s="5"/>
      <c r="ABJ710" s="5"/>
      <c r="ABK710" s="5"/>
      <c r="ABL710" s="5"/>
      <c r="ABM710" s="5"/>
      <c r="ABN710" s="5"/>
      <c r="ABO710" s="5"/>
      <c r="ABP710" s="5"/>
      <c r="ABQ710" s="5"/>
      <c r="ABR710" s="5"/>
      <c r="ABS710" s="5"/>
      <c r="ABT710" s="5"/>
      <c r="ABU710" s="5"/>
      <c r="ABV710" s="5"/>
      <c r="ABW710" s="5"/>
      <c r="ABX710" s="5"/>
      <c r="ABY710" s="5"/>
      <c r="ABZ710" s="5"/>
      <c r="ACA710" s="5"/>
      <c r="ACB710" s="5"/>
      <c r="ACC710" s="5"/>
      <c r="ACD710" s="5"/>
      <c r="ACE710" s="5"/>
      <c r="ACF710" s="5"/>
      <c r="ACG710" s="5"/>
      <c r="ACH710" s="5"/>
      <c r="ACI710" s="5"/>
      <c r="ACJ710" s="5"/>
      <c r="ACK710" s="5"/>
      <c r="ACL710" s="5"/>
      <c r="ACM710" s="5"/>
      <c r="ACN710" s="5"/>
      <c r="ACO710" s="5"/>
      <c r="ACP710" s="5"/>
      <c r="ACQ710" s="5"/>
      <c r="ACR710" s="5"/>
      <c r="ACS710" s="5"/>
      <c r="ACT710" s="5"/>
      <c r="ACU710" s="5"/>
      <c r="ACV710" s="5"/>
      <c r="ACW710" s="5"/>
      <c r="ACX710" s="5"/>
      <c r="ACY710" s="5"/>
      <c r="ACZ710" s="5"/>
      <c r="ADA710" s="5"/>
      <c r="ADB710" s="5"/>
      <c r="ADC710" s="5"/>
      <c r="ADD710" s="5"/>
      <c r="ADE710" s="5"/>
      <c r="ADF710" s="5"/>
      <c r="ADG710" s="5"/>
      <c r="ADH710" s="5"/>
      <c r="ADI710" s="5"/>
      <c r="ADJ710" s="5"/>
      <c r="ADK710" s="5"/>
      <c r="ADL710" s="5"/>
      <c r="ADM710" s="5"/>
      <c r="ADN710" s="5"/>
      <c r="ADO710" s="5"/>
      <c r="ADP710" s="5"/>
      <c r="ADQ710" s="5"/>
      <c r="ADR710" s="5"/>
      <c r="ADS710" s="5"/>
      <c r="ADT710" s="5"/>
      <c r="ADU710" s="5"/>
      <c r="ADV710" s="5"/>
      <c r="ADW710" s="5"/>
      <c r="ADX710" s="5"/>
      <c r="ADY710" s="5"/>
      <c r="ADZ710" s="5"/>
      <c r="AEA710" s="5"/>
      <c r="AEB710" s="5"/>
      <c r="AEC710" s="5"/>
      <c r="AED710" s="5"/>
      <c r="AEE710" s="5"/>
      <c r="AEF710" s="5"/>
      <c r="AEG710" s="5"/>
      <c r="AEH710" s="5"/>
      <c r="AEI710" s="5"/>
      <c r="AEJ710" s="5"/>
      <c r="AEK710" s="5"/>
      <c r="AEL710" s="5"/>
      <c r="AEM710" s="5"/>
      <c r="AEN710" s="5"/>
      <c r="AEO710" s="5"/>
      <c r="AEP710" s="5"/>
      <c r="AEQ710" s="5"/>
      <c r="AER710" s="5"/>
      <c r="AES710" s="5"/>
      <c r="AET710" s="5"/>
      <c r="AEU710" s="5"/>
      <c r="AEV710" s="5"/>
      <c r="AEW710" s="5"/>
      <c r="AEX710" s="5"/>
      <c r="AEY710" s="5"/>
      <c r="AEZ710" s="5"/>
      <c r="AFA710" s="5"/>
      <c r="AFB710" s="5"/>
      <c r="AFC710" s="5"/>
      <c r="AFD710" s="5"/>
      <c r="AFE710" s="5"/>
      <c r="AFF710" s="5"/>
      <c r="AFG710" s="5"/>
      <c r="AFH710" s="5"/>
      <c r="AFI710" s="5"/>
      <c r="AFJ710" s="5"/>
      <c r="AFK710" s="5"/>
      <c r="AFL710" s="5"/>
      <c r="AFM710" s="5"/>
      <c r="AFN710" s="5"/>
      <c r="AFO710" s="5"/>
      <c r="AFP710" s="5"/>
      <c r="AFQ710" s="5"/>
      <c r="AFR710" s="5"/>
      <c r="AFS710" s="5"/>
      <c r="AFT710" s="5"/>
      <c r="AFU710" s="5"/>
      <c r="AFV710" s="5"/>
      <c r="AFW710" s="5"/>
      <c r="AFX710" s="5"/>
      <c r="AFY710" s="5"/>
      <c r="AFZ710" s="5"/>
      <c r="AGA710" s="5"/>
      <c r="AGB710" s="5"/>
      <c r="AGC710" s="5"/>
      <c r="AGD710" s="5"/>
      <c r="AGE710" s="5"/>
      <c r="AGF710" s="5"/>
      <c r="AGG710" s="5"/>
      <c r="AGH710" s="5"/>
      <c r="AGI710" s="5"/>
      <c r="AGJ710" s="5"/>
      <c r="AGK710" s="5"/>
      <c r="AGL710" s="5"/>
      <c r="AGM710" s="5"/>
      <c r="AGN710" s="5"/>
      <c r="AGO710" s="5"/>
      <c r="AGP710" s="5"/>
      <c r="AGQ710" s="5"/>
      <c r="AGR710" s="5"/>
      <c r="AGS710" s="5"/>
      <c r="AGT710" s="5"/>
      <c r="AGU710" s="5"/>
      <c r="AGV710" s="5"/>
      <c r="AGW710" s="5"/>
      <c r="AGX710" s="5"/>
      <c r="AGY710" s="5"/>
      <c r="AGZ710" s="5"/>
      <c r="AHA710" s="5"/>
      <c r="AHB710" s="5"/>
      <c r="AHC710" s="5"/>
      <c r="AHD710" s="5"/>
      <c r="AHE710" s="5"/>
      <c r="AHF710" s="5"/>
      <c r="AHG710" s="5"/>
      <c r="AHH710" s="5"/>
      <c r="AHI710" s="5"/>
      <c r="AHJ710" s="5"/>
      <c r="AHK710" s="5"/>
      <c r="AHL710" s="5"/>
      <c r="AHM710" s="5"/>
      <c r="AHN710" s="5"/>
      <c r="AHO710" s="5"/>
      <c r="AHP710" s="5"/>
      <c r="AHQ710" s="5"/>
      <c r="AHR710" s="5"/>
      <c r="AHS710" s="5"/>
      <c r="AHT710" s="5"/>
      <c r="AHU710" s="5"/>
      <c r="AHV710" s="5"/>
      <c r="AHW710" s="5"/>
      <c r="AHX710" s="5"/>
      <c r="AHY710" s="5"/>
      <c r="AHZ710" s="5"/>
      <c r="AIA710" s="5"/>
      <c r="AIB710" s="5"/>
      <c r="AIC710" s="5"/>
      <c r="AID710" s="5"/>
      <c r="AIE710" s="5"/>
      <c r="AIF710" s="5"/>
      <c r="AIG710" s="5"/>
      <c r="AIH710" s="5"/>
      <c r="AII710" s="5"/>
      <c r="AIJ710" s="5"/>
      <c r="AIK710" s="5"/>
      <c r="AIL710" s="5"/>
      <c r="AIM710" s="5"/>
      <c r="AIN710" s="5"/>
      <c r="AIO710" s="5"/>
      <c r="AIP710" s="5"/>
      <c r="AIQ710" s="5"/>
      <c r="AIR710" s="5"/>
      <c r="AIS710" s="5"/>
      <c r="AIT710" s="5"/>
      <c r="AIU710" s="5"/>
      <c r="AIV710" s="5"/>
      <c r="AIW710" s="5"/>
      <c r="AIX710" s="5"/>
      <c r="AIY710" s="5"/>
      <c r="AIZ710" s="5"/>
      <c r="AJA710" s="5"/>
      <c r="AJB710" s="5"/>
      <c r="AJC710" s="5"/>
      <c r="AJD710" s="5"/>
      <c r="AJE710" s="5"/>
      <c r="AJF710" s="5"/>
      <c r="AJG710" s="5"/>
      <c r="AJH710" s="5"/>
      <c r="AJI710" s="5"/>
      <c r="AJJ710" s="5"/>
      <c r="AJK710" s="5"/>
      <c r="AJL710" s="5"/>
      <c r="AJM710" s="5"/>
      <c r="AJN710" s="5"/>
      <c r="AJO710" s="5"/>
      <c r="AJP710" s="5"/>
      <c r="AJQ710" s="5"/>
      <c r="AJR710" s="5"/>
      <c r="AJS710" s="5"/>
      <c r="AJT710" s="5"/>
      <c r="AJU710" s="5"/>
      <c r="AJV710" s="5"/>
      <c r="AJW710" s="5"/>
      <c r="AJX710" s="5"/>
      <c r="AJY710" s="5"/>
      <c r="AJZ710" s="5"/>
      <c r="AKA710" s="5"/>
      <c r="AKB710" s="5"/>
      <c r="AKC710" s="5"/>
      <c r="AKD710" s="5"/>
      <c r="AKE710" s="5"/>
      <c r="AKF710" s="5"/>
      <c r="AKG710" s="5"/>
      <c r="AKH710" s="5"/>
      <c r="AKI710" s="5"/>
      <c r="AKJ710" s="5"/>
      <c r="AKK710" s="5"/>
      <c r="AKL710" s="5"/>
      <c r="AKM710" s="5"/>
      <c r="AKN710" s="5"/>
      <c r="AKO710" s="5"/>
      <c r="AKP710" s="5"/>
      <c r="AKQ710" s="5"/>
      <c r="AKR710" s="5"/>
      <c r="AKS710" s="5"/>
      <c r="AKT710" s="5"/>
      <c r="AKU710" s="5"/>
      <c r="AKV710" s="5"/>
      <c r="AKW710" s="5"/>
      <c r="AKX710" s="5"/>
      <c r="AKY710" s="5"/>
      <c r="AKZ710" s="5"/>
      <c r="ALA710" s="5"/>
      <c r="ALB710" s="5"/>
      <c r="ALC710" s="5"/>
      <c r="ALD710" s="5"/>
      <c r="ALE710" s="5"/>
      <c r="ALF710" s="5"/>
      <c r="ALG710" s="5"/>
      <c r="ALH710" s="5"/>
      <c r="ALI710" s="5"/>
      <c r="ALJ710" s="5"/>
      <c r="ALK710" s="5"/>
      <c r="ALL710" s="5"/>
      <c r="ALM710" s="5"/>
      <c r="ALN710" s="5"/>
      <c r="ALO710" s="5"/>
      <c r="ALP710" s="5"/>
      <c r="ALQ710" s="5"/>
      <c r="ALR710" s="5"/>
      <c r="ALS710" s="5"/>
      <c r="ALT710" s="5"/>
      <c r="ALU710" s="5"/>
      <c r="ALV710" s="5"/>
      <c r="ALW710" s="5"/>
      <c r="ALX710" s="5"/>
      <c r="ALY710" s="5"/>
      <c r="ALZ710" s="5"/>
      <c r="AMA710" s="5"/>
      <c r="AMB710" s="5"/>
      <c r="AMC710" s="5"/>
      <c r="AMD710" s="5"/>
      <c r="AME710" s="5"/>
      <c r="AMF710" s="5"/>
      <c r="AMG710" s="5"/>
      <c r="AMH710" s="5"/>
      <c r="AMI710" s="5"/>
      <c r="AMJ710" s="5"/>
      <c r="AMK710" s="5"/>
      <c r="AML710" s="5"/>
      <c r="AMM710" s="5"/>
      <c r="AMN710" s="5"/>
      <c r="AMO710" s="5"/>
      <c r="AMP710" s="5"/>
      <c r="AMQ710" s="5"/>
      <c r="AMR710" s="5"/>
      <c r="AMS710" s="5"/>
      <c r="AMT710" s="5"/>
      <c r="AMU710" s="5"/>
      <c r="AMV710" s="5"/>
      <c r="AMW710" s="5"/>
      <c r="AMX710" s="5"/>
      <c r="AMY710" s="5"/>
      <c r="AMZ710" s="5"/>
      <c r="ANA710" s="5"/>
      <c r="ANB710" s="5"/>
      <c r="ANC710" s="5"/>
      <c r="AND710" s="5"/>
      <c r="ANE710" s="5"/>
      <c r="ANF710" s="5"/>
      <c r="ANG710" s="5"/>
      <c r="ANH710" s="5"/>
      <c r="ANI710" s="5"/>
      <c r="ANJ710" s="5"/>
      <c r="ANK710" s="5"/>
      <c r="ANL710" s="5"/>
      <c r="ANM710" s="5"/>
      <c r="ANN710" s="5"/>
      <c r="ANO710" s="5"/>
      <c r="ANP710" s="5"/>
      <c r="ANQ710" s="5"/>
      <c r="ANR710" s="5"/>
      <c r="ANS710" s="5"/>
      <c r="ANT710" s="5"/>
      <c r="ANU710" s="5"/>
      <c r="ANV710" s="5"/>
      <c r="ANW710" s="5"/>
      <c r="ANX710" s="5"/>
      <c r="ANY710" s="5"/>
      <c r="ANZ710" s="5"/>
      <c r="AOA710" s="5"/>
      <c r="AOB710" s="5"/>
      <c r="AOC710" s="5"/>
      <c r="AOD710" s="5"/>
      <c r="AOE710" s="5"/>
      <c r="AOF710" s="5"/>
      <c r="AOG710" s="5"/>
      <c r="AOH710" s="5"/>
      <c r="AOI710" s="5"/>
      <c r="AOJ710" s="5"/>
      <c r="AOK710" s="5"/>
      <c r="AOL710" s="5"/>
      <c r="AOM710" s="5"/>
      <c r="AON710" s="5"/>
      <c r="AOO710" s="5"/>
      <c r="AOP710" s="5"/>
      <c r="AOQ710" s="5"/>
      <c r="AOR710" s="5"/>
      <c r="AOS710" s="5"/>
      <c r="AOT710" s="5"/>
      <c r="AOU710" s="5"/>
      <c r="AOV710" s="5"/>
      <c r="AOW710" s="5"/>
      <c r="AOX710" s="5"/>
      <c r="AOY710" s="5"/>
      <c r="AOZ710" s="5"/>
      <c r="APA710" s="5"/>
      <c r="APB710" s="5"/>
      <c r="APC710" s="5"/>
      <c r="APD710" s="5"/>
      <c r="APE710" s="5"/>
      <c r="APF710" s="5"/>
      <c r="APG710" s="5"/>
      <c r="APH710" s="5"/>
      <c r="API710" s="5"/>
      <c r="APJ710" s="5"/>
      <c r="APK710" s="5"/>
      <c r="APL710" s="5"/>
      <c r="APM710" s="5"/>
      <c r="APN710" s="5"/>
      <c r="APO710" s="5"/>
      <c r="APP710" s="5"/>
      <c r="APQ710" s="5"/>
      <c r="APR710" s="5"/>
      <c r="APS710" s="5"/>
      <c r="APT710" s="5"/>
      <c r="APU710" s="5"/>
      <c r="APV710" s="5"/>
      <c r="APW710" s="5"/>
      <c r="APX710" s="5"/>
      <c r="APY710" s="5"/>
      <c r="APZ710" s="5"/>
      <c r="AQA710" s="5"/>
      <c r="AQB710" s="5"/>
      <c r="AQC710" s="5"/>
      <c r="AQD710" s="5"/>
      <c r="AQE710" s="5"/>
      <c r="AQF710" s="5"/>
      <c r="AQG710" s="5"/>
      <c r="AQH710" s="5"/>
      <c r="AQI710" s="5"/>
      <c r="AQJ710" s="5"/>
      <c r="AQK710" s="5"/>
      <c r="AQL710" s="5"/>
      <c r="AQM710" s="5"/>
      <c r="AQN710" s="5"/>
      <c r="AQO710" s="5"/>
      <c r="AQP710" s="5"/>
      <c r="AQQ710" s="5"/>
      <c r="AQR710" s="5"/>
      <c r="AQS710" s="5"/>
      <c r="AQT710" s="5"/>
      <c r="AQU710" s="5"/>
      <c r="AQV710" s="5"/>
      <c r="AQW710" s="5"/>
      <c r="AQX710" s="5"/>
      <c r="AQY710" s="5"/>
      <c r="AQZ710" s="5"/>
      <c r="ARA710" s="5"/>
      <c r="ARB710" s="5"/>
      <c r="ARC710" s="5"/>
      <c r="ARD710" s="5"/>
      <c r="ARE710" s="5"/>
      <c r="ARF710" s="5"/>
      <c r="ARG710" s="5"/>
      <c r="ARH710" s="5"/>
      <c r="ARI710" s="5"/>
      <c r="ARJ710" s="5"/>
      <c r="ARK710" s="5"/>
      <c r="ARL710" s="5"/>
      <c r="ARM710" s="5"/>
      <c r="ARN710" s="5"/>
      <c r="ARO710" s="5"/>
      <c r="ARP710" s="5"/>
      <c r="ARQ710" s="5"/>
      <c r="ARR710" s="5"/>
      <c r="ARS710" s="5"/>
      <c r="ART710" s="5"/>
      <c r="ARU710" s="5"/>
      <c r="ARV710" s="5"/>
      <c r="ARW710" s="5"/>
      <c r="ARX710" s="5"/>
      <c r="ARY710" s="5"/>
      <c r="ARZ710" s="5"/>
      <c r="ASA710" s="5"/>
      <c r="ASB710" s="5"/>
      <c r="ASC710" s="5"/>
      <c r="ASD710" s="5"/>
      <c r="ASE710" s="5"/>
      <c r="ASF710" s="5"/>
      <c r="ASG710" s="5"/>
      <c r="ASH710" s="5"/>
      <c r="ASI710" s="5"/>
      <c r="ASJ710" s="5"/>
      <c r="ASK710" s="5"/>
      <c r="ASL710" s="5"/>
      <c r="ASM710" s="5"/>
      <c r="ASN710" s="5"/>
      <c r="ASO710" s="5"/>
      <c r="ASP710" s="5"/>
      <c r="ASQ710" s="5"/>
      <c r="ASR710" s="5"/>
      <c r="ASS710" s="5"/>
      <c r="AST710" s="5"/>
      <c r="ASU710" s="5"/>
      <c r="ASV710" s="5"/>
      <c r="ASW710" s="5"/>
      <c r="ASX710" s="5"/>
      <c r="ASY710" s="5"/>
      <c r="ASZ710" s="5"/>
      <c r="ATA710" s="5"/>
      <c r="ATB710" s="5"/>
      <c r="ATC710" s="5"/>
      <c r="ATD710" s="5"/>
      <c r="ATE710" s="5"/>
      <c r="ATF710" s="5"/>
      <c r="ATG710" s="5"/>
      <c r="ATH710" s="5"/>
      <c r="ATI710" s="5"/>
      <c r="ATJ710" s="5"/>
      <c r="ATK710" s="5"/>
      <c r="ATL710" s="5"/>
      <c r="ATM710" s="5"/>
      <c r="ATN710" s="5"/>
      <c r="ATO710" s="5"/>
      <c r="ATP710" s="5"/>
      <c r="ATQ710" s="5"/>
      <c r="ATR710" s="5"/>
      <c r="ATS710" s="5"/>
      <c r="ATT710" s="5"/>
      <c r="ATU710" s="5"/>
      <c r="ATV710" s="5"/>
      <c r="ATW710" s="5"/>
      <c r="ATX710" s="5"/>
    </row>
    <row r="711" spans="1:1220" s="67" customFormat="1" ht="12.75" customHeight="1" x14ac:dyDescent="0.35">
      <c r="A711" s="76" t="s">
        <v>229</v>
      </c>
      <c r="B711" s="99" t="s">
        <v>171</v>
      </c>
      <c r="C711" s="76" t="s">
        <v>2611</v>
      </c>
      <c r="D711" s="142" t="s">
        <v>2611</v>
      </c>
      <c r="E711" s="76"/>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c r="EC711" s="5"/>
      <c r="ED711" s="5"/>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s="5"/>
      <c r="FG711" s="5"/>
      <c r="FH711" s="5"/>
      <c r="FI711" s="5"/>
      <c r="FJ711" s="5"/>
      <c r="FK711" s="5"/>
      <c r="FL711" s="5"/>
      <c r="FM711" s="5"/>
      <c r="FN711" s="5"/>
      <c r="FO711" s="5"/>
      <c r="FP711" s="5"/>
      <c r="FQ711" s="5"/>
      <c r="FR711" s="5"/>
      <c r="FS711" s="5"/>
      <c r="FT711" s="5"/>
      <c r="FU711" s="5"/>
      <c r="FV711" s="5"/>
      <c r="FW711" s="5"/>
      <c r="FX711" s="5"/>
      <c r="FY711" s="5"/>
      <c r="FZ711" s="5"/>
      <c r="GA711" s="5"/>
      <c r="GB711" s="5"/>
      <c r="GC711" s="5"/>
      <c r="GD711" s="5"/>
      <c r="GE711" s="5"/>
      <c r="GF711" s="5"/>
      <c r="GG711" s="5"/>
      <c r="GH711" s="5"/>
      <c r="GI711" s="5"/>
      <c r="GJ711" s="5"/>
      <c r="GK711" s="5"/>
      <c r="GL711" s="5"/>
      <c r="GM711" s="5"/>
      <c r="GN711" s="5"/>
      <c r="GO711" s="5"/>
      <c r="GP711" s="5"/>
      <c r="GQ711" s="5"/>
      <c r="GR711" s="5"/>
      <c r="GS711" s="5"/>
      <c r="GT711" s="5"/>
      <c r="GU711" s="5"/>
      <c r="GV711" s="5"/>
      <c r="GW711" s="5"/>
      <c r="GX711" s="5"/>
      <c r="GY711" s="5"/>
      <c r="GZ711" s="5"/>
      <c r="HA711" s="5"/>
      <c r="HB711" s="5"/>
      <c r="HC711" s="5"/>
      <c r="HD711" s="5"/>
      <c r="HE711" s="5"/>
      <c r="HF711" s="5"/>
      <c r="HG711" s="5"/>
      <c r="HH711" s="5"/>
      <c r="HI711" s="5"/>
      <c r="HJ711" s="5"/>
      <c r="HK711" s="5"/>
      <c r="HL711" s="5"/>
      <c r="HM711" s="5"/>
      <c r="HN711" s="5"/>
      <c r="HO711" s="5"/>
      <c r="HP711" s="5"/>
      <c r="HQ711" s="5"/>
      <c r="HR711" s="5"/>
      <c r="HS711" s="5"/>
      <c r="HT711" s="5"/>
      <c r="HU711" s="5"/>
      <c r="HV711" s="5"/>
      <c r="HW711" s="5"/>
      <c r="HX711" s="5"/>
      <c r="HY711" s="5"/>
      <c r="HZ711" s="5"/>
      <c r="IA711" s="5"/>
      <c r="IB711" s="5"/>
      <c r="IC711" s="5"/>
      <c r="ID711" s="5"/>
      <c r="IE711" s="5"/>
      <c r="IF711" s="5"/>
      <c r="IG711" s="5"/>
      <c r="IH711" s="5"/>
      <c r="II711" s="5"/>
      <c r="IJ711" s="5"/>
      <c r="IK711" s="5"/>
      <c r="IL711" s="5"/>
      <c r="IM711" s="5"/>
      <c r="IN711" s="5"/>
      <c r="IO711" s="5"/>
      <c r="IP711" s="5"/>
      <c r="IQ711" s="5"/>
      <c r="IR711" s="5"/>
      <c r="IS711" s="5"/>
      <c r="IT711" s="5"/>
      <c r="IU711" s="5"/>
      <c r="IV711" s="5"/>
      <c r="IW711" s="5"/>
      <c r="IX711" s="5"/>
      <c r="IY711" s="5"/>
      <c r="IZ711" s="5"/>
      <c r="JA711" s="5"/>
      <c r="JB711" s="5"/>
      <c r="JC711" s="5"/>
      <c r="JD711" s="5"/>
      <c r="JE711" s="5"/>
      <c r="JF711" s="5"/>
      <c r="JG711" s="5"/>
      <c r="JH711" s="5"/>
      <c r="JI711" s="5"/>
      <c r="JJ711" s="5"/>
      <c r="JK711" s="5"/>
      <c r="JL711" s="5"/>
      <c r="JM711" s="5"/>
      <c r="JN711" s="5"/>
      <c r="JO711" s="5"/>
      <c r="JP711" s="5"/>
      <c r="JQ711" s="5"/>
      <c r="JR711" s="5"/>
      <c r="JS711" s="5"/>
      <c r="JT711" s="5"/>
      <c r="JU711" s="5"/>
      <c r="JV711" s="5"/>
      <c r="JW711" s="5"/>
      <c r="JX711" s="5"/>
      <c r="JY711" s="5"/>
      <c r="JZ711" s="5"/>
      <c r="KA711" s="5"/>
      <c r="KB711" s="5"/>
      <c r="KC711" s="5"/>
      <c r="KD711" s="5"/>
      <c r="KE711" s="5"/>
      <c r="KF711" s="5"/>
      <c r="KG711" s="5"/>
      <c r="KH711" s="5"/>
      <c r="KI711" s="5"/>
      <c r="KJ711" s="5"/>
      <c r="KK711" s="5"/>
      <c r="KL711" s="5"/>
      <c r="KM711" s="5"/>
      <c r="KN711" s="5"/>
      <c r="KO711" s="5"/>
      <c r="KP711" s="5"/>
      <c r="KQ711" s="5"/>
      <c r="KR711" s="5"/>
      <c r="KS711" s="5"/>
      <c r="KT711" s="5"/>
      <c r="KU711" s="5"/>
      <c r="KV711" s="5"/>
      <c r="KW711" s="5"/>
      <c r="KX711" s="5"/>
      <c r="KY711" s="5"/>
      <c r="KZ711" s="5"/>
      <c r="LA711" s="5"/>
      <c r="LB711" s="5"/>
      <c r="LC711" s="5"/>
      <c r="LD711" s="5"/>
      <c r="LE711" s="5"/>
      <c r="LF711" s="5"/>
      <c r="LG711" s="5"/>
      <c r="LH711" s="5"/>
      <c r="LI711" s="5"/>
      <c r="LJ711" s="5"/>
      <c r="LK711" s="5"/>
      <c r="LL711" s="5"/>
      <c r="LM711" s="5"/>
      <c r="LN711" s="5"/>
      <c r="LO711" s="5"/>
      <c r="LP711" s="5"/>
      <c r="LQ711" s="5"/>
      <c r="LR711" s="5"/>
      <c r="LS711" s="5"/>
      <c r="LT711" s="5"/>
      <c r="LU711" s="5"/>
      <c r="LV711" s="5"/>
      <c r="LW711" s="5"/>
      <c r="LX711" s="5"/>
      <c r="LY711" s="5"/>
      <c r="LZ711" s="5"/>
      <c r="MA711" s="5"/>
      <c r="MB711" s="5"/>
      <c r="MC711" s="5"/>
      <c r="MD711" s="5"/>
      <c r="ME711" s="5"/>
      <c r="MF711" s="5"/>
      <c r="MG711" s="5"/>
      <c r="MH711" s="5"/>
      <c r="MI711" s="5"/>
      <c r="MJ711" s="5"/>
      <c r="MK711" s="5"/>
      <c r="ML711" s="5"/>
      <c r="MM711" s="5"/>
      <c r="MN711" s="5"/>
      <c r="MO711" s="5"/>
      <c r="MP711" s="5"/>
      <c r="MQ711" s="5"/>
      <c r="MR711" s="5"/>
      <c r="MS711" s="5"/>
      <c r="MT711" s="5"/>
      <c r="MU711" s="5"/>
      <c r="MV711" s="5"/>
      <c r="MW711" s="5"/>
      <c r="MX711" s="5"/>
      <c r="MY711" s="5"/>
      <c r="MZ711" s="5"/>
      <c r="NA711" s="5"/>
      <c r="NB711" s="5"/>
      <c r="NC711" s="5"/>
      <c r="ND711" s="5"/>
      <c r="NE711" s="5"/>
      <c r="NF711" s="5"/>
      <c r="NG711" s="5"/>
      <c r="NH711" s="5"/>
      <c r="NI711" s="5"/>
      <c r="NJ711" s="5"/>
      <c r="NK711" s="5"/>
      <c r="NL711" s="5"/>
      <c r="NM711" s="5"/>
      <c r="NN711" s="5"/>
      <c r="NO711" s="5"/>
      <c r="NP711" s="5"/>
      <c r="NQ711" s="5"/>
      <c r="NR711" s="5"/>
      <c r="NS711" s="5"/>
      <c r="NT711" s="5"/>
      <c r="NU711" s="5"/>
      <c r="NV711" s="5"/>
      <c r="NW711" s="5"/>
      <c r="NX711" s="5"/>
      <c r="NY711" s="5"/>
      <c r="NZ711" s="5"/>
      <c r="OA711" s="5"/>
      <c r="OB711" s="5"/>
      <c r="OC711" s="5"/>
      <c r="OD711" s="5"/>
      <c r="OE711" s="5"/>
      <c r="OF711" s="5"/>
      <c r="OG711" s="5"/>
      <c r="OH711" s="5"/>
      <c r="OI711" s="5"/>
      <c r="OJ711" s="5"/>
      <c r="OK711" s="5"/>
      <c r="OL711" s="5"/>
      <c r="OM711" s="5"/>
      <c r="ON711" s="5"/>
      <c r="OO711" s="5"/>
      <c r="OP711" s="5"/>
      <c r="OQ711" s="5"/>
      <c r="OR711" s="5"/>
      <c r="OS711" s="5"/>
      <c r="OT711" s="5"/>
      <c r="OU711" s="5"/>
      <c r="OV711" s="5"/>
      <c r="OW711" s="5"/>
      <c r="OX711" s="5"/>
      <c r="OY711" s="5"/>
      <c r="OZ711" s="5"/>
      <c r="PA711" s="5"/>
      <c r="PB711" s="5"/>
      <c r="PC711" s="5"/>
      <c r="PD711" s="5"/>
      <c r="PE711" s="5"/>
      <c r="PF711" s="5"/>
      <c r="PG711" s="5"/>
      <c r="PH711" s="5"/>
      <c r="PI711" s="5"/>
      <c r="PJ711" s="5"/>
      <c r="PK711" s="5"/>
      <c r="PL711" s="5"/>
      <c r="PM711" s="5"/>
      <c r="PN711" s="5"/>
      <c r="PO711" s="5"/>
      <c r="PP711" s="5"/>
      <c r="PQ711" s="5"/>
      <c r="PR711" s="5"/>
      <c r="PS711" s="5"/>
      <c r="PT711" s="5"/>
      <c r="PU711" s="5"/>
      <c r="PV711" s="5"/>
      <c r="PW711" s="5"/>
      <c r="PX711" s="5"/>
      <c r="PY711" s="5"/>
      <c r="PZ711" s="5"/>
      <c r="QA711" s="5"/>
      <c r="QB711" s="5"/>
      <c r="QC711" s="5"/>
      <c r="QD711" s="5"/>
      <c r="QE711" s="5"/>
      <c r="QF711" s="5"/>
      <c r="QG711" s="5"/>
      <c r="QH711" s="5"/>
      <c r="QI711" s="5"/>
      <c r="QJ711" s="5"/>
      <c r="QK711" s="5"/>
      <c r="QL711" s="5"/>
      <c r="QM711" s="5"/>
      <c r="QN711" s="5"/>
      <c r="QO711" s="5"/>
      <c r="QP711" s="5"/>
      <c r="QQ711" s="5"/>
      <c r="QR711" s="5"/>
      <c r="QS711" s="5"/>
      <c r="QT711" s="5"/>
      <c r="QU711" s="5"/>
      <c r="QV711" s="5"/>
      <c r="QW711" s="5"/>
      <c r="QX711" s="5"/>
      <c r="QY711" s="5"/>
      <c r="QZ711" s="5"/>
      <c r="RA711" s="5"/>
      <c r="RB711" s="5"/>
      <c r="RC711" s="5"/>
      <c r="RD711" s="5"/>
      <c r="RE711" s="5"/>
      <c r="RF711" s="5"/>
      <c r="RG711" s="5"/>
      <c r="RH711" s="5"/>
      <c r="RI711" s="5"/>
      <c r="RJ711" s="5"/>
      <c r="RK711" s="5"/>
      <c r="RL711" s="5"/>
      <c r="RM711" s="5"/>
      <c r="RN711" s="5"/>
      <c r="RO711" s="5"/>
      <c r="RP711" s="5"/>
      <c r="RQ711" s="5"/>
      <c r="RR711" s="5"/>
      <c r="RS711" s="5"/>
      <c r="RT711" s="5"/>
      <c r="RU711" s="5"/>
      <c r="RV711" s="5"/>
      <c r="RW711" s="5"/>
      <c r="RX711" s="5"/>
      <c r="RY711" s="5"/>
      <c r="RZ711" s="5"/>
      <c r="SA711" s="5"/>
      <c r="SB711" s="5"/>
      <c r="SC711" s="5"/>
      <c r="SD711" s="5"/>
      <c r="SE711" s="5"/>
      <c r="SF711" s="5"/>
      <c r="SG711" s="5"/>
      <c r="SH711" s="5"/>
      <c r="SI711" s="5"/>
      <c r="SJ711" s="5"/>
      <c r="SK711" s="5"/>
      <c r="SL711" s="5"/>
      <c r="SM711" s="5"/>
      <c r="SN711" s="5"/>
      <c r="SO711" s="5"/>
      <c r="SP711" s="5"/>
      <c r="SQ711" s="5"/>
      <c r="SR711" s="5"/>
      <c r="SS711" s="5"/>
      <c r="ST711" s="5"/>
      <c r="SU711" s="5"/>
      <c r="SV711" s="5"/>
      <c r="SW711" s="5"/>
      <c r="SX711" s="5"/>
      <c r="SY711" s="5"/>
      <c r="SZ711" s="5"/>
      <c r="TA711" s="5"/>
      <c r="TB711" s="5"/>
      <c r="TC711" s="5"/>
      <c r="TD711" s="5"/>
      <c r="TE711" s="5"/>
      <c r="TF711" s="5"/>
      <c r="TG711" s="5"/>
      <c r="TH711" s="5"/>
      <c r="TI711" s="5"/>
      <c r="TJ711" s="5"/>
      <c r="TK711" s="5"/>
      <c r="TL711" s="5"/>
      <c r="TM711" s="5"/>
      <c r="TN711" s="5"/>
      <c r="TO711" s="5"/>
      <c r="TP711" s="5"/>
      <c r="TQ711" s="5"/>
      <c r="TR711" s="5"/>
      <c r="TS711" s="5"/>
      <c r="TT711" s="5"/>
      <c r="TU711" s="5"/>
      <c r="TV711" s="5"/>
      <c r="TW711" s="5"/>
      <c r="TX711" s="5"/>
      <c r="TY711" s="5"/>
      <c r="TZ711" s="5"/>
      <c r="UA711" s="5"/>
      <c r="UB711" s="5"/>
      <c r="UC711" s="5"/>
      <c r="UD711" s="5"/>
      <c r="UE711" s="5"/>
      <c r="UF711" s="5"/>
      <c r="UG711" s="5"/>
      <c r="UH711" s="5"/>
      <c r="UI711" s="5"/>
      <c r="UJ711" s="5"/>
      <c r="UK711" s="5"/>
      <c r="UL711" s="5"/>
      <c r="UM711" s="5"/>
      <c r="UN711" s="5"/>
      <c r="UO711" s="5"/>
      <c r="UP711" s="5"/>
      <c r="UQ711" s="5"/>
      <c r="UR711" s="5"/>
      <c r="US711" s="5"/>
      <c r="UT711" s="5"/>
      <c r="UU711" s="5"/>
      <c r="UV711" s="5"/>
      <c r="UW711" s="5"/>
      <c r="UX711" s="5"/>
      <c r="UY711" s="5"/>
      <c r="UZ711" s="5"/>
      <c r="VA711" s="5"/>
      <c r="VB711" s="5"/>
      <c r="VC711" s="5"/>
      <c r="VD711" s="5"/>
      <c r="VE711" s="5"/>
      <c r="VF711" s="5"/>
      <c r="VG711" s="5"/>
      <c r="VH711" s="5"/>
      <c r="VI711" s="5"/>
      <c r="VJ711" s="5"/>
      <c r="VK711" s="5"/>
      <c r="VL711" s="5"/>
      <c r="VM711" s="5"/>
      <c r="VN711" s="5"/>
      <c r="VO711" s="5"/>
      <c r="VP711" s="5"/>
      <c r="VQ711" s="5"/>
      <c r="VR711" s="5"/>
      <c r="VS711" s="5"/>
      <c r="VT711" s="5"/>
      <c r="VU711" s="5"/>
      <c r="VV711" s="5"/>
      <c r="VW711" s="5"/>
      <c r="VX711" s="5"/>
      <c r="VY711" s="5"/>
      <c r="VZ711" s="5"/>
      <c r="WA711" s="5"/>
      <c r="WB711" s="5"/>
      <c r="WC711" s="5"/>
      <c r="WD711" s="5"/>
      <c r="WE711" s="5"/>
      <c r="WF711" s="5"/>
      <c r="WG711" s="5"/>
      <c r="WH711" s="5"/>
      <c r="WI711" s="5"/>
      <c r="WJ711" s="5"/>
      <c r="WK711" s="5"/>
      <c r="WL711" s="5"/>
      <c r="WM711" s="5"/>
      <c r="WN711" s="5"/>
      <c r="WO711" s="5"/>
      <c r="WP711" s="5"/>
      <c r="WQ711" s="5"/>
      <c r="WR711" s="5"/>
      <c r="WS711" s="5"/>
      <c r="WT711" s="5"/>
      <c r="WU711" s="5"/>
      <c r="WV711" s="5"/>
      <c r="WW711" s="5"/>
      <c r="WX711" s="5"/>
      <c r="WY711" s="5"/>
      <c r="WZ711" s="5"/>
      <c r="XA711" s="5"/>
      <c r="XB711" s="5"/>
      <c r="XC711" s="5"/>
      <c r="XD711" s="5"/>
      <c r="XE711" s="5"/>
      <c r="XF711" s="5"/>
      <c r="XG711" s="5"/>
      <c r="XH711" s="5"/>
      <c r="XI711" s="5"/>
      <c r="XJ711" s="5"/>
      <c r="XK711" s="5"/>
      <c r="XL711" s="5"/>
      <c r="XM711" s="5"/>
      <c r="XN711" s="5"/>
      <c r="XO711" s="5"/>
      <c r="XP711" s="5"/>
      <c r="XQ711" s="5"/>
      <c r="XR711" s="5"/>
      <c r="XS711" s="5"/>
      <c r="XT711" s="5"/>
      <c r="XU711" s="5"/>
      <c r="XV711" s="5"/>
      <c r="XW711" s="5"/>
      <c r="XX711" s="5"/>
      <c r="XY711" s="5"/>
      <c r="XZ711" s="5"/>
      <c r="YA711" s="5"/>
      <c r="YB711" s="5"/>
      <c r="YC711" s="5"/>
      <c r="YD711" s="5"/>
      <c r="YE711" s="5"/>
      <c r="YF711" s="5"/>
      <c r="YG711" s="5"/>
      <c r="YH711" s="5"/>
      <c r="YI711" s="5"/>
      <c r="YJ711" s="5"/>
      <c r="YK711" s="5"/>
      <c r="YL711" s="5"/>
      <c r="YM711" s="5"/>
      <c r="YN711" s="5"/>
      <c r="YO711" s="5"/>
      <c r="YP711" s="5"/>
      <c r="YQ711" s="5"/>
      <c r="YR711" s="5"/>
      <c r="YS711" s="5"/>
      <c r="YT711" s="5"/>
      <c r="YU711" s="5"/>
      <c r="YV711" s="5"/>
      <c r="YW711" s="5"/>
      <c r="YX711" s="5"/>
      <c r="YY711" s="5"/>
      <c r="YZ711" s="5"/>
      <c r="ZA711" s="5"/>
      <c r="ZB711" s="5"/>
      <c r="ZC711" s="5"/>
      <c r="ZD711" s="5"/>
      <c r="ZE711" s="5"/>
      <c r="ZF711" s="5"/>
      <c r="ZG711" s="5"/>
      <c r="ZH711" s="5"/>
      <c r="ZI711" s="5"/>
      <c r="ZJ711" s="5"/>
      <c r="ZK711" s="5"/>
      <c r="ZL711" s="5"/>
      <c r="ZM711" s="5"/>
      <c r="ZN711" s="5"/>
      <c r="ZO711" s="5"/>
      <c r="ZP711" s="5"/>
      <c r="ZQ711" s="5"/>
      <c r="ZR711" s="5"/>
      <c r="ZS711" s="5"/>
      <c r="ZT711" s="5"/>
      <c r="ZU711" s="5"/>
      <c r="ZV711" s="5"/>
      <c r="ZW711" s="5"/>
      <c r="ZX711" s="5"/>
      <c r="ZY711" s="5"/>
      <c r="ZZ711" s="5"/>
      <c r="AAA711" s="5"/>
      <c r="AAB711" s="5"/>
      <c r="AAC711" s="5"/>
      <c r="AAD711" s="5"/>
      <c r="AAE711" s="5"/>
      <c r="AAF711" s="5"/>
      <c r="AAG711" s="5"/>
      <c r="AAH711" s="5"/>
      <c r="AAI711" s="5"/>
      <c r="AAJ711" s="5"/>
      <c r="AAK711" s="5"/>
      <c r="AAL711" s="5"/>
      <c r="AAM711" s="5"/>
      <c r="AAN711" s="5"/>
      <c r="AAO711" s="5"/>
      <c r="AAP711" s="5"/>
      <c r="AAQ711" s="5"/>
      <c r="AAR711" s="5"/>
      <c r="AAS711" s="5"/>
      <c r="AAT711" s="5"/>
      <c r="AAU711" s="5"/>
      <c r="AAV711" s="5"/>
      <c r="AAW711" s="5"/>
      <c r="AAX711" s="5"/>
      <c r="AAY711" s="5"/>
      <c r="AAZ711" s="5"/>
      <c r="ABA711" s="5"/>
      <c r="ABB711" s="5"/>
      <c r="ABC711" s="5"/>
      <c r="ABD711" s="5"/>
      <c r="ABE711" s="5"/>
      <c r="ABF711" s="5"/>
      <c r="ABG711" s="5"/>
      <c r="ABH711" s="5"/>
      <c r="ABI711" s="5"/>
      <c r="ABJ711" s="5"/>
      <c r="ABK711" s="5"/>
      <c r="ABL711" s="5"/>
      <c r="ABM711" s="5"/>
      <c r="ABN711" s="5"/>
      <c r="ABO711" s="5"/>
      <c r="ABP711" s="5"/>
      <c r="ABQ711" s="5"/>
      <c r="ABR711" s="5"/>
      <c r="ABS711" s="5"/>
      <c r="ABT711" s="5"/>
      <c r="ABU711" s="5"/>
      <c r="ABV711" s="5"/>
      <c r="ABW711" s="5"/>
      <c r="ABX711" s="5"/>
      <c r="ABY711" s="5"/>
      <c r="ABZ711" s="5"/>
      <c r="ACA711" s="5"/>
      <c r="ACB711" s="5"/>
      <c r="ACC711" s="5"/>
      <c r="ACD711" s="5"/>
      <c r="ACE711" s="5"/>
      <c r="ACF711" s="5"/>
      <c r="ACG711" s="5"/>
      <c r="ACH711" s="5"/>
      <c r="ACI711" s="5"/>
      <c r="ACJ711" s="5"/>
      <c r="ACK711" s="5"/>
      <c r="ACL711" s="5"/>
      <c r="ACM711" s="5"/>
      <c r="ACN711" s="5"/>
      <c r="ACO711" s="5"/>
      <c r="ACP711" s="5"/>
      <c r="ACQ711" s="5"/>
      <c r="ACR711" s="5"/>
      <c r="ACS711" s="5"/>
      <c r="ACT711" s="5"/>
      <c r="ACU711" s="5"/>
      <c r="ACV711" s="5"/>
      <c r="ACW711" s="5"/>
      <c r="ACX711" s="5"/>
      <c r="ACY711" s="5"/>
      <c r="ACZ711" s="5"/>
      <c r="ADA711" s="5"/>
      <c r="ADB711" s="5"/>
      <c r="ADC711" s="5"/>
      <c r="ADD711" s="5"/>
      <c r="ADE711" s="5"/>
      <c r="ADF711" s="5"/>
      <c r="ADG711" s="5"/>
      <c r="ADH711" s="5"/>
      <c r="ADI711" s="5"/>
      <c r="ADJ711" s="5"/>
      <c r="ADK711" s="5"/>
      <c r="ADL711" s="5"/>
      <c r="ADM711" s="5"/>
      <c r="ADN711" s="5"/>
      <c r="ADO711" s="5"/>
      <c r="ADP711" s="5"/>
      <c r="ADQ711" s="5"/>
      <c r="ADR711" s="5"/>
      <c r="ADS711" s="5"/>
      <c r="ADT711" s="5"/>
      <c r="ADU711" s="5"/>
      <c r="ADV711" s="5"/>
      <c r="ADW711" s="5"/>
      <c r="ADX711" s="5"/>
      <c r="ADY711" s="5"/>
      <c r="ADZ711" s="5"/>
      <c r="AEA711" s="5"/>
      <c r="AEB711" s="5"/>
      <c r="AEC711" s="5"/>
      <c r="AED711" s="5"/>
      <c r="AEE711" s="5"/>
      <c r="AEF711" s="5"/>
      <c r="AEG711" s="5"/>
      <c r="AEH711" s="5"/>
      <c r="AEI711" s="5"/>
      <c r="AEJ711" s="5"/>
      <c r="AEK711" s="5"/>
      <c r="AEL711" s="5"/>
      <c r="AEM711" s="5"/>
      <c r="AEN711" s="5"/>
      <c r="AEO711" s="5"/>
      <c r="AEP711" s="5"/>
      <c r="AEQ711" s="5"/>
      <c r="AER711" s="5"/>
      <c r="AES711" s="5"/>
      <c r="AET711" s="5"/>
      <c r="AEU711" s="5"/>
      <c r="AEV711" s="5"/>
      <c r="AEW711" s="5"/>
      <c r="AEX711" s="5"/>
      <c r="AEY711" s="5"/>
      <c r="AEZ711" s="5"/>
      <c r="AFA711" s="5"/>
      <c r="AFB711" s="5"/>
      <c r="AFC711" s="5"/>
      <c r="AFD711" s="5"/>
      <c r="AFE711" s="5"/>
      <c r="AFF711" s="5"/>
      <c r="AFG711" s="5"/>
      <c r="AFH711" s="5"/>
      <c r="AFI711" s="5"/>
      <c r="AFJ711" s="5"/>
      <c r="AFK711" s="5"/>
      <c r="AFL711" s="5"/>
      <c r="AFM711" s="5"/>
      <c r="AFN711" s="5"/>
      <c r="AFO711" s="5"/>
      <c r="AFP711" s="5"/>
      <c r="AFQ711" s="5"/>
      <c r="AFR711" s="5"/>
      <c r="AFS711" s="5"/>
      <c r="AFT711" s="5"/>
      <c r="AFU711" s="5"/>
      <c r="AFV711" s="5"/>
      <c r="AFW711" s="5"/>
      <c r="AFX711" s="5"/>
      <c r="AFY711" s="5"/>
      <c r="AFZ711" s="5"/>
      <c r="AGA711" s="5"/>
      <c r="AGB711" s="5"/>
      <c r="AGC711" s="5"/>
      <c r="AGD711" s="5"/>
      <c r="AGE711" s="5"/>
      <c r="AGF711" s="5"/>
      <c r="AGG711" s="5"/>
      <c r="AGH711" s="5"/>
      <c r="AGI711" s="5"/>
      <c r="AGJ711" s="5"/>
      <c r="AGK711" s="5"/>
      <c r="AGL711" s="5"/>
      <c r="AGM711" s="5"/>
      <c r="AGN711" s="5"/>
      <c r="AGO711" s="5"/>
      <c r="AGP711" s="5"/>
      <c r="AGQ711" s="5"/>
      <c r="AGR711" s="5"/>
      <c r="AGS711" s="5"/>
      <c r="AGT711" s="5"/>
      <c r="AGU711" s="5"/>
      <c r="AGV711" s="5"/>
      <c r="AGW711" s="5"/>
      <c r="AGX711" s="5"/>
      <c r="AGY711" s="5"/>
      <c r="AGZ711" s="5"/>
      <c r="AHA711" s="5"/>
      <c r="AHB711" s="5"/>
      <c r="AHC711" s="5"/>
      <c r="AHD711" s="5"/>
      <c r="AHE711" s="5"/>
      <c r="AHF711" s="5"/>
      <c r="AHG711" s="5"/>
      <c r="AHH711" s="5"/>
      <c r="AHI711" s="5"/>
      <c r="AHJ711" s="5"/>
      <c r="AHK711" s="5"/>
      <c r="AHL711" s="5"/>
      <c r="AHM711" s="5"/>
      <c r="AHN711" s="5"/>
      <c r="AHO711" s="5"/>
      <c r="AHP711" s="5"/>
      <c r="AHQ711" s="5"/>
      <c r="AHR711" s="5"/>
      <c r="AHS711" s="5"/>
      <c r="AHT711" s="5"/>
      <c r="AHU711" s="5"/>
      <c r="AHV711" s="5"/>
      <c r="AHW711" s="5"/>
      <c r="AHX711" s="5"/>
      <c r="AHY711" s="5"/>
      <c r="AHZ711" s="5"/>
      <c r="AIA711" s="5"/>
      <c r="AIB711" s="5"/>
      <c r="AIC711" s="5"/>
      <c r="AID711" s="5"/>
      <c r="AIE711" s="5"/>
      <c r="AIF711" s="5"/>
      <c r="AIG711" s="5"/>
      <c r="AIH711" s="5"/>
      <c r="AII711" s="5"/>
      <c r="AIJ711" s="5"/>
      <c r="AIK711" s="5"/>
      <c r="AIL711" s="5"/>
      <c r="AIM711" s="5"/>
      <c r="AIN711" s="5"/>
      <c r="AIO711" s="5"/>
      <c r="AIP711" s="5"/>
      <c r="AIQ711" s="5"/>
      <c r="AIR711" s="5"/>
      <c r="AIS711" s="5"/>
      <c r="AIT711" s="5"/>
      <c r="AIU711" s="5"/>
      <c r="AIV711" s="5"/>
      <c r="AIW711" s="5"/>
      <c r="AIX711" s="5"/>
      <c r="AIY711" s="5"/>
      <c r="AIZ711" s="5"/>
      <c r="AJA711" s="5"/>
      <c r="AJB711" s="5"/>
      <c r="AJC711" s="5"/>
      <c r="AJD711" s="5"/>
      <c r="AJE711" s="5"/>
      <c r="AJF711" s="5"/>
      <c r="AJG711" s="5"/>
      <c r="AJH711" s="5"/>
      <c r="AJI711" s="5"/>
      <c r="AJJ711" s="5"/>
      <c r="AJK711" s="5"/>
      <c r="AJL711" s="5"/>
      <c r="AJM711" s="5"/>
      <c r="AJN711" s="5"/>
      <c r="AJO711" s="5"/>
      <c r="AJP711" s="5"/>
      <c r="AJQ711" s="5"/>
      <c r="AJR711" s="5"/>
      <c r="AJS711" s="5"/>
      <c r="AJT711" s="5"/>
      <c r="AJU711" s="5"/>
      <c r="AJV711" s="5"/>
      <c r="AJW711" s="5"/>
      <c r="AJX711" s="5"/>
      <c r="AJY711" s="5"/>
      <c r="AJZ711" s="5"/>
      <c r="AKA711" s="5"/>
      <c r="AKB711" s="5"/>
      <c r="AKC711" s="5"/>
      <c r="AKD711" s="5"/>
      <c r="AKE711" s="5"/>
      <c r="AKF711" s="5"/>
      <c r="AKG711" s="5"/>
      <c r="AKH711" s="5"/>
      <c r="AKI711" s="5"/>
      <c r="AKJ711" s="5"/>
      <c r="AKK711" s="5"/>
      <c r="AKL711" s="5"/>
      <c r="AKM711" s="5"/>
      <c r="AKN711" s="5"/>
      <c r="AKO711" s="5"/>
      <c r="AKP711" s="5"/>
      <c r="AKQ711" s="5"/>
      <c r="AKR711" s="5"/>
      <c r="AKS711" s="5"/>
      <c r="AKT711" s="5"/>
      <c r="AKU711" s="5"/>
      <c r="AKV711" s="5"/>
      <c r="AKW711" s="5"/>
      <c r="AKX711" s="5"/>
      <c r="AKY711" s="5"/>
      <c r="AKZ711" s="5"/>
      <c r="ALA711" s="5"/>
      <c r="ALB711" s="5"/>
      <c r="ALC711" s="5"/>
      <c r="ALD711" s="5"/>
      <c r="ALE711" s="5"/>
      <c r="ALF711" s="5"/>
      <c r="ALG711" s="5"/>
      <c r="ALH711" s="5"/>
      <c r="ALI711" s="5"/>
      <c r="ALJ711" s="5"/>
      <c r="ALK711" s="5"/>
      <c r="ALL711" s="5"/>
      <c r="ALM711" s="5"/>
      <c r="ALN711" s="5"/>
      <c r="ALO711" s="5"/>
      <c r="ALP711" s="5"/>
      <c r="ALQ711" s="5"/>
      <c r="ALR711" s="5"/>
      <c r="ALS711" s="5"/>
      <c r="ALT711" s="5"/>
      <c r="ALU711" s="5"/>
      <c r="ALV711" s="5"/>
      <c r="ALW711" s="5"/>
      <c r="ALX711" s="5"/>
      <c r="ALY711" s="5"/>
      <c r="ALZ711" s="5"/>
      <c r="AMA711" s="5"/>
      <c r="AMB711" s="5"/>
      <c r="AMC711" s="5"/>
      <c r="AMD711" s="5"/>
      <c r="AME711" s="5"/>
      <c r="AMF711" s="5"/>
      <c r="AMG711" s="5"/>
      <c r="AMH711" s="5"/>
      <c r="AMI711" s="5"/>
      <c r="AMJ711" s="5"/>
      <c r="AMK711" s="5"/>
      <c r="AML711" s="5"/>
      <c r="AMM711" s="5"/>
      <c r="AMN711" s="5"/>
      <c r="AMO711" s="5"/>
      <c r="AMP711" s="5"/>
      <c r="AMQ711" s="5"/>
      <c r="AMR711" s="5"/>
      <c r="AMS711" s="5"/>
      <c r="AMT711" s="5"/>
      <c r="AMU711" s="5"/>
      <c r="AMV711" s="5"/>
      <c r="AMW711" s="5"/>
      <c r="AMX711" s="5"/>
      <c r="AMY711" s="5"/>
      <c r="AMZ711" s="5"/>
      <c r="ANA711" s="5"/>
      <c r="ANB711" s="5"/>
      <c r="ANC711" s="5"/>
      <c r="AND711" s="5"/>
      <c r="ANE711" s="5"/>
      <c r="ANF711" s="5"/>
      <c r="ANG711" s="5"/>
      <c r="ANH711" s="5"/>
      <c r="ANI711" s="5"/>
      <c r="ANJ711" s="5"/>
      <c r="ANK711" s="5"/>
      <c r="ANL711" s="5"/>
      <c r="ANM711" s="5"/>
      <c r="ANN711" s="5"/>
      <c r="ANO711" s="5"/>
      <c r="ANP711" s="5"/>
      <c r="ANQ711" s="5"/>
      <c r="ANR711" s="5"/>
      <c r="ANS711" s="5"/>
      <c r="ANT711" s="5"/>
      <c r="ANU711" s="5"/>
      <c r="ANV711" s="5"/>
      <c r="ANW711" s="5"/>
      <c r="ANX711" s="5"/>
      <c r="ANY711" s="5"/>
      <c r="ANZ711" s="5"/>
      <c r="AOA711" s="5"/>
      <c r="AOB711" s="5"/>
      <c r="AOC711" s="5"/>
      <c r="AOD711" s="5"/>
      <c r="AOE711" s="5"/>
      <c r="AOF711" s="5"/>
      <c r="AOG711" s="5"/>
      <c r="AOH711" s="5"/>
      <c r="AOI711" s="5"/>
      <c r="AOJ711" s="5"/>
      <c r="AOK711" s="5"/>
      <c r="AOL711" s="5"/>
      <c r="AOM711" s="5"/>
      <c r="AON711" s="5"/>
      <c r="AOO711" s="5"/>
      <c r="AOP711" s="5"/>
      <c r="AOQ711" s="5"/>
      <c r="AOR711" s="5"/>
      <c r="AOS711" s="5"/>
      <c r="AOT711" s="5"/>
      <c r="AOU711" s="5"/>
      <c r="AOV711" s="5"/>
      <c r="AOW711" s="5"/>
      <c r="AOX711" s="5"/>
      <c r="AOY711" s="5"/>
      <c r="AOZ711" s="5"/>
      <c r="APA711" s="5"/>
      <c r="APB711" s="5"/>
      <c r="APC711" s="5"/>
      <c r="APD711" s="5"/>
      <c r="APE711" s="5"/>
      <c r="APF711" s="5"/>
      <c r="APG711" s="5"/>
      <c r="APH711" s="5"/>
      <c r="API711" s="5"/>
      <c r="APJ711" s="5"/>
      <c r="APK711" s="5"/>
      <c r="APL711" s="5"/>
      <c r="APM711" s="5"/>
      <c r="APN711" s="5"/>
      <c r="APO711" s="5"/>
      <c r="APP711" s="5"/>
      <c r="APQ711" s="5"/>
      <c r="APR711" s="5"/>
      <c r="APS711" s="5"/>
      <c r="APT711" s="5"/>
      <c r="APU711" s="5"/>
      <c r="APV711" s="5"/>
      <c r="APW711" s="5"/>
      <c r="APX711" s="5"/>
      <c r="APY711" s="5"/>
      <c r="APZ711" s="5"/>
      <c r="AQA711" s="5"/>
      <c r="AQB711" s="5"/>
      <c r="AQC711" s="5"/>
      <c r="AQD711" s="5"/>
      <c r="AQE711" s="5"/>
      <c r="AQF711" s="5"/>
      <c r="AQG711" s="5"/>
      <c r="AQH711" s="5"/>
      <c r="AQI711" s="5"/>
      <c r="AQJ711" s="5"/>
      <c r="AQK711" s="5"/>
      <c r="AQL711" s="5"/>
      <c r="AQM711" s="5"/>
      <c r="AQN711" s="5"/>
      <c r="AQO711" s="5"/>
      <c r="AQP711" s="5"/>
      <c r="AQQ711" s="5"/>
      <c r="AQR711" s="5"/>
      <c r="AQS711" s="5"/>
      <c r="AQT711" s="5"/>
      <c r="AQU711" s="5"/>
      <c r="AQV711" s="5"/>
      <c r="AQW711" s="5"/>
      <c r="AQX711" s="5"/>
      <c r="AQY711" s="5"/>
      <c r="AQZ711" s="5"/>
      <c r="ARA711" s="5"/>
      <c r="ARB711" s="5"/>
      <c r="ARC711" s="5"/>
      <c r="ARD711" s="5"/>
      <c r="ARE711" s="5"/>
      <c r="ARF711" s="5"/>
      <c r="ARG711" s="5"/>
      <c r="ARH711" s="5"/>
      <c r="ARI711" s="5"/>
      <c r="ARJ711" s="5"/>
      <c r="ARK711" s="5"/>
      <c r="ARL711" s="5"/>
      <c r="ARM711" s="5"/>
      <c r="ARN711" s="5"/>
      <c r="ARO711" s="5"/>
      <c r="ARP711" s="5"/>
      <c r="ARQ711" s="5"/>
      <c r="ARR711" s="5"/>
      <c r="ARS711" s="5"/>
      <c r="ART711" s="5"/>
      <c r="ARU711" s="5"/>
      <c r="ARV711" s="5"/>
      <c r="ARW711" s="5"/>
      <c r="ARX711" s="5"/>
      <c r="ARY711" s="5"/>
      <c r="ARZ711" s="5"/>
      <c r="ASA711" s="5"/>
      <c r="ASB711" s="5"/>
      <c r="ASC711" s="5"/>
      <c r="ASD711" s="5"/>
      <c r="ASE711" s="5"/>
      <c r="ASF711" s="5"/>
      <c r="ASG711" s="5"/>
      <c r="ASH711" s="5"/>
      <c r="ASI711" s="5"/>
      <c r="ASJ711" s="5"/>
      <c r="ASK711" s="5"/>
      <c r="ASL711" s="5"/>
      <c r="ASM711" s="5"/>
      <c r="ASN711" s="5"/>
      <c r="ASO711" s="5"/>
      <c r="ASP711" s="5"/>
      <c r="ASQ711" s="5"/>
      <c r="ASR711" s="5"/>
      <c r="ASS711" s="5"/>
      <c r="AST711" s="5"/>
      <c r="ASU711" s="5"/>
      <c r="ASV711" s="5"/>
      <c r="ASW711" s="5"/>
      <c r="ASX711" s="5"/>
      <c r="ASY711" s="5"/>
      <c r="ASZ711" s="5"/>
      <c r="ATA711" s="5"/>
      <c r="ATB711" s="5"/>
      <c r="ATC711" s="5"/>
      <c r="ATD711" s="5"/>
      <c r="ATE711" s="5"/>
      <c r="ATF711" s="5"/>
      <c r="ATG711" s="5"/>
      <c r="ATH711" s="5"/>
      <c r="ATI711" s="5"/>
      <c r="ATJ711" s="5"/>
      <c r="ATK711" s="5"/>
      <c r="ATL711" s="5"/>
      <c r="ATM711" s="5"/>
      <c r="ATN711" s="5"/>
      <c r="ATO711" s="5"/>
      <c r="ATP711" s="5"/>
      <c r="ATQ711" s="5"/>
      <c r="ATR711" s="5"/>
      <c r="ATS711" s="5"/>
      <c r="ATT711" s="5"/>
      <c r="ATU711" s="5"/>
      <c r="ATV711" s="5"/>
      <c r="ATW711" s="5"/>
      <c r="ATX711" s="5"/>
    </row>
    <row r="712" spans="1:1220" s="67" customFormat="1" ht="12.75" customHeight="1" x14ac:dyDescent="0.35">
      <c r="A712" s="76" t="s">
        <v>229</v>
      </c>
      <c r="B712" s="99" t="s">
        <v>231</v>
      </c>
      <c r="C712" s="76" t="s">
        <v>2612</v>
      </c>
      <c r="D712" s="142" t="s">
        <v>2612</v>
      </c>
      <c r="E712" s="76"/>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c r="EC712" s="5"/>
      <c r="ED712" s="5"/>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s="5"/>
      <c r="FG712" s="5"/>
      <c r="FH712" s="5"/>
      <c r="FI712" s="5"/>
      <c r="FJ712" s="5"/>
      <c r="FK712" s="5"/>
      <c r="FL712" s="5"/>
      <c r="FM712" s="5"/>
      <c r="FN712" s="5"/>
      <c r="FO712" s="5"/>
      <c r="FP712" s="5"/>
      <c r="FQ712" s="5"/>
      <c r="FR712" s="5"/>
      <c r="FS712" s="5"/>
      <c r="FT712" s="5"/>
      <c r="FU712" s="5"/>
      <c r="FV712" s="5"/>
      <c r="FW712" s="5"/>
      <c r="FX712" s="5"/>
      <c r="FY712" s="5"/>
      <c r="FZ712" s="5"/>
      <c r="GA712" s="5"/>
      <c r="GB712" s="5"/>
      <c r="GC712" s="5"/>
      <c r="GD712" s="5"/>
      <c r="GE712" s="5"/>
      <c r="GF712" s="5"/>
      <c r="GG712" s="5"/>
      <c r="GH712" s="5"/>
      <c r="GI712" s="5"/>
      <c r="GJ712" s="5"/>
      <c r="GK712" s="5"/>
      <c r="GL712" s="5"/>
      <c r="GM712" s="5"/>
      <c r="GN712" s="5"/>
      <c r="GO712" s="5"/>
      <c r="GP712" s="5"/>
      <c r="GQ712" s="5"/>
      <c r="GR712" s="5"/>
      <c r="GS712" s="5"/>
      <c r="GT712" s="5"/>
      <c r="GU712" s="5"/>
      <c r="GV712" s="5"/>
      <c r="GW712" s="5"/>
      <c r="GX712" s="5"/>
      <c r="GY712" s="5"/>
      <c r="GZ712" s="5"/>
      <c r="HA712" s="5"/>
      <c r="HB712" s="5"/>
      <c r="HC712" s="5"/>
      <c r="HD712" s="5"/>
      <c r="HE712" s="5"/>
      <c r="HF712" s="5"/>
      <c r="HG712" s="5"/>
      <c r="HH712" s="5"/>
      <c r="HI712" s="5"/>
      <c r="HJ712" s="5"/>
      <c r="HK712" s="5"/>
      <c r="HL712" s="5"/>
      <c r="HM712" s="5"/>
      <c r="HN712" s="5"/>
      <c r="HO712" s="5"/>
      <c r="HP712" s="5"/>
      <c r="HQ712" s="5"/>
      <c r="HR712" s="5"/>
      <c r="HS712" s="5"/>
      <c r="HT712" s="5"/>
      <c r="HU712" s="5"/>
      <c r="HV712" s="5"/>
      <c r="HW712" s="5"/>
      <c r="HX712" s="5"/>
      <c r="HY712" s="5"/>
      <c r="HZ712" s="5"/>
      <c r="IA712" s="5"/>
      <c r="IB712" s="5"/>
      <c r="IC712" s="5"/>
      <c r="ID712" s="5"/>
      <c r="IE712" s="5"/>
      <c r="IF712" s="5"/>
      <c r="IG712" s="5"/>
      <c r="IH712" s="5"/>
      <c r="II712" s="5"/>
      <c r="IJ712" s="5"/>
      <c r="IK712" s="5"/>
      <c r="IL712" s="5"/>
      <c r="IM712" s="5"/>
      <c r="IN712" s="5"/>
      <c r="IO712" s="5"/>
      <c r="IP712" s="5"/>
      <c r="IQ712" s="5"/>
      <c r="IR712" s="5"/>
      <c r="IS712" s="5"/>
      <c r="IT712" s="5"/>
      <c r="IU712" s="5"/>
      <c r="IV712" s="5"/>
      <c r="IW712" s="5"/>
      <c r="IX712" s="5"/>
      <c r="IY712" s="5"/>
      <c r="IZ712" s="5"/>
      <c r="JA712" s="5"/>
      <c r="JB712" s="5"/>
      <c r="JC712" s="5"/>
      <c r="JD712" s="5"/>
      <c r="JE712" s="5"/>
      <c r="JF712" s="5"/>
      <c r="JG712" s="5"/>
      <c r="JH712" s="5"/>
      <c r="JI712" s="5"/>
      <c r="JJ712" s="5"/>
      <c r="JK712" s="5"/>
      <c r="JL712" s="5"/>
      <c r="JM712" s="5"/>
      <c r="JN712" s="5"/>
      <c r="JO712" s="5"/>
      <c r="JP712" s="5"/>
      <c r="JQ712" s="5"/>
      <c r="JR712" s="5"/>
      <c r="JS712" s="5"/>
      <c r="JT712" s="5"/>
      <c r="JU712" s="5"/>
      <c r="JV712" s="5"/>
      <c r="JW712" s="5"/>
      <c r="JX712" s="5"/>
      <c r="JY712" s="5"/>
      <c r="JZ712" s="5"/>
      <c r="KA712" s="5"/>
      <c r="KB712" s="5"/>
      <c r="KC712" s="5"/>
      <c r="KD712" s="5"/>
      <c r="KE712" s="5"/>
      <c r="KF712" s="5"/>
      <c r="KG712" s="5"/>
      <c r="KH712" s="5"/>
      <c r="KI712" s="5"/>
      <c r="KJ712" s="5"/>
      <c r="KK712" s="5"/>
      <c r="KL712" s="5"/>
      <c r="KM712" s="5"/>
      <c r="KN712" s="5"/>
      <c r="KO712" s="5"/>
      <c r="KP712" s="5"/>
      <c r="KQ712" s="5"/>
      <c r="KR712" s="5"/>
      <c r="KS712" s="5"/>
      <c r="KT712" s="5"/>
      <c r="KU712" s="5"/>
      <c r="KV712" s="5"/>
      <c r="KW712" s="5"/>
      <c r="KX712" s="5"/>
      <c r="KY712" s="5"/>
      <c r="KZ712" s="5"/>
      <c r="LA712" s="5"/>
      <c r="LB712" s="5"/>
      <c r="LC712" s="5"/>
      <c r="LD712" s="5"/>
      <c r="LE712" s="5"/>
      <c r="LF712" s="5"/>
      <c r="LG712" s="5"/>
      <c r="LH712" s="5"/>
      <c r="LI712" s="5"/>
      <c r="LJ712" s="5"/>
      <c r="LK712" s="5"/>
      <c r="LL712" s="5"/>
      <c r="LM712" s="5"/>
      <c r="LN712" s="5"/>
      <c r="LO712" s="5"/>
      <c r="LP712" s="5"/>
      <c r="LQ712" s="5"/>
      <c r="LR712" s="5"/>
      <c r="LS712" s="5"/>
      <c r="LT712" s="5"/>
      <c r="LU712" s="5"/>
      <c r="LV712" s="5"/>
      <c r="LW712" s="5"/>
      <c r="LX712" s="5"/>
      <c r="LY712" s="5"/>
      <c r="LZ712" s="5"/>
      <c r="MA712" s="5"/>
      <c r="MB712" s="5"/>
      <c r="MC712" s="5"/>
      <c r="MD712" s="5"/>
      <c r="ME712" s="5"/>
      <c r="MF712" s="5"/>
      <c r="MG712" s="5"/>
      <c r="MH712" s="5"/>
      <c r="MI712" s="5"/>
      <c r="MJ712" s="5"/>
      <c r="MK712" s="5"/>
      <c r="ML712" s="5"/>
      <c r="MM712" s="5"/>
      <c r="MN712" s="5"/>
      <c r="MO712" s="5"/>
      <c r="MP712" s="5"/>
      <c r="MQ712" s="5"/>
      <c r="MR712" s="5"/>
      <c r="MS712" s="5"/>
      <c r="MT712" s="5"/>
      <c r="MU712" s="5"/>
      <c r="MV712" s="5"/>
      <c r="MW712" s="5"/>
      <c r="MX712" s="5"/>
      <c r="MY712" s="5"/>
      <c r="MZ712" s="5"/>
      <c r="NA712" s="5"/>
      <c r="NB712" s="5"/>
      <c r="NC712" s="5"/>
      <c r="ND712" s="5"/>
      <c r="NE712" s="5"/>
      <c r="NF712" s="5"/>
      <c r="NG712" s="5"/>
      <c r="NH712" s="5"/>
      <c r="NI712" s="5"/>
      <c r="NJ712" s="5"/>
      <c r="NK712" s="5"/>
      <c r="NL712" s="5"/>
      <c r="NM712" s="5"/>
      <c r="NN712" s="5"/>
      <c r="NO712" s="5"/>
      <c r="NP712" s="5"/>
      <c r="NQ712" s="5"/>
      <c r="NR712" s="5"/>
      <c r="NS712" s="5"/>
      <c r="NT712" s="5"/>
      <c r="NU712" s="5"/>
      <c r="NV712" s="5"/>
      <c r="NW712" s="5"/>
      <c r="NX712" s="5"/>
      <c r="NY712" s="5"/>
      <c r="NZ712" s="5"/>
      <c r="OA712" s="5"/>
      <c r="OB712" s="5"/>
      <c r="OC712" s="5"/>
      <c r="OD712" s="5"/>
      <c r="OE712" s="5"/>
      <c r="OF712" s="5"/>
      <c r="OG712" s="5"/>
      <c r="OH712" s="5"/>
      <c r="OI712" s="5"/>
      <c r="OJ712" s="5"/>
      <c r="OK712" s="5"/>
      <c r="OL712" s="5"/>
      <c r="OM712" s="5"/>
      <c r="ON712" s="5"/>
      <c r="OO712" s="5"/>
      <c r="OP712" s="5"/>
      <c r="OQ712" s="5"/>
      <c r="OR712" s="5"/>
      <c r="OS712" s="5"/>
      <c r="OT712" s="5"/>
      <c r="OU712" s="5"/>
      <c r="OV712" s="5"/>
      <c r="OW712" s="5"/>
      <c r="OX712" s="5"/>
      <c r="OY712" s="5"/>
      <c r="OZ712" s="5"/>
      <c r="PA712" s="5"/>
      <c r="PB712" s="5"/>
      <c r="PC712" s="5"/>
      <c r="PD712" s="5"/>
      <c r="PE712" s="5"/>
      <c r="PF712" s="5"/>
      <c r="PG712" s="5"/>
      <c r="PH712" s="5"/>
      <c r="PI712" s="5"/>
      <c r="PJ712" s="5"/>
      <c r="PK712" s="5"/>
      <c r="PL712" s="5"/>
      <c r="PM712" s="5"/>
      <c r="PN712" s="5"/>
      <c r="PO712" s="5"/>
      <c r="PP712" s="5"/>
      <c r="PQ712" s="5"/>
      <c r="PR712" s="5"/>
      <c r="PS712" s="5"/>
      <c r="PT712" s="5"/>
      <c r="PU712" s="5"/>
      <c r="PV712" s="5"/>
      <c r="PW712" s="5"/>
      <c r="PX712" s="5"/>
      <c r="PY712" s="5"/>
      <c r="PZ712" s="5"/>
      <c r="QA712" s="5"/>
      <c r="QB712" s="5"/>
      <c r="QC712" s="5"/>
      <c r="QD712" s="5"/>
      <c r="QE712" s="5"/>
      <c r="QF712" s="5"/>
      <c r="QG712" s="5"/>
      <c r="QH712" s="5"/>
      <c r="QI712" s="5"/>
      <c r="QJ712" s="5"/>
      <c r="QK712" s="5"/>
      <c r="QL712" s="5"/>
      <c r="QM712" s="5"/>
      <c r="QN712" s="5"/>
      <c r="QO712" s="5"/>
      <c r="QP712" s="5"/>
      <c r="QQ712" s="5"/>
      <c r="QR712" s="5"/>
      <c r="QS712" s="5"/>
      <c r="QT712" s="5"/>
      <c r="QU712" s="5"/>
      <c r="QV712" s="5"/>
      <c r="QW712" s="5"/>
      <c r="QX712" s="5"/>
      <c r="QY712" s="5"/>
      <c r="QZ712" s="5"/>
      <c r="RA712" s="5"/>
      <c r="RB712" s="5"/>
      <c r="RC712" s="5"/>
      <c r="RD712" s="5"/>
      <c r="RE712" s="5"/>
      <c r="RF712" s="5"/>
      <c r="RG712" s="5"/>
      <c r="RH712" s="5"/>
      <c r="RI712" s="5"/>
      <c r="RJ712" s="5"/>
      <c r="RK712" s="5"/>
      <c r="RL712" s="5"/>
      <c r="RM712" s="5"/>
      <c r="RN712" s="5"/>
      <c r="RO712" s="5"/>
      <c r="RP712" s="5"/>
      <c r="RQ712" s="5"/>
      <c r="RR712" s="5"/>
      <c r="RS712" s="5"/>
      <c r="RT712" s="5"/>
      <c r="RU712" s="5"/>
      <c r="RV712" s="5"/>
      <c r="RW712" s="5"/>
      <c r="RX712" s="5"/>
      <c r="RY712" s="5"/>
      <c r="RZ712" s="5"/>
      <c r="SA712" s="5"/>
      <c r="SB712" s="5"/>
      <c r="SC712" s="5"/>
      <c r="SD712" s="5"/>
      <c r="SE712" s="5"/>
      <c r="SF712" s="5"/>
      <c r="SG712" s="5"/>
      <c r="SH712" s="5"/>
      <c r="SI712" s="5"/>
      <c r="SJ712" s="5"/>
      <c r="SK712" s="5"/>
      <c r="SL712" s="5"/>
      <c r="SM712" s="5"/>
      <c r="SN712" s="5"/>
      <c r="SO712" s="5"/>
      <c r="SP712" s="5"/>
      <c r="SQ712" s="5"/>
      <c r="SR712" s="5"/>
      <c r="SS712" s="5"/>
      <c r="ST712" s="5"/>
      <c r="SU712" s="5"/>
      <c r="SV712" s="5"/>
      <c r="SW712" s="5"/>
      <c r="SX712" s="5"/>
      <c r="SY712" s="5"/>
      <c r="SZ712" s="5"/>
      <c r="TA712" s="5"/>
      <c r="TB712" s="5"/>
      <c r="TC712" s="5"/>
      <c r="TD712" s="5"/>
      <c r="TE712" s="5"/>
      <c r="TF712" s="5"/>
      <c r="TG712" s="5"/>
      <c r="TH712" s="5"/>
      <c r="TI712" s="5"/>
      <c r="TJ712" s="5"/>
      <c r="TK712" s="5"/>
      <c r="TL712" s="5"/>
      <c r="TM712" s="5"/>
      <c r="TN712" s="5"/>
      <c r="TO712" s="5"/>
      <c r="TP712" s="5"/>
      <c r="TQ712" s="5"/>
      <c r="TR712" s="5"/>
      <c r="TS712" s="5"/>
      <c r="TT712" s="5"/>
      <c r="TU712" s="5"/>
      <c r="TV712" s="5"/>
      <c r="TW712" s="5"/>
      <c r="TX712" s="5"/>
      <c r="TY712" s="5"/>
      <c r="TZ712" s="5"/>
      <c r="UA712" s="5"/>
      <c r="UB712" s="5"/>
      <c r="UC712" s="5"/>
      <c r="UD712" s="5"/>
      <c r="UE712" s="5"/>
      <c r="UF712" s="5"/>
      <c r="UG712" s="5"/>
      <c r="UH712" s="5"/>
      <c r="UI712" s="5"/>
      <c r="UJ712" s="5"/>
      <c r="UK712" s="5"/>
      <c r="UL712" s="5"/>
      <c r="UM712" s="5"/>
      <c r="UN712" s="5"/>
      <c r="UO712" s="5"/>
      <c r="UP712" s="5"/>
      <c r="UQ712" s="5"/>
      <c r="UR712" s="5"/>
      <c r="US712" s="5"/>
      <c r="UT712" s="5"/>
      <c r="UU712" s="5"/>
      <c r="UV712" s="5"/>
      <c r="UW712" s="5"/>
      <c r="UX712" s="5"/>
      <c r="UY712" s="5"/>
      <c r="UZ712" s="5"/>
      <c r="VA712" s="5"/>
      <c r="VB712" s="5"/>
      <c r="VC712" s="5"/>
      <c r="VD712" s="5"/>
      <c r="VE712" s="5"/>
      <c r="VF712" s="5"/>
      <c r="VG712" s="5"/>
      <c r="VH712" s="5"/>
      <c r="VI712" s="5"/>
      <c r="VJ712" s="5"/>
      <c r="VK712" s="5"/>
      <c r="VL712" s="5"/>
      <c r="VM712" s="5"/>
      <c r="VN712" s="5"/>
      <c r="VO712" s="5"/>
      <c r="VP712" s="5"/>
      <c r="VQ712" s="5"/>
      <c r="VR712" s="5"/>
      <c r="VS712" s="5"/>
      <c r="VT712" s="5"/>
      <c r="VU712" s="5"/>
      <c r="VV712" s="5"/>
      <c r="VW712" s="5"/>
      <c r="VX712" s="5"/>
      <c r="VY712" s="5"/>
      <c r="VZ712" s="5"/>
      <c r="WA712" s="5"/>
      <c r="WB712" s="5"/>
      <c r="WC712" s="5"/>
      <c r="WD712" s="5"/>
      <c r="WE712" s="5"/>
      <c r="WF712" s="5"/>
      <c r="WG712" s="5"/>
      <c r="WH712" s="5"/>
      <c r="WI712" s="5"/>
      <c r="WJ712" s="5"/>
      <c r="WK712" s="5"/>
      <c r="WL712" s="5"/>
      <c r="WM712" s="5"/>
      <c r="WN712" s="5"/>
      <c r="WO712" s="5"/>
      <c r="WP712" s="5"/>
      <c r="WQ712" s="5"/>
      <c r="WR712" s="5"/>
      <c r="WS712" s="5"/>
      <c r="WT712" s="5"/>
      <c r="WU712" s="5"/>
      <c r="WV712" s="5"/>
      <c r="WW712" s="5"/>
      <c r="WX712" s="5"/>
      <c r="WY712" s="5"/>
      <c r="WZ712" s="5"/>
      <c r="XA712" s="5"/>
      <c r="XB712" s="5"/>
      <c r="XC712" s="5"/>
      <c r="XD712" s="5"/>
      <c r="XE712" s="5"/>
      <c r="XF712" s="5"/>
      <c r="XG712" s="5"/>
      <c r="XH712" s="5"/>
      <c r="XI712" s="5"/>
      <c r="XJ712" s="5"/>
      <c r="XK712" s="5"/>
      <c r="XL712" s="5"/>
      <c r="XM712" s="5"/>
      <c r="XN712" s="5"/>
      <c r="XO712" s="5"/>
      <c r="XP712" s="5"/>
      <c r="XQ712" s="5"/>
      <c r="XR712" s="5"/>
      <c r="XS712" s="5"/>
      <c r="XT712" s="5"/>
      <c r="XU712" s="5"/>
      <c r="XV712" s="5"/>
      <c r="XW712" s="5"/>
      <c r="XX712" s="5"/>
      <c r="XY712" s="5"/>
      <c r="XZ712" s="5"/>
      <c r="YA712" s="5"/>
      <c r="YB712" s="5"/>
      <c r="YC712" s="5"/>
      <c r="YD712" s="5"/>
      <c r="YE712" s="5"/>
      <c r="YF712" s="5"/>
      <c r="YG712" s="5"/>
      <c r="YH712" s="5"/>
      <c r="YI712" s="5"/>
      <c r="YJ712" s="5"/>
      <c r="YK712" s="5"/>
      <c r="YL712" s="5"/>
      <c r="YM712" s="5"/>
      <c r="YN712" s="5"/>
      <c r="YO712" s="5"/>
      <c r="YP712" s="5"/>
      <c r="YQ712" s="5"/>
      <c r="YR712" s="5"/>
      <c r="YS712" s="5"/>
      <c r="YT712" s="5"/>
      <c r="YU712" s="5"/>
      <c r="YV712" s="5"/>
      <c r="YW712" s="5"/>
      <c r="YX712" s="5"/>
      <c r="YY712" s="5"/>
      <c r="YZ712" s="5"/>
      <c r="ZA712" s="5"/>
      <c r="ZB712" s="5"/>
      <c r="ZC712" s="5"/>
      <c r="ZD712" s="5"/>
      <c r="ZE712" s="5"/>
      <c r="ZF712" s="5"/>
      <c r="ZG712" s="5"/>
      <c r="ZH712" s="5"/>
      <c r="ZI712" s="5"/>
      <c r="ZJ712" s="5"/>
      <c r="ZK712" s="5"/>
      <c r="ZL712" s="5"/>
      <c r="ZM712" s="5"/>
      <c r="ZN712" s="5"/>
      <c r="ZO712" s="5"/>
      <c r="ZP712" s="5"/>
      <c r="ZQ712" s="5"/>
      <c r="ZR712" s="5"/>
      <c r="ZS712" s="5"/>
      <c r="ZT712" s="5"/>
      <c r="ZU712" s="5"/>
      <c r="ZV712" s="5"/>
      <c r="ZW712" s="5"/>
      <c r="ZX712" s="5"/>
      <c r="ZY712" s="5"/>
      <c r="ZZ712" s="5"/>
      <c r="AAA712" s="5"/>
      <c r="AAB712" s="5"/>
      <c r="AAC712" s="5"/>
      <c r="AAD712" s="5"/>
      <c r="AAE712" s="5"/>
      <c r="AAF712" s="5"/>
      <c r="AAG712" s="5"/>
      <c r="AAH712" s="5"/>
      <c r="AAI712" s="5"/>
      <c r="AAJ712" s="5"/>
      <c r="AAK712" s="5"/>
      <c r="AAL712" s="5"/>
      <c r="AAM712" s="5"/>
      <c r="AAN712" s="5"/>
      <c r="AAO712" s="5"/>
      <c r="AAP712" s="5"/>
      <c r="AAQ712" s="5"/>
      <c r="AAR712" s="5"/>
      <c r="AAS712" s="5"/>
      <c r="AAT712" s="5"/>
      <c r="AAU712" s="5"/>
      <c r="AAV712" s="5"/>
      <c r="AAW712" s="5"/>
      <c r="AAX712" s="5"/>
      <c r="AAY712" s="5"/>
      <c r="AAZ712" s="5"/>
      <c r="ABA712" s="5"/>
      <c r="ABB712" s="5"/>
      <c r="ABC712" s="5"/>
      <c r="ABD712" s="5"/>
      <c r="ABE712" s="5"/>
      <c r="ABF712" s="5"/>
      <c r="ABG712" s="5"/>
      <c r="ABH712" s="5"/>
      <c r="ABI712" s="5"/>
      <c r="ABJ712" s="5"/>
      <c r="ABK712" s="5"/>
      <c r="ABL712" s="5"/>
      <c r="ABM712" s="5"/>
      <c r="ABN712" s="5"/>
      <c r="ABO712" s="5"/>
      <c r="ABP712" s="5"/>
      <c r="ABQ712" s="5"/>
      <c r="ABR712" s="5"/>
      <c r="ABS712" s="5"/>
      <c r="ABT712" s="5"/>
      <c r="ABU712" s="5"/>
      <c r="ABV712" s="5"/>
      <c r="ABW712" s="5"/>
      <c r="ABX712" s="5"/>
      <c r="ABY712" s="5"/>
      <c r="ABZ712" s="5"/>
      <c r="ACA712" s="5"/>
      <c r="ACB712" s="5"/>
      <c r="ACC712" s="5"/>
      <c r="ACD712" s="5"/>
      <c r="ACE712" s="5"/>
      <c r="ACF712" s="5"/>
      <c r="ACG712" s="5"/>
      <c r="ACH712" s="5"/>
      <c r="ACI712" s="5"/>
      <c r="ACJ712" s="5"/>
      <c r="ACK712" s="5"/>
      <c r="ACL712" s="5"/>
      <c r="ACM712" s="5"/>
      <c r="ACN712" s="5"/>
      <c r="ACO712" s="5"/>
      <c r="ACP712" s="5"/>
      <c r="ACQ712" s="5"/>
      <c r="ACR712" s="5"/>
      <c r="ACS712" s="5"/>
      <c r="ACT712" s="5"/>
      <c r="ACU712" s="5"/>
      <c r="ACV712" s="5"/>
      <c r="ACW712" s="5"/>
      <c r="ACX712" s="5"/>
      <c r="ACY712" s="5"/>
      <c r="ACZ712" s="5"/>
      <c r="ADA712" s="5"/>
      <c r="ADB712" s="5"/>
      <c r="ADC712" s="5"/>
      <c r="ADD712" s="5"/>
      <c r="ADE712" s="5"/>
      <c r="ADF712" s="5"/>
      <c r="ADG712" s="5"/>
      <c r="ADH712" s="5"/>
      <c r="ADI712" s="5"/>
      <c r="ADJ712" s="5"/>
      <c r="ADK712" s="5"/>
      <c r="ADL712" s="5"/>
      <c r="ADM712" s="5"/>
      <c r="ADN712" s="5"/>
      <c r="ADO712" s="5"/>
      <c r="ADP712" s="5"/>
      <c r="ADQ712" s="5"/>
      <c r="ADR712" s="5"/>
      <c r="ADS712" s="5"/>
      <c r="ADT712" s="5"/>
      <c r="ADU712" s="5"/>
      <c r="ADV712" s="5"/>
      <c r="ADW712" s="5"/>
      <c r="ADX712" s="5"/>
      <c r="ADY712" s="5"/>
      <c r="ADZ712" s="5"/>
      <c r="AEA712" s="5"/>
      <c r="AEB712" s="5"/>
      <c r="AEC712" s="5"/>
      <c r="AED712" s="5"/>
      <c r="AEE712" s="5"/>
      <c r="AEF712" s="5"/>
      <c r="AEG712" s="5"/>
      <c r="AEH712" s="5"/>
      <c r="AEI712" s="5"/>
      <c r="AEJ712" s="5"/>
      <c r="AEK712" s="5"/>
      <c r="AEL712" s="5"/>
      <c r="AEM712" s="5"/>
      <c r="AEN712" s="5"/>
      <c r="AEO712" s="5"/>
      <c r="AEP712" s="5"/>
      <c r="AEQ712" s="5"/>
      <c r="AER712" s="5"/>
      <c r="AES712" s="5"/>
      <c r="AET712" s="5"/>
      <c r="AEU712" s="5"/>
      <c r="AEV712" s="5"/>
      <c r="AEW712" s="5"/>
      <c r="AEX712" s="5"/>
      <c r="AEY712" s="5"/>
      <c r="AEZ712" s="5"/>
      <c r="AFA712" s="5"/>
      <c r="AFB712" s="5"/>
      <c r="AFC712" s="5"/>
      <c r="AFD712" s="5"/>
      <c r="AFE712" s="5"/>
      <c r="AFF712" s="5"/>
      <c r="AFG712" s="5"/>
      <c r="AFH712" s="5"/>
      <c r="AFI712" s="5"/>
      <c r="AFJ712" s="5"/>
      <c r="AFK712" s="5"/>
      <c r="AFL712" s="5"/>
      <c r="AFM712" s="5"/>
      <c r="AFN712" s="5"/>
      <c r="AFO712" s="5"/>
      <c r="AFP712" s="5"/>
      <c r="AFQ712" s="5"/>
      <c r="AFR712" s="5"/>
      <c r="AFS712" s="5"/>
      <c r="AFT712" s="5"/>
      <c r="AFU712" s="5"/>
      <c r="AFV712" s="5"/>
      <c r="AFW712" s="5"/>
      <c r="AFX712" s="5"/>
      <c r="AFY712" s="5"/>
      <c r="AFZ712" s="5"/>
      <c r="AGA712" s="5"/>
      <c r="AGB712" s="5"/>
      <c r="AGC712" s="5"/>
      <c r="AGD712" s="5"/>
      <c r="AGE712" s="5"/>
      <c r="AGF712" s="5"/>
      <c r="AGG712" s="5"/>
      <c r="AGH712" s="5"/>
      <c r="AGI712" s="5"/>
      <c r="AGJ712" s="5"/>
      <c r="AGK712" s="5"/>
      <c r="AGL712" s="5"/>
      <c r="AGM712" s="5"/>
      <c r="AGN712" s="5"/>
      <c r="AGO712" s="5"/>
      <c r="AGP712" s="5"/>
      <c r="AGQ712" s="5"/>
      <c r="AGR712" s="5"/>
      <c r="AGS712" s="5"/>
      <c r="AGT712" s="5"/>
      <c r="AGU712" s="5"/>
      <c r="AGV712" s="5"/>
      <c r="AGW712" s="5"/>
      <c r="AGX712" s="5"/>
      <c r="AGY712" s="5"/>
      <c r="AGZ712" s="5"/>
      <c r="AHA712" s="5"/>
      <c r="AHB712" s="5"/>
      <c r="AHC712" s="5"/>
      <c r="AHD712" s="5"/>
      <c r="AHE712" s="5"/>
      <c r="AHF712" s="5"/>
      <c r="AHG712" s="5"/>
      <c r="AHH712" s="5"/>
      <c r="AHI712" s="5"/>
      <c r="AHJ712" s="5"/>
      <c r="AHK712" s="5"/>
      <c r="AHL712" s="5"/>
      <c r="AHM712" s="5"/>
      <c r="AHN712" s="5"/>
      <c r="AHO712" s="5"/>
      <c r="AHP712" s="5"/>
      <c r="AHQ712" s="5"/>
      <c r="AHR712" s="5"/>
      <c r="AHS712" s="5"/>
      <c r="AHT712" s="5"/>
      <c r="AHU712" s="5"/>
      <c r="AHV712" s="5"/>
      <c r="AHW712" s="5"/>
      <c r="AHX712" s="5"/>
      <c r="AHY712" s="5"/>
      <c r="AHZ712" s="5"/>
      <c r="AIA712" s="5"/>
      <c r="AIB712" s="5"/>
      <c r="AIC712" s="5"/>
      <c r="AID712" s="5"/>
      <c r="AIE712" s="5"/>
      <c r="AIF712" s="5"/>
      <c r="AIG712" s="5"/>
      <c r="AIH712" s="5"/>
      <c r="AII712" s="5"/>
      <c r="AIJ712" s="5"/>
      <c r="AIK712" s="5"/>
      <c r="AIL712" s="5"/>
      <c r="AIM712" s="5"/>
      <c r="AIN712" s="5"/>
      <c r="AIO712" s="5"/>
      <c r="AIP712" s="5"/>
      <c r="AIQ712" s="5"/>
      <c r="AIR712" s="5"/>
      <c r="AIS712" s="5"/>
      <c r="AIT712" s="5"/>
      <c r="AIU712" s="5"/>
      <c r="AIV712" s="5"/>
      <c r="AIW712" s="5"/>
      <c r="AIX712" s="5"/>
      <c r="AIY712" s="5"/>
      <c r="AIZ712" s="5"/>
      <c r="AJA712" s="5"/>
      <c r="AJB712" s="5"/>
      <c r="AJC712" s="5"/>
      <c r="AJD712" s="5"/>
      <c r="AJE712" s="5"/>
      <c r="AJF712" s="5"/>
      <c r="AJG712" s="5"/>
      <c r="AJH712" s="5"/>
      <c r="AJI712" s="5"/>
      <c r="AJJ712" s="5"/>
      <c r="AJK712" s="5"/>
      <c r="AJL712" s="5"/>
      <c r="AJM712" s="5"/>
      <c r="AJN712" s="5"/>
      <c r="AJO712" s="5"/>
      <c r="AJP712" s="5"/>
      <c r="AJQ712" s="5"/>
      <c r="AJR712" s="5"/>
      <c r="AJS712" s="5"/>
      <c r="AJT712" s="5"/>
      <c r="AJU712" s="5"/>
      <c r="AJV712" s="5"/>
      <c r="AJW712" s="5"/>
      <c r="AJX712" s="5"/>
      <c r="AJY712" s="5"/>
      <c r="AJZ712" s="5"/>
      <c r="AKA712" s="5"/>
      <c r="AKB712" s="5"/>
      <c r="AKC712" s="5"/>
      <c r="AKD712" s="5"/>
      <c r="AKE712" s="5"/>
      <c r="AKF712" s="5"/>
      <c r="AKG712" s="5"/>
      <c r="AKH712" s="5"/>
      <c r="AKI712" s="5"/>
      <c r="AKJ712" s="5"/>
      <c r="AKK712" s="5"/>
      <c r="AKL712" s="5"/>
      <c r="AKM712" s="5"/>
      <c r="AKN712" s="5"/>
      <c r="AKO712" s="5"/>
      <c r="AKP712" s="5"/>
      <c r="AKQ712" s="5"/>
      <c r="AKR712" s="5"/>
      <c r="AKS712" s="5"/>
      <c r="AKT712" s="5"/>
      <c r="AKU712" s="5"/>
      <c r="AKV712" s="5"/>
      <c r="AKW712" s="5"/>
      <c r="AKX712" s="5"/>
      <c r="AKY712" s="5"/>
      <c r="AKZ712" s="5"/>
      <c r="ALA712" s="5"/>
      <c r="ALB712" s="5"/>
      <c r="ALC712" s="5"/>
      <c r="ALD712" s="5"/>
      <c r="ALE712" s="5"/>
      <c r="ALF712" s="5"/>
      <c r="ALG712" s="5"/>
      <c r="ALH712" s="5"/>
      <c r="ALI712" s="5"/>
      <c r="ALJ712" s="5"/>
      <c r="ALK712" s="5"/>
      <c r="ALL712" s="5"/>
      <c r="ALM712" s="5"/>
      <c r="ALN712" s="5"/>
      <c r="ALO712" s="5"/>
      <c r="ALP712" s="5"/>
      <c r="ALQ712" s="5"/>
      <c r="ALR712" s="5"/>
      <c r="ALS712" s="5"/>
      <c r="ALT712" s="5"/>
      <c r="ALU712" s="5"/>
      <c r="ALV712" s="5"/>
      <c r="ALW712" s="5"/>
      <c r="ALX712" s="5"/>
      <c r="ALY712" s="5"/>
      <c r="ALZ712" s="5"/>
      <c r="AMA712" s="5"/>
      <c r="AMB712" s="5"/>
      <c r="AMC712" s="5"/>
      <c r="AMD712" s="5"/>
      <c r="AME712" s="5"/>
      <c r="AMF712" s="5"/>
      <c r="AMG712" s="5"/>
      <c r="AMH712" s="5"/>
      <c r="AMI712" s="5"/>
      <c r="AMJ712" s="5"/>
      <c r="AMK712" s="5"/>
      <c r="AML712" s="5"/>
      <c r="AMM712" s="5"/>
      <c r="AMN712" s="5"/>
      <c r="AMO712" s="5"/>
      <c r="AMP712" s="5"/>
      <c r="AMQ712" s="5"/>
      <c r="AMR712" s="5"/>
      <c r="AMS712" s="5"/>
      <c r="AMT712" s="5"/>
      <c r="AMU712" s="5"/>
      <c r="AMV712" s="5"/>
      <c r="AMW712" s="5"/>
      <c r="AMX712" s="5"/>
      <c r="AMY712" s="5"/>
      <c r="AMZ712" s="5"/>
      <c r="ANA712" s="5"/>
      <c r="ANB712" s="5"/>
      <c r="ANC712" s="5"/>
      <c r="AND712" s="5"/>
      <c r="ANE712" s="5"/>
      <c r="ANF712" s="5"/>
      <c r="ANG712" s="5"/>
      <c r="ANH712" s="5"/>
      <c r="ANI712" s="5"/>
      <c r="ANJ712" s="5"/>
      <c r="ANK712" s="5"/>
      <c r="ANL712" s="5"/>
      <c r="ANM712" s="5"/>
      <c r="ANN712" s="5"/>
      <c r="ANO712" s="5"/>
      <c r="ANP712" s="5"/>
      <c r="ANQ712" s="5"/>
      <c r="ANR712" s="5"/>
      <c r="ANS712" s="5"/>
      <c r="ANT712" s="5"/>
      <c r="ANU712" s="5"/>
      <c r="ANV712" s="5"/>
      <c r="ANW712" s="5"/>
      <c r="ANX712" s="5"/>
      <c r="ANY712" s="5"/>
      <c r="ANZ712" s="5"/>
      <c r="AOA712" s="5"/>
      <c r="AOB712" s="5"/>
      <c r="AOC712" s="5"/>
      <c r="AOD712" s="5"/>
      <c r="AOE712" s="5"/>
      <c r="AOF712" s="5"/>
      <c r="AOG712" s="5"/>
      <c r="AOH712" s="5"/>
      <c r="AOI712" s="5"/>
      <c r="AOJ712" s="5"/>
      <c r="AOK712" s="5"/>
      <c r="AOL712" s="5"/>
      <c r="AOM712" s="5"/>
      <c r="AON712" s="5"/>
      <c r="AOO712" s="5"/>
      <c r="AOP712" s="5"/>
      <c r="AOQ712" s="5"/>
      <c r="AOR712" s="5"/>
      <c r="AOS712" s="5"/>
      <c r="AOT712" s="5"/>
      <c r="AOU712" s="5"/>
      <c r="AOV712" s="5"/>
      <c r="AOW712" s="5"/>
      <c r="AOX712" s="5"/>
      <c r="AOY712" s="5"/>
      <c r="AOZ712" s="5"/>
      <c r="APA712" s="5"/>
      <c r="APB712" s="5"/>
      <c r="APC712" s="5"/>
      <c r="APD712" s="5"/>
      <c r="APE712" s="5"/>
      <c r="APF712" s="5"/>
      <c r="APG712" s="5"/>
      <c r="APH712" s="5"/>
      <c r="API712" s="5"/>
      <c r="APJ712" s="5"/>
      <c r="APK712" s="5"/>
      <c r="APL712" s="5"/>
      <c r="APM712" s="5"/>
      <c r="APN712" s="5"/>
      <c r="APO712" s="5"/>
      <c r="APP712" s="5"/>
      <c r="APQ712" s="5"/>
      <c r="APR712" s="5"/>
      <c r="APS712" s="5"/>
      <c r="APT712" s="5"/>
      <c r="APU712" s="5"/>
      <c r="APV712" s="5"/>
      <c r="APW712" s="5"/>
      <c r="APX712" s="5"/>
      <c r="APY712" s="5"/>
      <c r="APZ712" s="5"/>
      <c r="AQA712" s="5"/>
      <c r="AQB712" s="5"/>
      <c r="AQC712" s="5"/>
      <c r="AQD712" s="5"/>
      <c r="AQE712" s="5"/>
      <c r="AQF712" s="5"/>
      <c r="AQG712" s="5"/>
      <c r="AQH712" s="5"/>
      <c r="AQI712" s="5"/>
      <c r="AQJ712" s="5"/>
      <c r="AQK712" s="5"/>
      <c r="AQL712" s="5"/>
      <c r="AQM712" s="5"/>
      <c r="AQN712" s="5"/>
      <c r="AQO712" s="5"/>
      <c r="AQP712" s="5"/>
      <c r="AQQ712" s="5"/>
      <c r="AQR712" s="5"/>
      <c r="AQS712" s="5"/>
      <c r="AQT712" s="5"/>
      <c r="AQU712" s="5"/>
      <c r="AQV712" s="5"/>
      <c r="AQW712" s="5"/>
      <c r="AQX712" s="5"/>
      <c r="AQY712" s="5"/>
      <c r="AQZ712" s="5"/>
      <c r="ARA712" s="5"/>
      <c r="ARB712" s="5"/>
      <c r="ARC712" s="5"/>
      <c r="ARD712" s="5"/>
      <c r="ARE712" s="5"/>
      <c r="ARF712" s="5"/>
      <c r="ARG712" s="5"/>
      <c r="ARH712" s="5"/>
      <c r="ARI712" s="5"/>
      <c r="ARJ712" s="5"/>
      <c r="ARK712" s="5"/>
      <c r="ARL712" s="5"/>
      <c r="ARM712" s="5"/>
      <c r="ARN712" s="5"/>
      <c r="ARO712" s="5"/>
      <c r="ARP712" s="5"/>
      <c r="ARQ712" s="5"/>
      <c r="ARR712" s="5"/>
      <c r="ARS712" s="5"/>
      <c r="ART712" s="5"/>
      <c r="ARU712" s="5"/>
      <c r="ARV712" s="5"/>
      <c r="ARW712" s="5"/>
      <c r="ARX712" s="5"/>
      <c r="ARY712" s="5"/>
      <c r="ARZ712" s="5"/>
      <c r="ASA712" s="5"/>
      <c r="ASB712" s="5"/>
      <c r="ASC712" s="5"/>
      <c r="ASD712" s="5"/>
      <c r="ASE712" s="5"/>
      <c r="ASF712" s="5"/>
      <c r="ASG712" s="5"/>
      <c r="ASH712" s="5"/>
      <c r="ASI712" s="5"/>
      <c r="ASJ712" s="5"/>
      <c r="ASK712" s="5"/>
      <c r="ASL712" s="5"/>
      <c r="ASM712" s="5"/>
      <c r="ASN712" s="5"/>
      <c r="ASO712" s="5"/>
      <c r="ASP712" s="5"/>
      <c r="ASQ712" s="5"/>
      <c r="ASR712" s="5"/>
      <c r="ASS712" s="5"/>
      <c r="AST712" s="5"/>
      <c r="ASU712" s="5"/>
      <c r="ASV712" s="5"/>
      <c r="ASW712" s="5"/>
      <c r="ASX712" s="5"/>
      <c r="ASY712" s="5"/>
      <c r="ASZ712" s="5"/>
      <c r="ATA712" s="5"/>
      <c r="ATB712" s="5"/>
      <c r="ATC712" s="5"/>
      <c r="ATD712" s="5"/>
      <c r="ATE712" s="5"/>
      <c r="ATF712" s="5"/>
      <c r="ATG712" s="5"/>
      <c r="ATH712" s="5"/>
      <c r="ATI712" s="5"/>
      <c r="ATJ712" s="5"/>
      <c r="ATK712" s="5"/>
      <c r="ATL712" s="5"/>
      <c r="ATM712" s="5"/>
      <c r="ATN712" s="5"/>
      <c r="ATO712" s="5"/>
      <c r="ATP712" s="5"/>
      <c r="ATQ712" s="5"/>
      <c r="ATR712" s="5"/>
      <c r="ATS712" s="5"/>
      <c r="ATT712" s="5"/>
      <c r="ATU712" s="5"/>
      <c r="ATV712" s="5"/>
      <c r="ATW712" s="5"/>
      <c r="ATX712" s="5"/>
    </row>
    <row r="713" spans="1:1220" s="67" customFormat="1" ht="12.75" customHeight="1" x14ac:dyDescent="0.35">
      <c r="A713" s="76" t="s">
        <v>229</v>
      </c>
      <c r="B713" s="99" t="s">
        <v>238</v>
      </c>
      <c r="C713" s="76" t="s">
        <v>2613</v>
      </c>
      <c r="D713" s="142" t="s">
        <v>2613</v>
      </c>
      <c r="E713" s="76"/>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c r="EC713" s="5"/>
      <c r="ED713" s="5"/>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s="5"/>
      <c r="FG713" s="5"/>
      <c r="FH713" s="5"/>
      <c r="FI713" s="5"/>
      <c r="FJ713" s="5"/>
      <c r="FK713" s="5"/>
      <c r="FL713" s="5"/>
      <c r="FM713" s="5"/>
      <c r="FN713" s="5"/>
      <c r="FO713" s="5"/>
      <c r="FP713" s="5"/>
      <c r="FQ713" s="5"/>
      <c r="FR713" s="5"/>
      <c r="FS713" s="5"/>
      <c r="FT713" s="5"/>
      <c r="FU713" s="5"/>
      <c r="FV713" s="5"/>
      <c r="FW713" s="5"/>
      <c r="FX713" s="5"/>
      <c r="FY713" s="5"/>
      <c r="FZ713" s="5"/>
      <c r="GA713" s="5"/>
      <c r="GB713" s="5"/>
      <c r="GC713" s="5"/>
      <c r="GD713" s="5"/>
      <c r="GE713" s="5"/>
      <c r="GF713" s="5"/>
      <c r="GG713" s="5"/>
      <c r="GH713" s="5"/>
      <c r="GI713" s="5"/>
      <c r="GJ713" s="5"/>
      <c r="GK713" s="5"/>
      <c r="GL713" s="5"/>
      <c r="GM713" s="5"/>
      <c r="GN713" s="5"/>
      <c r="GO713" s="5"/>
      <c r="GP713" s="5"/>
      <c r="GQ713" s="5"/>
      <c r="GR713" s="5"/>
      <c r="GS713" s="5"/>
      <c r="GT713" s="5"/>
      <c r="GU713" s="5"/>
      <c r="GV713" s="5"/>
      <c r="GW713" s="5"/>
      <c r="GX713" s="5"/>
      <c r="GY713" s="5"/>
      <c r="GZ713" s="5"/>
      <c r="HA713" s="5"/>
      <c r="HB713" s="5"/>
      <c r="HC713" s="5"/>
      <c r="HD713" s="5"/>
      <c r="HE713" s="5"/>
      <c r="HF713" s="5"/>
      <c r="HG713" s="5"/>
      <c r="HH713" s="5"/>
      <c r="HI713" s="5"/>
      <c r="HJ713" s="5"/>
      <c r="HK713" s="5"/>
      <c r="HL713" s="5"/>
      <c r="HM713" s="5"/>
      <c r="HN713" s="5"/>
      <c r="HO713" s="5"/>
      <c r="HP713" s="5"/>
      <c r="HQ713" s="5"/>
      <c r="HR713" s="5"/>
      <c r="HS713" s="5"/>
      <c r="HT713" s="5"/>
      <c r="HU713" s="5"/>
      <c r="HV713" s="5"/>
      <c r="HW713" s="5"/>
      <c r="HX713" s="5"/>
      <c r="HY713" s="5"/>
      <c r="HZ713" s="5"/>
      <c r="IA713" s="5"/>
      <c r="IB713" s="5"/>
      <c r="IC713" s="5"/>
      <c r="ID713" s="5"/>
      <c r="IE713" s="5"/>
      <c r="IF713" s="5"/>
      <c r="IG713" s="5"/>
      <c r="IH713" s="5"/>
      <c r="II713" s="5"/>
      <c r="IJ713" s="5"/>
      <c r="IK713" s="5"/>
      <c r="IL713" s="5"/>
      <c r="IM713" s="5"/>
      <c r="IN713" s="5"/>
      <c r="IO713" s="5"/>
      <c r="IP713" s="5"/>
      <c r="IQ713" s="5"/>
      <c r="IR713" s="5"/>
      <c r="IS713" s="5"/>
      <c r="IT713" s="5"/>
      <c r="IU713" s="5"/>
      <c r="IV713" s="5"/>
      <c r="IW713" s="5"/>
      <c r="IX713" s="5"/>
      <c r="IY713" s="5"/>
      <c r="IZ713" s="5"/>
      <c r="JA713" s="5"/>
      <c r="JB713" s="5"/>
      <c r="JC713" s="5"/>
      <c r="JD713" s="5"/>
      <c r="JE713" s="5"/>
      <c r="JF713" s="5"/>
      <c r="JG713" s="5"/>
      <c r="JH713" s="5"/>
      <c r="JI713" s="5"/>
      <c r="JJ713" s="5"/>
      <c r="JK713" s="5"/>
      <c r="JL713" s="5"/>
      <c r="JM713" s="5"/>
      <c r="JN713" s="5"/>
      <c r="JO713" s="5"/>
      <c r="JP713" s="5"/>
      <c r="JQ713" s="5"/>
      <c r="JR713" s="5"/>
      <c r="JS713" s="5"/>
      <c r="JT713" s="5"/>
      <c r="JU713" s="5"/>
      <c r="JV713" s="5"/>
      <c r="JW713" s="5"/>
      <c r="JX713" s="5"/>
      <c r="JY713" s="5"/>
      <c r="JZ713" s="5"/>
      <c r="KA713" s="5"/>
      <c r="KB713" s="5"/>
      <c r="KC713" s="5"/>
      <c r="KD713" s="5"/>
      <c r="KE713" s="5"/>
      <c r="KF713" s="5"/>
      <c r="KG713" s="5"/>
      <c r="KH713" s="5"/>
      <c r="KI713" s="5"/>
      <c r="KJ713" s="5"/>
      <c r="KK713" s="5"/>
      <c r="KL713" s="5"/>
      <c r="KM713" s="5"/>
      <c r="KN713" s="5"/>
      <c r="KO713" s="5"/>
      <c r="KP713" s="5"/>
      <c r="KQ713" s="5"/>
      <c r="KR713" s="5"/>
      <c r="KS713" s="5"/>
      <c r="KT713" s="5"/>
      <c r="KU713" s="5"/>
      <c r="KV713" s="5"/>
      <c r="KW713" s="5"/>
      <c r="KX713" s="5"/>
      <c r="KY713" s="5"/>
      <c r="KZ713" s="5"/>
      <c r="LA713" s="5"/>
      <c r="LB713" s="5"/>
      <c r="LC713" s="5"/>
      <c r="LD713" s="5"/>
      <c r="LE713" s="5"/>
      <c r="LF713" s="5"/>
      <c r="LG713" s="5"/>
      <c r="LH713" s="5"/>
      <c r="LI713" s="5"/>
      <c r="LJ713" s="5"/>
      <c r="LK713" s="5"/>
      <c r="LL713" s="5"/>
      <c r="LM713" s="5"/>
      <c r="LN713" s="5"/>
      <c r="LO713" s="5"/>
      <c r="LP713" s="5"/>
      <c r="LQ713" s="5"/>
      <c r="LR713" s="5"/>
      <c r="LS713" s="5"/>
      <c r="LT713" s="5"/>
      <c r="LU713" s="5"/>
      <c r="LV713" s="5"/>
      <c r="LW713" s="5"/>
      <c r="LX713" s="5"/>
      <c r="LY713" s="5"/>
      <c r="LZ713" s="5"/>
      <c r="MA713" s="5"/>
      <c r="MB713" s="5"/>
      <c r="MC713" s="5"/>
      <c r="MD713" s="5"/>
      <c r="ME713" s="5"/>
      <c r="MF713" s="5"/>
      <c r="MG713" s="5"/>
      <c r="MH713" s="5"/>
      <c r="MI713" s="5"/>
      <c r="MJ713" s="5"/>
      <c r="MK713" s="5"/>
      <c r="ML713" s="5"/>
      <c r="MM713" s="5"/>
      <c r="MN713" s="5"/>
      <c r="MO713" s="5"/>
      <c r="MP713" s="5"/>
      <c r="MQ713" s="5"/>
      <c r="MR713" s="5"/>
      <c r="MS713" s="5"/>
      <c r="MT713" s="5"/>
      <c r="MU713" s="5"/>
      <c r="MV713" s="5"/>
      <c r="MW713" s="5"/>
      <c r="MX713" s="5"/>
      <c r="MY713" s="5"/>
      <c r="MZ713" s="5"/>
      <c r="NA713" s="5"/>
      <c r="NB713" s="5"/>
      <c r="NC713" s="5"/>
      <c r="ND713" s="5"/>
      <c r="NE713" s="5"/>
      <c r="NF713" s="5"/>
      <c r="NG713" s="5"/>
      <c r="NH713" s="5"/>
      <c r="NI713" s="5"/>
      <c r="NJ713" s="5"/>
      <c r="NK713" s="5"/>
      <c r="NL713" s="5"/>
      <c r="NM713" s="5"/>
      <c r="NN713" s="5"/>
      <c r="NO713" s="5"/>
      <c r="NP713" s="5"/>
      <c r="NQ713" s="5"/>
      <c r="NR713" s="5"/>
      <c r="NS713" s="5"/>
      <c r="NT713" s="5"/>
      <c r="NU713" s="5"/>
      <c r="NV713" s="5"/>
      <c r="NW713" s="5"/>
      <c r="NX713" s="5"/>
      <c r="NY713" s="5"/>
      <c r="NZ713" s="5"/>
      <c r="OA713" s="5"/>
      <c r="OB713" s="5"/>
      <c r="OC713" s="5"/>
      <c r="OD713" s="5"/>
      <c r="OE713" s="5"/>
      <c r="OF713" s="5"/>
      <c r="OG713" s="5"/>
      <c r="OH713" s="5"/>
      <c r="OI713" s="5"/>
      <c r="OJ713" s="5"/>
      <c r="OK713" s="5"/>
      <c r="OL713" s="5"/>
      <c r="OM713" s="5"/>
      <c r="ON713" s="5"/>
      <c r="OO713" s="5"/>
      <c r="OP713" s="5"/>
      <c r="OQ713" s="5"/>
      <c r="OR713" s="5"/>
      <c r="OS713" s="5"/>
      <c r="OT713" s="5"/>
      <c r="OU713" s="5"/>
      <c r="OV713" s="5"/>
      <c r="OW713" s="5"/>
      <c r="OX713" s="5"/>
      <c r="OY713" s="5"/>
      <c r="OZ713" s="5"/>
      <c r="PA713" s="5"/>
      <c r="PB713" s="5"/>
      <c r="PC713" s="5"/>
      <c r="PD713" s="5"/>
      <c r="PE713" s="5"/>
      <c r="PF713" s="5"/>
      <c r="PG713" s="5"/>
      <c r="PH713" s="5"/>
      <c r="PI713" s="5"/>
      <c r="PJ713" s="5"/>
      <c r="PK713" s="5"/>
      <c r="PL713" s="5"/>
      <c r="PM713" s="5"/>
      <c r="PN713" s="5"/>
      <c r="PO713" s="5"/>
      <c r="PP713" s="5"/>
      <c r="PQ713" s="5"/>
      <c r="PR713" s="5"/>
      <c r="PS713" s="5"/>
      <c r="PT713" s="5"/>
      <c r="PU713" s="5"/>
      <c r="PV713" s="5"/>
      <c r="PW713" s="5"/>
      <c r="PX713" s="5"/>
      <c r="PY713" s="5"/>
      <c r="PZ713" s="5"/>
      <c r="QA713" s="5"/>
      <c r="QB713" s="5"/>
      <c r="QC713" s="5"/>
      <c r="QD713" s="5"/>
      <c r="QE713" s="5"/>
      <c r="QF713" s="5"/>
      <c r="QG713" s="5"/>
      <c r="QH713" s="5"/>
      <c r="QI713" s="5"/>
      <c r="QJ713" s="5"/>
      <c r="QK713" s="5"/>
      <c r="QL713" s="5"/>
      <c r="QM713" s="5"/>
      <c r="QN713" s="5"/>
      <c r="QO713" s="5"/>
      <c r="QP713" s="5"/>
      <c r="QQ713" s="5"/>
      <c r="QR713" s="5"/>
      <c r="QS713" s="5"/>
      <c r="QT713" s="5"/>
      <c r="QU713" s="5"/>
      <c r="QV713" s="5"/>
      <c r="QW713" s="5"/>
      <c r="QX713" s="5"/>
      <c r="QY713" s="5"/>
      <c r="QZ713" s="5"/>
      <c r="RA713" s="5"/>
      <c r="RB713" s="5"/>
      <c r="RC713" s="5"/>
      <c r="RD713" s="5"/>
      <c r="RE713" s="5"/>
      <c r="RF713" s="5"/>
      <c r="RG713" s="5"/>
      <c r="RH713" s="5"/>
      <c r="RI713" s="5"/>
      <c r="RJ713" s="5"/>
      <c r="RK713" s="5"/>
      <c r="RL713" s="5"/>
      <c r="RM713" s="5"/>
      <c r="RN713" s="5"/>
      <c r="RO713" s="5"/>
      <c r="RP713" s="5"/>
      <c r="RQ713" s="5"/>
      <c r="RR713" s="5"/>
      <c r="RS713" s="5"/>
      <c r="RT713" s="5"/>
      <c r="RU713" s="5"/>
      <c r="RV713" s="5"/>
      <c r="RW713" s="5"/>
      <c r="RX713" s="5"/>
      <c r="RY713" s="5"/>
      <c r="RZ713" s="5"/>
      <c r="SA713" s="5"/>
      <c r="SB713" s="5"/>
      <c r="SC713" s="5"/>
      <c r="SD713" s="5"/>
      <c r="SE713" s="5"/>
      <c r="SF713" s="5"/>
      <c r="SG713" s="5"/>
      <c r="SH713" s="5"/>
      <c r="SI713" s="5"/>
      <c r="SJ713" s="5"/>
      <c r="SK713" s="5"/>
      <c r="SL713" s="5"/>
      <c r="SM713" s="5"/>
      <c r="SN713" s="5"/>
      <c r="SO713" s="5"/>
      <c r="SP713" s="5"/>
      <c r="SQ713" s="5"/>
      <c r="SR713" s="5"/>
      <c r="SS713" s="5"/>
      <c r="ST713" s="5"/>
      <c r="SU713" s="5"/>
      <c r="SV713" s="5"/>
      <c r="SW713" s="5"/>
      <c r="SX713" s="5"/>
      <c r="SY713" s="5"/>
      <c r="SZ713" s="5"/>
      <c r="TA713" s="5"/>
      <c r="TB713" s="5"/>
      <c r="TC713" s="5"/>
      <c r="TD713" s="5"/>
      <c r="TE713" s="5"/>
      <c r="TF713" s="5"/>
      <c r="TG713" s="5"/>
      <c r="TH713" s="5"/>
      <c r="TI713" s="5"/>
      <c r="TJ713" s="5"/>
      <c r="TK713" s="5"/>
      <c r="TL713" s="5"/>
      <c r="TM713" s="5"/>
      <c r="TN713" s="5"/>
      <c r="TO713" s="5"/>
      <c r="TP713" s="5"/>
      <c r="TQ713" s="5"/>
      <c r="TR713" s="5"/>
      <c r="TS713" s="5"/>
      <c r="TT713" s="5"/>
      <c r="TU713" s="5"/>
      <c r="TV713" s="5"/>
      <c r="TW713" s="5"/>
      <c r="TX713" s="5"/>
      <c r="TY713" s="5"/>
      <c r="TZ713" s="5"/>
      <c r="UA713" s="5"/>
      <c r="UB713" s="5"/>
      <c r="UC713" s="5"/>
      <c r="UD713" s="5"/>
      <c r="UE713" s="5"/>
      <c r="UF713" s="5"/>
      <c r="UG713" s="5"/>
      <c r="UH713" s="5"/>
      <c r="UI713" s="5"/>
      <c r="UJ713" s="5"/>
      <c r="UK713" s="5"/>
      <c r="UL713" s="5"/>
      <c r="UM713" s="5"/>
      <c r="UN713" s="5"/>
      <c r="UO713" s="5"/>
      <c r="UP713" s="5"/>
      <c r="UQ713" s="5"/>
      <c r="UR713" s="5"/>
      <c r="US713" s="5"/>
      <c r="UT713" s="5"/>
      <c r="UU713" s="5"/>
      <c r="UV713" s="5"/>
      <c r="UW713" s="5"/>
      <c r="UX713" s="5"/>
      <c r="UY713" s="5"/>
      <c r="UZ713" s="5"/>
      <c r="VA713" s="5"/>
      <c r="VB713" s="5"/>
      <c r="VC713" s="5"/>
      <c r="VD713" s="5"/>
      <c r="VE713" s="5"/>
      <c r="VF713" s="5"/>
      <c r="VG713" s="5"/>
      <c r="VH713" s="5"/>
      <c r="VI713" s="5"/>
      <c r="VJ713" s="5"/>
      <c r="VK713" s="5"/>
      <c r="VL713" s="5"/>
      <c r="VM713" s="5"/>
      <c r="VN713" s="5"/>
      <c r="VO713" s="5"/>
      <c r="VP713" s="5"/>
      <c r="VQ713" s="5"/>
      <c r="VR713" s="5"/>
      <c r="VS713" s="5"/>
      <c r="VT713" s="5"/>
      <c r="VU713" s="5"/>
      <c r="VV713" s="5"/>
      <c r="VW713" s="5"/>
      <c r="VX713" s="5"/>
      <c r="VY713" s="5"/>
      <c r="VZ713" s="5"/>
      <c r="WA713" s="5"/>
      <c r="WB713" s="5"/>
      <c r="WC713" s="5"/>
      <c r="WD713" s="5"/>
      <c r="WE713" s="5"/>
      <c r="WF713" s="5"/>
      <c r="WG713" s="5"/>
      <c r="WH713" s="5"/>
      <c r="WI713" s="5"/>
      <c r="WJ713" s="5"/>
      <c r="WK713" s="5"/>
      <c r="WL713" s="5"/>
      <c r="WM713" s="5"/>
      <c r="WN713" s="5"/>
      <c r="WO713" s="5"/>
      <c r="WP713" s="5"/>
      <c r="WQ713" s="5"/>
      <c r="WR713" s="5"/>
      <c r="WS713" s="5"/>
      <c r="WT713" s="5"/>
      <c r="WU713" s="5"/>
      <c r="WV713" s="5"/>
      <c r="WW713" s="5"/>
      <c r="WX713" s="5"/>
      <c r="WY713" s="5"/>
      <c r="WZ713" s="5"/>
      <c r="XA713" s="5"/>
      <c r="XB713" s="5"/>
      <c r="XC713" s="5"/>
      <c r="XD713" s="5"/>
      <c r="XE713" s="5"/>
      <c r="XF713" s="5"/>
      <c r="XG713" s="5"/>
      <c r="XH713" s="5"/>
      <c r="XI713" s="5"/>
      <c r="XJ713" s="5"/>
      <c r="XK713" s="5"/>
      <c r="XL713" s="5"/>
      <c r="XM713" s="5"/>
      <c r="XN713" s="5"/>
      <c r="XO713" s="5"/>
      <c r="XP713" s="5"/>
      <c r="XQ713" s="5"/>
      <c r="XR713" s="5"/>
      <c r="XS713" s="5"/>
      <c r="XT713" s="5"/>
      <c r="XU713" s="5"/>
      <c r="XV713" s="5"/>
      <c r="XW713" s="5"/>
      <c r="XX713" s="5"/>
      <c r="XY713" s="5"/>
      <c r="XZ713" s="5"/>
      <c r="YA713" s="5"/>
      <c r="YB713" s="5"/>
      <c r="YC713" s="5"/>
      <c r="YD713" s="5"/>
      <c r="YE713" s="5"/>
      <c r="YF713" s="5"/>
      <c r="YG713" s="5"/>
      <c r="YH713" s="5"/>
      <c r="YI713" s="5"/>
      <c r="YJ713" s="5"/>
      <c r="YK713" s="5"/>
      <c r="YL713" s="5"/>
      <c r="YM713" s="5"/>
      <c r="YN713" s="5"/>
      <c r="YO713" s="5"/>
      <c r="YP713" s="5"/>
      <c r="YQ713" s="5"/>
      <c r="YR713" s="5"/>
      <c r="YS713" s="5"/>
      <c r="YT713" s="5"/>
      <c r="YU713" s="5"/>
      <c r="YV713" s="5"/>
      <c r="YW713" s="5"/>
      <c r="YX713" s="5"/>
      <c r="YY713" s="5"/>
      <c r="YZ713" s="5"/>
      <c r="ZA713" s="5"/>
      <c r="ZB713" s="5"/>
      <c r="ZC713" s="5"/>
      <c r="ZD713" s="5"/>
      <c r="ZE713" s="5"/>
      <c r="ZF713" s="5"/>
      <c r="ZG713" s="5"/>
      <c r="ZH713" s="5"/>
      <c r="ZI713" s="5"/>
      <c r="ZJ713" s="5"/>
      <c r="ZK713" s="5"/>
      <c r="ZL713" s="5"/>
      <c r="ZM713" s="5"/>
      <c r="ZN713" s="5"/>
      <c r="ZO713" s="5"/>
      <c r="ZP713" s="5"/>
      <c r="ZQ713" s="5"/>
      <c r="ZR713" s="5"/>
      <c r="ZS713" s="5"/>
      <c r="ZT713" s="5"/>
      <c r="ZU713" s="5"/>
      <c r="ZV713" s="5"/>
      <c r="ZW713" s="5"/>
      <c r="ZX713" s="5"/>
      <c r="ZY713" s="5"/>
      <c r="ZZ713" s="5"/>
      <c r="AAA713" s="5"/>
      <c r="AAB713" s="5"/>
      <c r="AAC713" s="5"/>
      <c r="AAD713" s="5"/>
      <c r="AAE713" s="5"/>
      <c r="AAF713" s="5"/>
      <c r="AAG713" s="5"/>
      <c r="AAH713" s="5"/>
      <c r="AAI713" s="5"/>
      <c r="AAJ713" s="5"/>
      <c r="AAK713" s="5"/>
      <c r="AAL713" s="5"/>
      <c r="AAM713" s="5"/>
      <c r="AAN713" s="5"/>
      <c r="AAO713" s="5"/>
      <c r="AAP713" s="5"/>
      <c r="AAQ713" s="5"/>
      <c r="AAR713" s="5"/>
      <c r="AAS713" s="5"/>
      <c r="AAT713" s="5"/>
      <c r="AAU713" s="5"/>
      <c r="AAV713" s="5"/>
      <c r="AAW713" s="5"/>
      <c r="AAX713" s="5"/>
      <c r="AAY713" s="5"/>
      <c r="AAZ713" s="5"/>
      <c r="ABA713" s="5"/>
      <c r="ABB713" s="5"/>
      <c r="ABC713" s="5"/>
      <c r="ABD713" s="5"/>
      <c r="ABE713" s="5"/>
      <c r="ABF713" s="5"/>
      <c r="ABG713" s="5"/>
      <c r="ABH713" s="5"/>
      <c r="ABI713" s="5"/>
      <c r="ABJ713" s="5"/>
      <c r="ABK713" s="5"/>
      <c r="ABL713" s="5"/>
      <c r="ABM713" s="5"/>
      <c r="ABN713" s="5"/>
      <c r="ABO713" s="5"/>
      <c r="ABP713" s="5"/>
      <c r="ABQ713" s="5"/>
      <c r="ABR713" s="5"/>
      <c r="ABS713" s="5"/>
      <c r="ABT713" s="5"/>
      <c r="ABU713" s="5"/>
      <c r="ABV713" s="5"/>
      <c r="ABW713" s="5"/>
      <c r="ABX713" s="5"/>
      <c r="ABY713" s="5"/>
      <c r="ABZ713" s="5"/>
      <c r="ACA713" s="5"/>
      <c r="ACB713" s="5"/>
      <c r="ACC713" s="5"/>
      <c r="ACD713" s="5"/>
      <c r="ACE713" s="5"/>
      <c r="ACF713" s="5"/>
      <c r="ACG713" s="5"/>
      <c r="ACH713" s="5"/>
      <c r="ACI713" s="5"/>
      <c r="ACJ713" s="5"/>
      <c r="ACK713" s="5"/>
      <c r="ACL713" s="5"/>
      <c r="ACM713" s="5"/>
      <c r="ACN713" s="5"/>
      <c r="ACO713" s="5"/>
      <c r="ACP713" s="5"/>
      <c r="ACQ713" s="5"/>
      <c r="ACR713" s="5"/>
      <c r="ACS713" s="5"/>
      <c r="ACT713" s="5"/>
      <c r="ACU713" s="5"/>
      <c r="ACV713" s="5"/>
      <c r="ACW713" s="5"/>
      <c r="ACX713" s="5"/>
      <c r="ACY713" s="5"/>
      <c r="ACZ713" s="5"/>
      <c r="ADA713" s="5"/>
      <c r="ADB713" s="5"/>
      <c r="ADC713" s="5"/>
      <c r="ADD713" s="5"/>
      <c r="ADE713" s="5"/>
      <c r="ADF713" s="5"/>
      <c r="ADG713" s="5"/>
      <c r="ADH713" s="5"/>
      <c r="ADI713" s="5"/>
      <c r="ADJ713" s="5"/>
      <c r="ADK713" s="5"/>
      <c r="ADL713" s="5"/>
      <c r="ADM713" s="5"/>
      <c r="ADN713" s="5"/>
      <c r="ADO713" s="5"/>
      <c r="ADP713" s="5"/>
      <c r="ADQ713" s="5"/>
      <c r="ADR713" s="5"/>
      <c r="ADS713" s="5"/>
      <c r="ADT713" s="5"/>
      <c r="ADU713" s="5"/>
      <c r="ADV713" s="5"/>
      <c r="ADW713" s="5"/>
      <c r="ADX713" s="5"/>
      <c r="ADY713" s="5"/>
      <c r="ADZ713" s="5"/>
      <c r="AEA713" s="5"/>
      <c r="AEB713" s="5"/>
      <c r="AEC713" s="5"/>
      <c r="AED713" s="5"/>
      <c r="AEE713" s="5"/>
      <c r="AEF713" s="5"/>
      <c r="AEG713" s="5"/>
      <c r="AEH713" s="5"/>
      <c r="AEI713" s="5"/>
      <c r="AEJ713" s="5"/>
      <c r="AEK713" s="5"/>
      <c r="AEL713" s="5"/>
      <c r="AEM713" s="5"/>
      <c r="AEN713" s="5"/>
      <c r="AEO713" s="5"/>
      <c r="AEP713" s="5"/>
      <c r="AEQ713" s="5"/>
      <c r="AER713" s="5"/>
      <c r="AES713" s="5"/>
      <c r="AET713" s="5"/>
      <c r="AEU713" s="5"/>
      <c r="AEV713" s="5"/>
      <c r="AEW713" s="5"/>
      <c r="AEX713" s="5"/>
      <c r="AEY713" s="5"/>
      <c r="AEZ713" s="5"/>
      <c r="AFA713" s="5"/>
      <c r="AFB713" s="5"/>
      <c r="AFC713" s="5"/>
      <c r="AFD713" s="5"/>
      <c r="AFE713" s="5"/>
      <c r="AFF713" s="5"/>
      <c r="AFG713" s="5"/>
      <c r="AFH713" s="5"/>
      <c r="AFI713" s="5"/>
      <c r="AFJ713" s="5"/>
      <c r="AFK713" s="5"/>
      <c r="AFL713" s="5"/>
      <c r="AFM713" s="5"/>
      <c r="AFN713" s="5"/>
      <c r="AFO713" s="5"/>
      <c r="AFP713" s="5"/>
      <c r="AFQ713" s="5"/>
      <c r="AFR713" s="5"/>
      <c r="AFS713" s="5"/>
      <c r="AFT713" s="5"/>
      <c r="AFU713" s="5"/>
      <c r="AFV713" s="5"/>
      <c r="AFW713" s="5"/>
      <c r="AFX713" s="5"/>
      <c r="AFY713" s="5"/>
      <c r="AFZ713" s="5"/>
      <c r="AGA713" s="5"/>
      <c r="AGB713" s="5"/>
      <c r="AGC713" s="5"/>
      <c r="AGD713" s="5"/>
      <c r="AGE713" s="5"/>
      <c r="AGF713" s="5"/>
      <c r="AGG713" s="5"/>
      <c r="AGH713" s="5"/>
      <c r="AGI713" s="5"/>
      <c r="AGJ713" s="5"/>
      <c r="AGK713" s="5"/>
      <c r="AGL713" s="5"/>
      <c r="AGM713" s="5"/>
      <c r="AGN713" s="5"/>
      <c r="AGO713" s="5"/>
      <c r="AGP713" s="5"/>
      <c r="AGQ713" s="5"/>
      <c r="AGR713" s="5"/>
      <c r="AGS713" s="5"/>
      <c r="AGT713" s="5"/>
      <c r="AGU713" s="5"/>
      <c r="AGV713" s="5"/>
      <c r="AGW713" s="5"/>
      <c r="AGX713" s="5"/>
      <c r="AGY713" s="5"/>
      <c r="AGZ713" s="5"/>
      <c r="AHA713" s="5"/>
      <c r="AHB713" s="5"/>
      <c r="AHC713" s="5"/>
      <c r="AHD713" s="5"/>
      <c r="AHE713" s="5"/>
      <c r="AHF713" s="5"/>
      <c r="AHG713" s="5"/>
      <c r="AHH713" s="5"/>
      <c r="AHI713" s="5"/>
      <c r="AHJ713" s="5"/>
      <c r="AHK713" s="5"/>
      <c r="AHL713" s="5"/>
      <c r="AHM713" s="5"/>
      <c r="AHN713" s="5"/>
      <c r="AHO713" s="5"/>
      <c r="AHP713" s="5"/>
      <c r="AHQ713" s="5"/>
      <c r="AHR713" s="5"/>
      <c r="AHS713" s="5"/>
      <c r="AHT713" s="5"/>
      <c r="AHU713" s="5"/>
      <c r="AHV713" s="5"/>
      <c r="AHW713" s="5"/>
      <c r="AHX713" s="5"/>
      <c r="AHY713" s="5"/>
      <c r="AHZ713" s="5"/>
      <c r="AIA713" s="5"/>
      <c r="AIB713" s="5"/>
      <c r="AIC713" s="5"/>
      <c r="AID713" s="5"/>
      <c r="AIE713" s="5"/>
      <c r="AIF713" s="5"/>
      <c r="AIG713" s="5"/>
      <c r="AIH713" s="5"/>
      <c r="AII713" s="5"/>
      <c r="AIJ713" s="5"/>
      <c r="AIK713" s="5"/>
      <c r="AIL713" s="5"/>
      <c r="AIM713" s="5"/>
      <c r="AIN713" s="5"/>
      <c r="AIO713" s="5"/>
      <c r="AIP713" s="5"/>
      <c r="AIQ713" s="5"/>
      <c r="AIR713" s="5"/>
      <c r="AIS713" s="5"/>
      <c r="AIT713" s="5"/>
      <c r="AIU713" s="5"/>
      <c r="AIV713" s="5"/>
      <c r="AIW713" s="5"/>
      <c r="AIX713" s="5"/>
      <c r="AIY713" s="5"/>
      <c r="AIZ713" s="5"/>
      <c r="AJA713" s="5"/>
      <c r="AJB713" s="5"/>
      <c r="AJC713" s="5"/>
      <c r="AJD713" s="5"/>
      <c r="AJE713" s="5"/>
      <c r="AJF713" s="5"/>
      <c r="AJG713" s="5"/>
      <c r="AJH713" s="5"/>
      <c r="AJI713" s="5"/>
      <c r="AJJ713" s="5"/>
      <c r="AJK713" s="5"/>
      <c r="AJL713" s="5"/>
      <c r="AJM713" s="5"/>
      <c r="AJN713" s="5"/>
      <c r="AJO713" s="5"/>
      <c r="AJP713" s="5"/>
      <c r="AJQ713" s="5"/>
      <c r="AJR713" s="5"/>
      <c r="AJS713" s="5"/>
      <c r="AJT713" s="5"/>
      <c r="AJU713" s="5"/>
      <c r="AJV713" s="5"/>
      <c r="AJW713" s="5"/>
      <c r="AJX713" s="5"/>
      <c r="AJY713" s="5"/>
      <c r="AJZ713" s="5"/>
      <c r="AKA713" s="5"/>
      <c r="AKB713" s="5"/>
      <c r="AKC713" s="5"/>
      <c r="AKD713" s="5"/>
      <c r="AKE713" s="5"/>
      <c r="AKF713" s="5"/>
      <c r="AKG713" s="5"/>
      <c r="AKH713" s="5"/>
      <c r="AKI713" s="5"/>
      <c r="AKJ713" s="5"/>
      <c r="AKK713" s="5"/>
      <c r="AKL713" s="5"/>
      <c r="AKM713" s="5"/>
      <c r="AKN713" s="5"/>
      <c r="AKO713" s="5"/>
      <c r="AKP713" s="5"/>
      <c r="AKQ713" s="5"/>
      <c r="AKR713" s="5"/>
      <c r="AKS713" s="5"/>
      <c r="AKT713" s="5"/>
      <c r="AKU713" s="5"/>
      <c r="AKV713" s="5"/>
      <c r="AKW713" s="5"/>
      <c r="AKX713" s="5"/>
      <c r="AKY713" s="5"/>
      <c r="AKZ713" s="5"/>
      <c r="ALA713" s="5"/>
      <c r="ALB713" s="5"/>
      <c r="ALC713" s="5"/>
      <c r="ALD713" s="5"/>
      <c r="ALE713" s="5"/>
      <c r="ALF713" s="5"/>
      <c r="ALG713" s="5"/>
      <c r="ALH713" s="5"/>
      <c r="ALI713" s="5"/>
      <c r="ALJ713" s="5"/>
      <c r="ALK713" s="5"/>
      <c r="ALL713" s="5"/>
      <c r="ALM713" s="5"/>
      <c r="ALN713" s="5"/>
      <c r="ALO713" s="5"/>
      <c r="ALP713" s="5"/>
      <c r="ALQ713" s="5"/>
      <c r="ALR713" s="5"/>
      <c r="ALS713" s="5"/>
      <c r="ALT713" s="5"/>
      <c r="ALU713" s="5"/>
      <c r="ALV713" s="5"/>
      <c r="ALW713" s="5"/>
      <c r="ALX713" s="5"/>
      <c r="ALY713" s="5"/>
      <c r="ALZ713" s="5"/>
      <c r="AMA713" s="5"/>
      <c r="AMB713" s="5"/>
      <c r="AMC713" s="5"/>
      <c r="AMD713" s="5"/>
      <c r="AME713" s="5"/>
      <c r="AMF713" s="5"/>
      <c r="AMG713" s="5"/>
      <c r="AMH713" s="5"/>
      <c r="AMI713" s="5"/>
      <c r="AMJ713" s="5"/>
      <c r="AMK713" s="5"/>
      <c r="AML713" s="5"/>
      <c r="AMM713" s="5"/>
      <c r="AMN713" s="5"/>
      <c r="AMO713" s="5"/>
      <c r="AMP713" s="5"/>
      <c r="AMQ713" s="5"/>
      <c r="AMR713" s="5"/>
      <c r="AMS713" s="5"/>
      <c r="AMT713" s="5"/>
      <c r="AMU713" s="5"/>
      <c r="AMV713" s="5"/>
      <c r="AMW713" s="5"/>
      <c r="AMX713" s="5"/>
      <c r="AMY713" s="5"/>
      <c r="AMZ713" s="5"/>
      <c r="ANA713" s="5"/>
      <c r="ANB713" s="5"/>
      <c r="ANC713" s="5"/>
      <c r="AND713" s="5"/>
      <c r="ANE713" s="5"/>
      <c r="ANF713" s="5"/>
      <c r="ANG713" s="5"/>
      <c r="ANH713" s="5"/>
      <c r="ANI713" s="5"/>
      <c r="ANJ713" s="5"/>
      <c r="ANK713" s="5"/>
      <c r="ANL713" s="5"/>
      <c r="ANM713" s="5"/>
      <c r="ANN713" s="5"/>
      <c r="ANO713" s="5"/>
      <c r="ANP713" s="5"/>
      <c r="ANQ713" s="5"/>
      <c r="ANR713" s="5"/>
      <c r="ANS713" s="5"/>
      <c r="ANT713" s="5"/>
      <c r="ANU713" s="5"/>
      <c r="ANV713" s="5"/>
      <c r="ANW713" s="5"/>
      <c r="ANX713" s="5"/>
      <c r="ANY713" s="5"/>
      <c r="ANZ713" s="5"/>
      <c r="AOA713" s="5"/>
      <c r="AOB713" s="5"/>
      <c r="AOC713" s="5"/>
      <c r="AOD713" s="5"/>
      <c r="AOE713" s="5"/>
      <c r="AOF713" s="5"/>
      <c r="AOG713" s="5"/>
      <c r="AOH713" s="5"/>
      <c r="AOI713" s="5"/>
      <c r="AOJ713" s="5"/>
      <c r="AOK713" s="5"/>
      <c r="AOL713" s="5"/>
      <c r="AOM713" s="5"/>
      <c r="AON713" s="5"/>
      <c r="AOO713" s="5"/>
      <c r="AOP713" s="5"/>
      <c r="AOQ713" s="5"/>
      <c r="AOR713" s="5"/>
      <c r="AOS713" s="5"/>
      <c r="AOT713" s="5"/>
      <c r="AOU713" s="5"/>
      <c r="AOV713" s="5"/>
      <c r="AOW713" s="5"/>
      <c r="AOX713" s="5"/>
      <c r="AOY713" s="5"/>
      <c r="AOZ713" s="5"/>
      <c r="APA713" s="5"/>
      <c r="APB713" s="5"/>
      <c r="APC713" s="5"/>
      <c r="APD713" s="5"/>
      <c r="APE713" s="5"/>
      <c r="APF713" s="5"/>
      <c r="APG713" s="5"/>
      <c r="APH713" s="5"/>
      <c r="API713" s="5"/>
      <c r="APJ713" s="5"/>
      <c r="APK713" s="5"/>
      <c r="APL713" s="5"/>
      <c r="APM713" s="5"/>
      <c r="APN713" s="5"/>
      <c r="APO713" s="5"/>
      <c r="APP713" s="5"/>
      <c r="APQ713" s="5"/>
      <c r="APR713" s="5"/>
      <c r="APS713" s="5"/>
      <c r="APT713" s="5"/>
      <c r="APU713" s="5"/>
      <c r="APV713" s="5"/>
      <c r="APW713" s="5"/>
      <c r="APX713" s="5"/>
      <c r="APY713" s="5"/>
      <c r="APZ713" s="5"/>
      <c r="AQA713" s="5"/>
      <c r="AQB713" s="5"/>
      <c r="AQC713" s="5"/>
      <c r="AQD713" s="5"/>
      <c r="AQE713" s="5"/>
      <c r="AQF713" s="5"/>
      <c r="AQG713" s="5"/>
      <c r="AQH713" s="5"/>
      <c r="AQI713" s="5"/>
      <c r="AQJ713" s="5"/>
      <c r="AQK713" s="5"/>
      <c r="AQL713" s="5"/>
      <c r="AQM713" s="5"/>
      <c r="AQN713" s="5"/>
      <c r="AQO713" s="5"/>
      <c r="AQP713" s="5"/>
      <c r="AQQ713" s="5"/>
      <c r="AQR713" s="5"/>
      <c r="AQS713" s="5"/>
      <c r="AQT713" s="5"/>
      <c r="AQU713" s="5"/>
      <c r="AQV713" s="5"/>
      <c r="AQW713" s="5"/>
      <c r="AQX713" s="5"/>
      <c r="AQY713" s="5"/>
      <c r="AQZ713" s="5"/>
      <c r="ARA713" s="5"/>
      <c r="ARB713" s="5"/>
      <c r="ARC713" s="5"/>
      <c r="ARD713" s="5"/>
      <c r="ARE713" s="5"/>
      <c r="ARF713" s="5"/>
      <c r="ARG713" s="5"/>
      <c r="ARH713" s="5"/>
      <c r="ARI713" s="5"/>
      <c r="ARJ713" s="5"/>
      <c r="ARK713" s="5"/>
      <c r="ARL713" s="5"/>
      <c r="ARM713" s="5"/>
      <c r="ARN713" s="5"/>
      <c r="ARO713" s="5"/>
      <c r="ARP713" s="5"/>
      <c r="ARQ713" s="5"/>
      <c r="ARR713" s="5"/>
      <c r="ARS713" s="5"/>
      <c r="ART713" s="5"/>
      <c r="ARU713" s="5"/>
      <c r="ARV713" s="5"/>
      <c r="ARW713" s="5"/>
      <c r="ARX713" s="5"/>
      <c r="ARY713" s="5"/>
      <c r="ARZ713" s="5"/>
      <c r="ASA713" s="5"/>
      <c r="ASB713" s="5"/>
      <c r="ASC713" s="5"/>
      <c r="ASD713" s="5"/>
      <c r="ASE713" s="5"/>
      <c r="ASF713" s="5"/>
      <c r="ASG713" s="5"/>
      <c r="ASH713" s="5"/>
      <c r="ASI713" s="5"/>
      <c r="ASJ713" s="5"/>
      <c r="ASK713" s="5"/>
      <c r="ASL713" s="5"/>
      <c r="ASM713" s="5"/>
      <c r="ASN713" s="5"/>
      <c r="ASO713" s="5"/>
      <c r="ASP713" s="5"/>
      <c r="ASQ713" s="5"/>
      <c r="ASR713" s="5"/>
      <c r="ASS713" s="5"/>
      <c r="AST713" s="5"/>
      <c r="ASU713" s="5"/>
      <c r="ASV713" s="5"/>
      <c r="ASW713" s="5"/>
      <c r="ASX713" s="5"/>
      <c r="ASY713" s="5"/>
      <c r="ASZ713" s="5"/>
      <c r="ATA713" s="5"/>
      <c r="ATB713" s="5"/>
      <c r="ATC713" s="5"/>
      <c r="ATD713" s="5"/>
      <c r="ATE713" s="5"/>
      <c r="ATF713" s="5"/>
      <c r="ATG713" s="5"/>
      <c r="ATH713" s="5"/>
      <c r="ATI713" s="5"/>
      <c r="ATJ713" s="5"/>
      <c r="ATK713" s="5"/>
      <c r="ATL713" s="5"/>
      <c r="ATM713" s="5"/>
      <c r="ATN713" s="5"/>
      <c r="ATO713" s="5"/>
      <c r="ATP713" s="5"/>
      <c r="ATQ713" s="5"/>
      <c r="ATR713" s="5"/>
      <c r="ATS713" s="5"/>
      <c r="ATT713" s="5"/>
      <c r="ATU713" s="5"/>
      <c r="ATV713" s="5"/>
      <c r="ATW713" s="5"/>
      <c r="ATX713" s="5"/>
    </row>
    <row r="714" spans="1:1220" s="67" customFormat="1" ht="12.75" customHeight="1" x14ac:dyDescent="0.35">
      <c r="A714" s="76" t="s">
        <v>229</v>
      </c>
      <c r="B714" s="99" t="s">
        <v>244</v>
      </c>
      <c r="C714" s="76" t="s">
        <v>2614</v>
      </c>
      <c r="D714" s="142" t="s">
        <v>2614</v>
      </c>
      <c r="E714" s="76"/>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c r="FK714" s="5"/>
      <c r="FL714" s="5"/>
      <c r="FM714" s="5"/>
      <c r="FN714" s="5"/>
      <c r="FO714" s="5"/>
      <c r="FP714" s="5"/>
      <c r="FQ714" s="5"/>
      <c r="FR714" s="5"/>
      <c r="FS714" s="5"/>
      <c r="FT714" s="5"/>
      <c r="FU714" s="5"/>
      <c r="FV714" s="5"/>
      <c r="FW714" s="5"/>
      <c r="FX714" s="5"/>
      <c r="FY714" s="5"/>
      <c r="FZ714" s="5"/>
      <c r="GA714" s="5"/>
      <c r="GB714" s="5"/>
      <c r="GC714" s="5"/>
      <c r="GD714" s="5"/>
      <c r="GE714" s="5"/>
      <c r="GF714" s="5"/>
      <c r="GG714" s="5"/>
      <c r="GH714" s="5"/>
      <c r="GI714" s="5"/>
      <c r="GJ714" s="5"/>
      <c r="GK714" s="5"/>
      <c r="GL714" s="5"/>
      <c r="GM714" s="5"/>
      <c r="GN714" s="5"/>
      <c r="GO714" s="5"/>
      <c r="GP714" s="5"/>
      <c r="GQ714" s="5"/>
      <c r="GR714" s="5"/>
      <c r="GS714" s="5"/>
      <c r="GT714" s="5"/>
      <c r="GU714" s="5"/>
      <c r="GV714" s="5"/>
      <c r="GW714" s="5"/>
      <c r="GX714" s="5"/>
      <c r="GY714" s="5"/>
      <c r="GZ714" s="5"/>
      <c r="HA714" s="5"/>
      <c r="HB714" s="5"/>
      <c r="HC714" s="5"/>
      <c r="HD714" s="5"/>
      <c r="HE714" s="5"/>
      <c r="HF714" s="5"/>
      <c r="HG714" s="5"/>
      <c r="HH714" s="5"/>
      <c r="HI714" s="5"/>
      <c r="HJ714" s="5"/>
      <c r="HK714" s="5"/>
      <c r="HL714" s="5"/>
      <c r="HM714" s="5"/>
      <c r="HN714" s="5"/>
      <c r="HO714" s="5"/>
      <c r="HP714" s="5"/>
      <c r="HQ714" s="5"/>
      <c r="HR714" s="5"/>
      <c r="HS714" s="5"/>
      <c r="HT714" s="5"/>
      <c r="HU714" s="5"/>
      <c r="HV714" s="5"/>
      <c r="HW714" s="5"/>
      <c r="HX714" s="5"/>
      <c r="HY714" s="5"/>
      <c r="HZ714" s="5"/>
      <c r="IA714" s="5"/>
      <c r="IB714" s="5"/>
      <c r="IC714" s="5"/>
      <c r="ID714" s="5"/>
      <c r="IE714" s="5"/>
      <c r="IF714" s="5"/>
      <c r="IG714" s="5"/>
      <c r="IH714" s="5"/>
      <c r="II714" s="5"/>
      <c r="IJ714" s="5"/>
      <c r="IK714" s="5"/>
      <c r="IL714" s="5"/>
      <c r="IM714" s="5"/>
      <c r="IN714" s="5"/>
      <c r="IO714" s="5"/>
      <c r="IP714" s="5"/>
      <c r="IQ714" s="5"/>
      <c r="IR714" s="5"/>
      <c r="IS714" s="5"/>
      <c r="IT714" s="5"/>
      <c r="IU714" s="5"/>
      <c r="IV714" s="5"/>
      <c r="IW714" s="5"/>
      <c r="IX714" s="5"/>
      <c r="IY714" s="5"/>
      <c r="IZ714" s="5"/>
      <c r="JA714" s="5"/>
      <c r="JB714" s="5"/>
      <c r="JC714" s="5"/>
      <c r="JD714" s="5"/>
      <c r="JE714" s="5"/>
      <c r="JF714" s="5"/>
      <c r="JG714" s="5"/>
      <c r="JH714" s="5"/>
      <c r="JI714" s="5"/>
      <c r="JJ714" s="5"/>
      <c r="JK714" s="5"/>
      <c r="JL714" s="5"/>
      <c r="JM714" s="5"/>
      <c r="JN714" s="5"/>
      <c r="JO714" s="5"/>
      <c r="JP714" s="5"/>
      <c r="JQ714" s="5"/>
      <c r="JR714" s="5"/>
      <c r="JS714" s="5"/>
      <c r="JT714" s="5"/>
      <c r="JU714" s="5"/>
      <c r="JV714" s="5"/>
      <c r="JW714" s="5"/>
      <c r="JX714" s="5"/>
      <c r="JY714" s="5"/>
      <c r="JZ714" s="5"/>
      <c r="KA714" s="5"/>
      <c r="KB714" s="5"/>
      <c r="KC714" s="5"/>
      <c r="KD714" s="5"/>
      <c r="KE714" s="5"/>
      <c r="KF714" s="5"/>
      <c r="KG714" s="5"/>
      <c r="KH714" s="5"/>
      <c r="KI714" s="5"/>
      <c r="KJ714" s="5"/>
      <c r="KK714" s="5"/>
      <c r="KL714" s="5"/>
      <c r="KM714" s="5"/>
      <c r="KN714" s="5"/>
      <c r="KO714" s="5"/>
      <c r="KP714" s="5"/>
      <c r="KQ714" s="5"/>
      <c r="KR714" s="5"/>
      <c r="KS714" s="5"/>
      <c r="KT714" s="5"/>
      <c r="KU714" s="5"/>
      <c r="KV714" s="5"/>
      <c r="KW714" s="5"/>
      <c r="KX714" s="5"/>
      <c r="KY714" s="5"/>
      <c r="KZ714" s="5"/>
      <c r="LA714" s="5"/>
      <c r="LB714" s="5"/>
      <c r="LC714" s="5"/>
      <c r="LD714" s="5"/>
      <c r="LE714" s="5"/>
      <c r="LF714" s="5"/>
      <c r="LG714" s="5"/>
      <c r="LH714" s="5"/>
      <c r="LI714" s="5"/>
      <c r="LJ714" s="5"/>
      <c r="LK714" s="5"/>
      <c r="LL714" s="5"/>
      <c r="LM714" s="5"/>
      <c r="LN714" s="5"/>
      <c r="LO714" s="5"/>
      <c r="LP714" s="5"/>
      <c r="LQ714" s="5"/>
      <c r="LR714" s="5"/>
      <c r="LS714" s="5"/>
      <c r="LT714" s="5"/>
      <c r="LU714" s="5"/>
      <c r="LV714" s="5"/>
      <c r="LW714" s="5"/>
      <c r="LX714" s="5"/>
      <c r="LY714" s="5"/>
      <c r="LZ714" s="5"/>
      <c r="MA714" s="5"/>
      <c r="MB714" s="5"/>
      <c r="MC714" s="5"/>
      <c r="MD714" s="5"/>
      <c r="ME714" s="5"/>
      <c r="MF714" s="5"/>
      <c r="MG714" s="5"/>
      <c r="MH714" s="5"/>
      <c r="MI714" s="5"/>
      <c r="MJ714" s="5"/>
      <c r="MK714" s="5"/>
      <c r="ML714" s="5"/>
      <c r="MM714" s="5"/>
      <c r="MN714" s="5"/>
      <c r="MO714" s="5"/>
      <c r="MP714" s="5"/>
      <c r="MQ714" s="5"/>
      <c r="MR714" s="5"/>
      <c r="MS714" s="5"/>
      <c r="MT714" s="5"/>
      <c r="MU714" s="5"/>
      <c r="MV714" s="5"/>
      <c r="MW714" s="5"/>
      <c r="MX714" s="5"/>
      <c r="MY714" s="5"/>
      <c r="MZ714" s="5"/>
      <c r="NA714" s="5"/>
      <c r="NB714" s="5"/>
      <c r="NC714" s="5"/>
      <c r="ND714" s="5"/>
      <c r="NE714" s="5"/>
      <c r="NF714" s="5"/>
      <c r="NG714" s="5"/>
      <c r="NH714" s="5"/>
      <c r="NI714" s="5"/>
      <c r="NJ714" s="5"/>
      <c r="NK714" s="5"/>
      <c r="NL714" s="5"/>
      <c r="NM714" s="5"/>
      <c r="NN714" s="5"/>
      <c r="NO714" s="5"/>
      <c r="NP714" s="5"/>
      <c r="NQ714" s="5"/>
      <c r="NR714" s="5"/>
      <c r="NS714" s="5"/>
      <c r="NT714" s="5"/>
      <c r="NU714" s="5"/>
      <c r="NV714" s="5"/>
      <c r="NW714" s="5"/>
      <c r="NX714" s="5"/>
      <c r="NY714" s="5"/>
      <c r="NZ714" s="5"/>
      <c r="OA714" s="5"/>
      <c r="OB714" s="5"/>
      <c r="OC714" s="5"/>
      <c r="OD714" s="5"/>
      <c r="OE714" s="5"/>
      <c r="OF714" s="5"/>
      <c r="OG714" s="5"/>
      <c r="OH714" s="5"/>
      <c r="OI714" s="5"/>
      <c r="OJ714" s="5"/>
      <c r="OK714" s="5"/>
      <c r="OL714" s="5"/>
      <c r="OM714" s="5"/>
      <c r="ON714" s="5"/>
      <c r="OO714" s="5"/>
      <c r="OP714" s="5"/>
      <c r="OQ714" s="5"/>
      <c r="OR714" s="5"/>
      <c r="OS714" s="5"/>
      <c r="OT714" s="5"/>
      <c r="OU714" s="5"/>
      <c r="OV714" s="5"/>
      <c r="OW714" s="5"/>
      <c r="OX714" s="5"/>
      <c r="OY714" s="5"/>
      <c r="OZ714" s="5"/>
      <c r="PA714" s="5"/>
      <c r="PB714" s="5"/>
      <c r="PC714" s="5"/>
      <c r="PD714" s="5"/>
      <c r="PE714" s="5"/>
      <c r="PF714" s="5"/>
      <c r="PG714" s="5"/>
      <c r="PH714" s="5"/>
      <c r="PI714" s="5"/>
      <c r="PJ714" s="5"/>
      <c r="PK714" s="5"/>
      <c r="PL714" s="5"/>
      <c r="PM714" s="5"/>
      <c r="PN714" s="5"/>
      <c r="PO714" s="5"/>
      <c r="PP714" s="5"/>
      <c r="PQ714" s="5"/>
      <c r="PR714" s="5"/>
      <c r="PS714" s="5"/>
      <c r="PT714" s="5"/>
      <c r="PU714" s="5"/>
      <c r="PV714" s="5"/>
      <c r="PW714" s="5"/>
      <c r="PX714" s="5"/>
      <c r="PY714" s="5"/>
      <c r="PZ714" s="5"/>
      <c r="QA714" s="5"/>
      <c r="QB714" s="5"/>
      <c r="QC714" s="5"/>
      <c r="QD714" s="5"/>
      <c r="QE714" s="5"/>
      <c r="QF714" s="5"/>
      <c r="QG714" s="5"/>
      <c r="QH714" s="5"/>
      <c r="QI714" s="5"/>
      <c r="QJ714" s="5"/>
      <c r="QK714" s="5"/>
      <c r="QL714" s="5"/>
      <c r="QM714" s="5"/>
      <c r="QN714" s="5"/>
      <c r="QO714" s="5"/>
      <c r="QP714" s="5"/>
      <c r="QQ714" s="5"/>
      <c r="QR714" s="5"/>
      <c r="QS714" s="5"/>
      <c r="QT714" s="5"/>
      <c r="QU714" s="5"/>
      <c r="QV714" s="5"/>
      <c r="QW714" s="5"/>
      <c r="QX714" s="5"/>
      <c r="QY714" s="5"/>
      <c r="QZ714" s="5"/>
      <c r="RA714" s="5"/>
      <c r="RB714" s="5"/>
      <c r="RC714" s="5"/>
      <c r="RD714" s="5"/>
      <c r="RE714" s="5"/>
      <c r="RF714" s="5"/>
      <c r="RG714" s="5"/>
      <c r="RH714" s="5"/>
      <c r="RI714" s="5"/>
      <c r="RJ714" s="5"/>
      <c r="RK714" s="5"/>
      <c r="RL714" s="5"/>
      <c r="RM714" s="5"/>
      <c r="RN714" s="5"/>
      <c r="RO714" s="5"/>
      <c r="RP714" s="5"/>
      <c r="RQ714" s="5"/>
      <c r="RR714" s="5"/>
      <c r="RS714" s="5"/>
      <c r="RT714" s="5"/>
      <c r="RU714" s="5"/>
      <c r="RV714" s="5"/>
      <c r="RW714" s="5"/>
      <c r="RX714" s="5"/>
      <c r="RY714" s="5"/>
      <c r="RZ714" s="5"/>
      <c r="SA714" s="5"/>
      <c r="SB714" s="5"/>
      <c r="SC714" s="5"/>
      <c r="SD714" s="5"/>
      <c r="SE714" s="5"/>
      <c r="SF714" s="5"/>
      <c r="SG714" s="5"/>
      <c r="SH714" s="5"/>
      <c r="SI714" s="5"/>
      <c r="SJ714" s="5"/>
      <c r="SK714" s="5"/>
      <c r="SL714" s="5"/>
      <c r="SM714" s="5"/>
      <c r="SN714" s="5"/>
      <c r="SO714" s="5"/>
      <c r="SP714" s="5"/>
      <c r="SQ714" s="5"/>
      <c r="SR714" s="5"/>
      <c r="SS714" s="5"/>
      <c r="ST714" s="5"/>
      <c r="SU714" s="5"/>
      <c r="SV714" s="5"/>
      <c r="SW714" s="5"/>
      <c r="SX714" s="5"/>
      <c r="SY714" s="5"/>
      <c r="SZ714" s="5"/>
      <c r="TA714" s="5"/>
      <c r="TB714" s="5"/>
      <c r="TC714" s="5"/>
      <c r="TD714" s="5"/>
      <c r="TE714" s="5"/>
      <c r="TF714" s="5"/>
      <c r="TG714" s="5"/>
      <c r="TH714" s="5"/>
      <c r="TI714" s="5"/>
      <c r="TJ714" s="5"/>
      <c r="TK714" s="5"/>
      <c r="TL714" s="5"/>
      <c r="TM714" s="5"/>
      <c r="TN714" s="5"/>
      <c r="TO714" s="5"/>
      <c r="TP714" s="5"/>
      <c r="TQ714" s="5"/>
      <c r="TR714" s="5"/>
      <c r="TS714" s="5"/>
      <c r="TT714" s="5"/>
      <c r="TU714" s="5"/>
      <c r="TV714" s="5"/>
      <c r="TW714" s="5"/>
      <c r="TX714" s="5"/>
      <c r="TY714" s="5"/>
      <c r="TZ714" s="5"/>
      <c r="UA714" s="5"/>
      <c r="UB714" s="5"/>
      <c r="UC714" s="5"/>
      <c r="UD714" s="5"/>
      <c r="UE714" s="5"/>
      <c r="UF714" s="5"/>
      <c r="UG714" s="5"/>
      <c r="UH714" s="5"/>
      <c r="UI714" s="5"/>
      <c r="UJ714" s="5"/>
      <c r="UK714" s="5"/>
      <c r="UL714" s="5"/>
      <c r="UM714" s="5"/>
      <c r="UN714" s="5"/>
      <c r="UO714" s="5"/>
      <c r="UP714" s="5"/>
      <c r="UQ714" s="5"/>
      <c r="UR714" s="5"/>
      <c r="US714" s="5"/>
      <c r="UT714" s="5"/>
      <c r="UU714" s="5"/>
      <c r="UV714" s="5"/>
      <c r="UW714" s="5"/>
      <c r="UX714" s="5"/>
      <c r="UY714" s="5"/>
      <c r="UZ714" s="5"/>
      <c r="VA714" s="5"/>
      <c r="VB714" s="5"/>
      <c r="VC714" s="5"/>
      <c r="VD714" s="5"/>
      <c r="VE714" s="5"/>
      <c r="VF714" s="5"/>
      <c r="VG714" s="5"/>
      <c r="VH714" s="5"/>
      <c r="VI714" s="5"/>
      <c r="VJ714" s="5"/>
      <c r="VK714" s="5"/>
      <c r="VL714" s="5"/>
      <c r="VM714" s="5"/>
      <c r="VN714" s="5"/>
      <c r="VO714" s="5"/>
      <c r="VP714" s="5"/>
      <c r="VQ714" s="5"/>
      <c r="VR714" s="5"/>
      <c r="VS714" s="5"/>
      <c r="VT714" s="5"/>
      <c r="VU714" s="5"/>
      <c r="VV714" s="5"/>
      <c r="VW714" s="5"/>
      <c r="VX714" s="5"/>
      <c r="VY714" s="5"/>
      <c r="VZ714" s="5"/>
      <c r="WA714" s="5"/>
      <c r="WB714" s="5"/>
      <c r="WC714" s="5"/>
      <c r="WD714" s="5"/>
      <c r="WE714" s="5"/>
      <c r="WF714" s="5"/>
      <c r="WG714" s="5"/>
      <c r="WH714" s="5"/>
      <c r="WI714" s="5"/>
      <c r="WJ714" s="5"/>
      <c r="WK714" s="5"/>
      <c r="WL714" s="5"/>
      <c r="WM714" s="5"/>
      <c r="WN714" s="5"/>
      <c r="WO714" s="5"/>
      <c r="WP714" s="5"/>
      <c r="WQ714" s="5"/>
      <c r="WR714" s="5"/>
      <c r="WS714" s="5"/>
      <c r="WT714" s="5"/>
      <c r="WU714" s="5"/>
      <c r="WV714" s="5"/>
      <c r="WW714" s="5"/>
      <c r="WX714" s="5"/>
      <c r="WY714" s="5"/>
      <c r="WZ714" s="5"/>
      <c r="XA714" s="5"/>
      <c r="XB714" s="5"/>
      <c r="XC714" s="5"/>
      <c r="XD714" s="5"/>
      <c r="XE714" s="5"/>
      <c r="XF714" s="5"/>
      <c r="XG714" s="5"/>
      <c r="XH714" s="5"/>
      <c r="XI714" s="5"/>
      <c r="XJ714" s="5"/>
      <c r="XK714" s="5"/>
      <c r="XL714" s="5"/>
      <c r="XM714" s="5"/>
      <c r="XN714" s="5"/>
      <c r="XO714" s="5"/>
      <c r="XP714" s="5"/>
      <c r="XQ714" s="5"/>
      <c r="XR714" s="5"/>
      <c r="XS714" s="5"/>
      <c r="XT714" s="5"/>
      <c r="XU714" s="5"/>
      <c r="XV714" s="5"/>
      <c r="XW714" s="5"/>
      <c r="XX714" s="5"/>
      <c r="XY714" s="5"/>
      <c r="XZ714" s="5"/>
      <c r="YA714" s="5"/>
      <c r="YB714" s="5"/>
      <c r="YC714" s="5"/>
      <c r="YD714" s="5"/>
      <c r="YE714" s="5"/>
      <c r="YF714" s="5"/>
      <c r="YG714" s="5"/>
      <c r="YH714" s="5"/>
      <c r="YI714" s="5"/>
      <c r="YJ714" s="5"/>
      <c r="YK714" s="5"/>
      <c r="YL714" s="5"/>
      <c r="YM714" s="5"/>
      <c r="YN714" s="5"/>
      <c r="YO714" s="5"/>
      <c r="YP714" s="5"/>
      <c r="YQ714" s="5"/>
      <c r="YR714" s="5"/>
      <c r="YS714" s="5"/>
      <c r="YT714" s="5"/>
      <c r="YU714" s="5"/>
      <c r="YV714" s="5"/>
      <c r="YW714" s="5"/>
      <c r="YX714" s="5"/>
      <c r="YY714" s="5"/>
      <c r="YZ714" s="5"/>
      <c r="ZA714" s="5"/>
      <c r="ZB714" s="5"/>
      <c r="ZC714" s="5"/>
      <c r="ZD714" s="5"/>
      <c r="ZE714" s="5"/>
      <c r="ZF714" s="5"/>
      <c r="ZG714" s="5"/>
      <c r="ZH714" s="5"/>
      <c r="ZI714" s="5"/>
      <c r="ZJ714" s="5"/>
      <c r="ZK714" s="5"/>
      <c r="ZL714" s="5"/>
      <c r="ZM714" s="5"/>
      <c r="ZN714" s="5"/>
      <c r="ZO714" s="5"/>
      <c r="ZP714" s="5"/>
      <c r="ZQ714" s="5"/>
      <c r="ZR714" s="5"/>
      <c r="ZS714" s="5"/>
      <c r="ZT714" s="5"/>
      <c r="ZU714" s="5"/>
      <c r="ZV714" s="5"/>
      <c r="ZW714" s="5"/>
      <c r="ZX714" s="5"/>
      <c r="ZY714" s="5"/>
      <c r="ZZ714" s="5"/>
      <c r="AAA714" s="5"/>
      <c r="AAB714" s="5"/>
      <c r="AAC714" s="5"/>
      <c r="AAD714" s="5"/>
      <c r="AAE714" s="5"/>
      <c r="AAF714" s="5"/>
      <c r="AAG714" s="5"/>
      <c r="AAH714" s="5"/>
      <c r="AAI714" s="5"/>
      <c r="AAJ714" s="5"/>
      <c r="AAK714" s="5"/>
      <c r="AAL714" s="5"/>
      <c r="AAM714" s="5"/>
      <c r="AAN714" s="5"/>
      <c r="AAO714" s="5"/>
      <c r="AAP714" s="5"/>
      <c r="AAQ714" s="5"/>
      <c r="AAR714" s="5"/>
      <c r="AAS714" s="5"/>
      <c r="AAT714" s="5"/>
      <c r="AAU714" s="5"/>
      <c r="AAV714" s="5"/>
      <c r="AAW714" s="5"/>
      <c r="AAX714" s="5"/>
      <c r="AAY714" s="5"/>
      <c r="AAZ714" s="5"/>
      <c r="ABA714" s="5"/>
      <c r="ABB714" s="5"/>
      <c r="ABC714" s="5"/>
      <c r="ABD714" s="5"/>
      <c r="ABE714" s="5"/>
      <c r="ABF714" s="5"/>
      <c r="ABG714" s="5"/>
      <c r="ABH714" s="5"/>
      <c r="ABI714" s="5"/>
      <c r="ABJ714" s="5"/>
      <c r="ABK714" s="5"/>
      <c r="ABL714" s="5"/>
      <c r="ABM714" s="5"/>
      <c r="ABN714" s="5"/>
      <c r="ABO714" s="5"/>
      <c r="ABP714" s="5"/>
      <c r="ABQ714" s="5"/>
      <c r="ABR714" s="5"/>
      <c r="ABS714" s="5"/>
      <c r="ABT714" s="5"/>
      <c r="ABU714" s="5"/>
      <c r="ABV714" s="5"/>
      <c r="ABW714" s="5"/>
      <c r="ABX714" s="5"/>
      <c r="ABY714" s="5"/>
      <c r="ABZ714" s="5"/>
      <c r="ACA714" s="5"/>
      <c r="ACB714" s="5"/>
      <c r="ACC714" s="5"/>
      <c r="ACD714" s="5"/>
      <c r="ACE714" s="5"/>
      <c r="ACF714" s="5"/>
      <c r="ACG714" s="5"/>
      <c r="ACH714" s="5"/>
      <c r="ACI714" s="5"/>
      <c r="ACJ714" s="5"/>
      <c r="ACK714" s="5"/>
      <c r="ACL714" s="5"/>
      <c r="ACM714" s="5"/>
      <c r="ACN714" s="5"/>
      <c r="ACO714" s="5"/>
      <c r="ACP714" s="5"/>
      <c r="ACQ714" s="5"/>
      <c r="ACR714" s="5"/>
      <c r="ACS714" s="5"/>
      <c r="ACT714" s="5"/>
      <c r="ACU714" s="5"/>
      <c r="ACV714" s="5"/>
      <c r="ACW714" s="5"/>
      <c r="ACX714" s="5"/>
      <c r="ACY714" s="5"/>
      <c r="ACZ714" s="5"/>
      <c r="ADA714" s="5"/>
      <c r="ADB714" s="5"/>
      <c r="ADC714" s="5"/>
      <c r="ADD714" s="5"/>
      <c r="ADE714" s="5"/>
      <c r="ADF714" s="5"/>
      <c r="ADG714" s="5"/>
      <c r="ADH714" s="5"/>
      <c r="ADI714" s="5"/>
      <c r="ADJ714" s="5"/>
      <c r="ADK714" s="5"/>
      <c r="ADL714" s="5"/>
      <c r="ADM714" s="5"/>
      <c r="ADN714" s="5"/>
      <c r="ADO714" s="5"/>
      <c r="ADP714" s="5"/>
      <c r="ADQ714" s="5"/>
      <c r="ADR714" s="5"/>
      <c r="ADS714" s="5"/>
      <c r="ADT714" s="5"/>
      <c r="ADU714" s="5"/>
      <c r="ADV714" s="5"/>
      <c r="ADW714" s="5"/>
      <c r="ADX714" s="5"/>
      <c r="ADY714" s="5"/>
      <c r="ADZ714" s="5"/>
      <c r="AEA714" s="5"/>
      <c r="AEB714" s="5"/>
      <c r="AEC714" s="5"/>
      <c r="AED714" s="5"/>
      <c r="AEE714" s="5"/>
      <c r="AEF714" s="5"/>
      <c r="AEG714" s="5"/>
      <c r="AEH714" s="5"/>
      <c r="AEI714" s="5"/>
      <c r="AEJ714" s="5"/>
      <c r="AEK714" s="5"/>
      <c r="AEL714" s="5"/>
      <c r="AEM714" s="5"/>
      <c r="AEN714" s="5"/>
      <c r="AEO714" s="5"/>
      <c r="AEP714" s="5"/>
      <c r="AEQ714" s="5"/>
      <c r="AER714" s="5"/>
      <c r="AES714" s="5"/>
      <c r="AET714" s="5"/>
      <c r="AEU714" s="5"/>
      <c r="AEV714" s="5"/>
      <c r="AEW714" s="5"/>
      <c r="AEX714" s="5"/>
      <c r="AEY714" s="5"/>
      <c r="AEZ714" s="5"/>
      <c r="AFA714" s="5"/>
      <c r="AFB714" s="5"/>
      <c r="AFC714" s="5"/>
      <c r="AFD714" s="5"/>
      <c r="AFE714" s="5"/>
      <c r="AFF714" s="5"/>
      <c r="AFG714" s="5"/>
      <c r="AFH714" s="5"/>
      <c r="AFI714" s="5"/>
      <c r="AFJ714" s="5"/>
      <c r="AFK714" s="5"/>
      <c r="AFL714" s="5"/>
      <c r="AFM714" s="5"/>
      <c r="AFN714" s="5"/>
      <c r="AFO714" s="5"/>
      <c r="AFP714" s="5"/>
      <c r="AFQ714" s="5"/>
      <c r="AFR714" s="5"/>
      <c r="AFS714" s="5"/>
      <c r="AFT714" s="5"/>
      <c r="AFU714" s="5"/>
      <c r="AFV714" s="5"/>
      <c r="AFW714" s="5"/>
      <c r="AFX714" s="5"/>
      <c r="AFY714" s="5"/>
      <c r="AFZ714" s="5"/>
      <c r="AGA714" s="5"/>
      <c r="AGB714" s="5"/>
      <c r="AGC714" s="5"/>
      <c r="AGD714" s="5"/>
      <c r="AGE714" s="5"/>
      <c r="AGF714" s="5"/>
      <c r="AGG714" s="5"/>
      <c r="AGH714" s="5"/>
      <c r="AGI714" s="5"/>
      <c r="AGJ714" s="5"/>
      <c r="AGK714" s="5"/>
      <c r="AGL714" s="5"/>
      <c r="AGM714" s="5"/>
      <c r="AGN714" s="5"/>
      <c r="AGO714" s="5"/>
      <c r="AGP714" s="5"/>
      <c r="AGQ714" s="5"/>
      <c r="AGR714" s="5"/>
      <c r="AGS714" s="5"/>
      <c r="AGT714" s="5"/>
      <c r="AGU714" s="5"/>
      <c r="AGV714" s="5"/>
      <c r="AGW714" s="5"/>
      <c r="AGX714" s="5"/>
      <c r="AGY714" s="5"/>
      <c r="AGZ714" s="5"/>
      <c r="AHA714" s="5"/>
      <c r="AHB714" s="5"/>
      <c r="AHC714" s="5"/>
      <c r="AHD714" s="5"/>
      <c r="AHE714" s="5"/>
      <c r="AHF714" s="5"/>
      <c r="AHG714" s="5"/>
      <c r="AHH714" s="5"/>
      <c r="AHI714" s="5"/>
      <c r="AHJ714" s="5"/>
      <c r="AHK714" s="5"/>
      <c r="AHL714" s="5"/>
      <c r="AHM714" s="5"/>
      <c r="AHN714" s="5"/>
      <c r="AHO714" s="5"/>
      <c r="AHP714" s="5"/>
      <c r="AHQ714" s="5"/>
      <c r="AHR714" s="5"/>
      <c r="AHS714" s="5"/>
      <c r="AHT714" s="5"/>
      <c r="AHU714" s="5"/>
      <c r="AHV714" s="5"/>
      <c r="AHW714" s="5"/>
      <c r="AHX714" s="5"/>
      <c r="AHY714" s="5"/>
      <c r="AHZ714" s="5"/>
      <c r="AIA714" s="5"/>
      <c r="AIB714" s="5"/>
      <c r="AIC714" s="5"/>
      <c r="AID714" s="5"/>
      <c r="AIE714" s="5"/>
      <c r="AIF714" s="5"/>
      <c r="AIG714" s="5"/>
      <c r="AIH714" s="5"/>
      <c r="AII714" s="5"/>
      <c r="AIJ714" s="5"/>
      <c r="AIK714" s="5"/>
      <c r="AIL714" s="5"/>
      <c r="AIM714" s="5"/>
      <c r="AIN714" s="5"/>
      <c r="AIO714" s="5"/>
      <c r="AIP714" s="5"/>
      <c r="AIQ714" s="5"/>
      <c r="AIR714" s="5"/>
      <c r="AIS714" s="5"/>
      <c r="AIT714" s="5"/>
      <c r="AIU714" s="5"/>
      <c r="AIV714" s="5"/>
      <c r="AIW714" s="5"/>
      <c r="AIX714" s="5"/>
      <c r="AIY714" s="5"/>
      <c r="AIZ714" s="5"/>
      <c r="AJA714" s="5"/>
      <c r="AJB714" s="5"/>
      <c r="AJC714" s="5"/>
      <c r="AJD714" s="5"/>
      <c r="AJE714" s="5"/>
      <c r="AJF714" s="5"/>
      <c r="AJG714" s="5"/>
      <c r="AJH714" s="5"/>
      <c r="AJI714" s="5"/>
      <c r="AJJ714" s="5"/>
      <c r="AJK714" s="5"/>
      <c r="AJL714" s="5"/>
      <c r="AJM714" s="5"/>
      <c r="AJN714" s="5"/>
      <c r="AJO714" s="5"/>
      <c r="AJP714" s="5"/>
      <c r="AJQ714" s="5"/>
      <c r="AJR714" s="5"/>
      <c r="AJS714" s="5"/>
      <c r="AJT714" s="5"/>
      <c r="AJU714" s="5"/>
      <c r="AJV714" s="5"/>
      <c r="AJW714" s="5"/>
      <c r="AJX714" s="5"/>
      <c r="AJY714" s="5"/>
      <c r="AJZ714" s="5"/>
      <c r="AKA714" s="5"/>
      <c r="AKB714" s="5"/>
      <c r="AKC714" s="5"/>
      <c r="AKD714" s="5"/>
      <c r="AKE714" s="5"/>
      <c r="AKF714" s="5"/>
      <c r="AKG714" s="5"/>
      <c r="AKH714" s="5"/>
      <c r="AKI714" s="5"/>
      <c r="AKJ714" s="5"/>
      <c r="AKK714" s="5"/>
      <c r="AKL714" s="5"/>
      <c r="AKM714" s="5"/>
      <c r="AKN714" s="5"/>
      <c r="AKO714" s="5"/>
      <c r="AKP714" s="5"/>
      <c r="AKQ714" s="5"/>
      <c r="AKR714" s="5"/>
      <c r="AKS714" s="5"/>
      <c r="AKT714" s="5"/>
      <c r="AKU714" s="5"/>
      <c r="AKV714" s="5"/>
      <c r="AKW714" s="5"/>
      <c r="AKX714" s="5"/>
      <c r="AKY714" s="5"/>
      <c r="AKZ714" s="5"/>
      <c r="ALA714" s="5"/>
      <c r="ALB714" s="5"/>
      <c r="ALC714" s="5"/>
      <c r="ALD714" s="5"/>
      <c r="ALE714" s="5"/>
      <c r="ALF714" s="5"/>
      <c r="ALG714" s="5"/>
      <c r="ALH714" s="5"/>
      <c r="ALI714" s="5"/>
      <c r="ALJ714" s="5"/>
      <c r="ALK714" s="5"/>
      <c r="ALL714" s="5"/>
      <c r="ALM714" s="5"/>
      <c r="ALN714" s="5"/>
      <c r="ALO714" s="5"/>
      <c r="ALP714" s="5"/>
      <c r="ALQ714" s="5"/>
      <c r="ALR714" s="5"/>
      <c r="ALS714" s="5"/>
      <c r="ALT714" s="5"/>
      <c r="ALU714" s="5"/>
      <c r="ALV714" s="5"/>
      <c r="ALW714" s="5"/>
      <c r="ALX714" s="5"/>
      <c r="ALY714" s="5"/>
      <c r="ALZ714" s="5"/>
      <c r="AMA714" s="5"/>
      <c r="AMB714" s="5"/>
      <c r="AMC714" s="5"/>
      <c r="AMD714" s="5"/>
      <c r="AME714" s="5"/>
      <c r="AMF714" s="5"/>
      <c r="AMG714" s="5"/>
      <c r="AMH714" s="5"/>
      <c r="AMI714" s="5"/>
      <c r="AMJ714" s="5"/>
      <c r="AMK714" s="5"/>
      <c r="AML714" s="5"/>
      <c r="AMM714" s="5"/>
      <c r="AMN714" s="5"/>
      <c r="AMO714" s="5"/>
      <c r="AMP714" s="5"/>
      <c r="AMQ714" s="5"/>
      <c r="AMR714" s="5"/>
      <c r="AMS714" s="5"/>
      <c r="AMT714" s="5"/>
      <c r="AMU714" s="5"/>
      <c r="AMV714" s="5"/>
      <c r="AMW714" s="5"/>
      <c r="AMX714" s="5"/>
      <c r="AMY714" s="5"/>
      <c r="AMZ714" s="5"/>
      <c r="ANA714" s="5"/>
      <c r="ANB714" s="5"/>
      <c r="ANC714" s="5"/>
      <c r="AND714" s="5"/>
      <c r="ANE714" s="5"/>
      <c r="ANF714" s="5"/>
      <c r="ANG714" s="5"/>
      <c r="ANH714" s="5"/>
      <c r="ANI714" s="5"/>
      <c r="ANJ714" s="5"/>
      <c r="ANK714" s="5"/>
      <c r="ANL714" s="5"/>
      <c r="ANM714" s="5"/>
      <c r="ANN714" s="5"/>
      <c r="ANO714" s="5"/>
      <c r="ANP714" s="5"/>
      <c r="ANQ714" s="5"/>
      <c r="ANR714" s="5"/>
      <c r="ANS714" s="5"/>
      <c r="ANT714" s="5"/>
      <c r="ANU714" s="5"/>
      <c r="ANV714" s="5"/>
      <c r="ANW714" s="5"/>
      <c r="ANX714" s="5"/>
      <c r="ANY714" s="5"/>
      <c r="ANZ714" s="5"/>
      <c r="AOA714" s="5"/>
      <c r="AOB714" s="5"/>
      <c r="AOC714" s="5"/>
      <c r="AOD714" s="5"/>
      <c r="AOE714" s="5"/>
      <c r="AOF714" s="5"/>
      <c r="AOG714" s="5"/>
      <c r="AOH714" s="5"/>
      <c r="AOI714" s="5"/>
      <c r="AOJ714" s="5"/>
      <c r="AOK714" s="5"/>
      <c r="AOL714" s="5"/>
      <c r="AOM714" s="5"/>
      <c r="AON714" s="5"/>
      <c r="AOO714" s="5"/>
      <c r="AOP714" s="5"/>
      <c r="AOQ714" s="5"/>
      <c r="AOR714" s="5"/>
      <c r="AOS714" s="5"/>
      <c r="AOT714" s="5"/>
      <c r="AOU714" s="5"/>
      <c r="AOV714" s="5"/>
      <c r="AOW714" s="5"/>
      <c r="AOX714" s="5"/>
      <c r="AOY714" s="5"/>
      <c r="AOZ714" s="5"/>
      <c r="APA714" s="5"/>
      <c r="APB714" s="5"/>
      <c r="APC714" s="5"/>
      <c r="APD714" s="5"/>
      <c r="APE714" s="5"/>
      <c r="APF714" s="5"/>
      <c r="APG714" s="5"/>
      <c r="APH714" s="5"/>
      <c r="API714" s="5"/>
      <c r="APJ714" s="5"/>
      <c r="APK714" s="5"/>
      <c r="APL714" s="5"/>
      <c r="APM714" s="5"/>
      <c r="APN714" s="5"/>
      <c r="APO714" s="5"/>
      <c r="APP714" s="5"/>
      <c r="APQ714" s="5"/>
      <c r="APR714" s="5"/>
      <c r="APS714" s="5"/>
      <c r="APT714" s="5"/>
      <c r="APU714" s="5"/>
      <c r="APV714" s="5"/>
      <c r="APW714" s="5"/>
      <c r="APX714" s="5"/>
      <c r="APY714" s="5"/>
      <c r="APZ714" s="5"/>
      <c r="AQA714" s="5"/>
      <c r="AQB714" s="5"/>
      <c r="AQC714" s="5"/>
      <c r="AQD714" s="5"/>
      <c r="AQE714" s="5"/>
      <c r="AQF714" s="5"/>
      <c r="AQG714" s="5"/>
      <c r="AQH714" s="5"/>
      <c r="AQI714" s="5"/>
      <c r="AQJ714" s="5"/>
      <c r="AQK714" s="5"/>
      <c r="AQL714" s="5"/>
      <c r="AQM714" s="5"/>
      <c r="AQN714" s="5"/>
      <c r="AQO714" s="5"/>
      <c r="AQP714" s="5"/>
      <c r="AQQ714" s="5"/>
      <c r="AQR714" s="5"/>
      <c r="AQS714" s="5"/>
      <c r="AQT714" s="5"/>
      <c r="AQU714" s="5"/>
      <c r="AQV714" s="5"/>
      <c r="AQW714" s="5"/>
      <c r="AQX714" s="5"/>
      <c r="AQY714" s="5"/>
      <c r="AQZ714" s="5"/>
      <c r="ARA714" s="5"/>
      <c r="ARB714" s="5"/>
      <c r="ARC714" s="5"/>
      <c r="ARD714" s="5"/>
      <c r="ARE714" s="5"/>
      <c r="ARF714" s="5"/>
      <c r="ARG714" s="5"/>
      <c r="ARH714" s="5"/>
      <c r="ARI714" s="5"/>
      <c r="ARJ714" s="5"/>
      <c r="ARK714" s="5"/>
      <c r="ARL714" s="5"/>
      <c r="ARM714" s="5"/>
      <c r="ARN714" s="5"/>
      <c r="ARO714" s="5"/>
      <c r="ARP714" s="5"/>
      <c r="ARQ714" s="5"/>
      <c r="ARR714" s="5"/>
      <c r="ARS714" s="5"/>
      <c r="ART714" s="5"/>
      <c r="ARU714" s="5"/>
      <c r="ARV714" s="5"/>
      <c r="ARW714" s="5"/>
      <c r="ARX714" s="5"/>
      <c r="ARY714" s="5"/>
      <c r="ARZ714" s="5"/>
      <c r="ASA714" s="5"/>
      <c r="ASB714" s="5"/>
      <c r="ASC714" s="5"/>
      <c r="ASD714" s="5"/>
      <c r="ASE714" s="5"/>
      <c r="ASF714" s="5"/>
      <c r="ASG714" s="5"/>
      <c r="ASH714" s="5"/>
      <c r="ASI714" s="5"/>
      <c r="ASJ714" s="5"/>
      <c r="ASK714" s="5"/>
      <c r="ASL714" s="5"/>
      <c r="ASM714" s="5"/>
      <c r="ASN714" s="5"/>
      <c r="ASO714" s="5"/>
      <c r="ASP714" s="5"/>
      <c r="ASQ714" s="5"/>
      <c r="ASR714" s="5"/>
      <c r="ASS714" s="5"/>
      <c r="AST714" s="5"/>
      <c r="ASU714" s="5"/>
      <c r="ASV714" s="5"/>
      <c r="ASW714" s="5"/>
      <c r="ASX714" s="5"/>
      <c r="ASY714" s="5"/>
      <c r="ASZ714" s="5"/>
      <c r="ATA714" s="5"/>
      <c r="ATB714" s="5"/>
      <c r="ATC714" s="5"/>
      <c r="ATD714" s="5"/>
      <c r="ATE714" s="5"/>
      <c r="ATF714" s="5"/>
      <c r="ATG714" s="5"/>
      <c r="ATH714" s="5"/>
      <c r="ATI714" s="5"/>
      <c r="ATJ714" s="5"/>
      <c r="ATK714" s="5"/>
      <c r="ATL714" s="5"/>
      <c r="ATM714" s="5"/>
      <c r="ATN714" s="5"/>
      <c r="ATO714" s="5"/>
      <c r="ATP714" s="5"/>
      <c r="ATQ714" s="5"/>
      <c r="ATR714" s="5"/>
      <c r="ATS714" s="5"/>
      <c r="ATT714" s="5"/>
      <c r="ATU714" s="5"/>
      <c r="ATV714" s="5"/>
      <c r="ATW714" s="5"/>
      <c r="ATX714" s="5"/>
    </row>
    <row r="715" spans="1:1220" s="67" customFormat="1" ht="12.75" customHeight="1" x14ac:dyDescent="0.35">
      <c r="A715" s="76" t="s">
        <v>229</v>
      </c>
      <c r="B715" s="99" t="s">
        <v>248</v>
      </c>
      <c r="C715" s="76" t="s">
        <v>2615</v>
      </c>
      <c r="D715" s="142" t="s">
        <v>2615</v>
      </c>
      <c r="E715" s="76"/>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c r="FK715" s="5"/>
      <c r="FL715" s="5"/>
      <c r="FM715" s="5"/>
      <c r="FN715" s="5"/>
      <c r="FO715" s="5"/>
      <c r="FP715" s="5"/>
      <c r="FQ715" s="5"/>
      <c r="FR715" s="5"/>
      <c r="FS715" s="5"/>
      <c r="FT715" s="5"/>
      <c r="FU715" s="5"/>
      <c r="FV715" s="5"/>
      <c r="FW715" s="5"/>
      <c r="FX715" s="5"/>
      <c r="FY715" s="5"/>
      <c r="FZ715" s="5"/>
      <c r="GA715" s="5"/>
      <c r="GB715" s="5"/>
      <c r="GC715" s="5"/>
      <c r="GD715" s="5"/>
      <c r="GE715" s="5"/>
      <c r="GF715" s="5"/>
      <c r="GG715" s="5"/>
      <c r="GH715" s="5"/>
      <c r="GI715" s="5"/>
      <c r="GJ715" s="5"/>
      <c r="GK715" s="5"/>
      <c r="GL715" s="5"/>
      <c r="GM715" s="5"/>
      <c r="GN715" s="5"/>
      <c r="GO715" s="5"/>
      <c r="GP715" s="5"/>
      <c r="GQ715" s="5"/>
      <c r="GR715" s="5"/>
      <c r="GS715" s="5"/>
      <c r="GT715" s="5"/>
      <c r="GU715" s="5"/>
      <c r="GV715" s="5"/>
      <c r="GW715" s="5"/>
      <c r="GX715" s="5"/>
      <c r="GY715" s="5"/>
      <c r="GZ715" s="5"/>
      <c r="HA715" s="5"/>
      <c r="HB715" s="5"/>
      <c r="HC715" s="5"/>
      <c r="HD715" s="5"/>
      <c r="HE715" s="5"/>
      <c r="HF715" s="5"/>
      <c r="HG715" s="5"/>
      <c r="HH715" s="5"/>
      <c r="HI715" s="5"/>
      <c r="HJ715" s="5"/>
      <c r="HK715" s="5"/>
      <c r="HL715" s="5"/>
      <c r="HM715" s="5"/>
      <c r="HN715" s="5"/>
      <c r="HO715" s="5"/>
      <c r="HP715" s="5"/>
      <c r="HQ715" s="5"/>
      <c r="HR715" s="5"/>
      <c r="HS715" s="5"/>
      <c r="HT715" s="5"/>
      <c r="HU715" s="5"/>
      <c r="HV715" s="5"/>
      <c r="HW715" s="5"/>
      <c r="HX715" s="5"/>
      <c r="HY715" s="5"/>
      <c r="HZ715" s="5"/>
      <c r="IA715" s="5"/>
      <c r="IB715" s="5"/>
      <c r="IC715" s="5"/>
      <c r="ID715" s="5"/>
      <c r="IE715" s="5"/>
      <c r="IF715" s="5"/>
      <c r="IG715" s="5"/>
      <c r="IH715" s="5"/>
      <c r="II715" s="5"/>
      <c r="IJ715" s="5"/>
      <c r="IK715" s="5"/>
      <c r="IL715" s="5"/>
      <c r="IM715" s="5"/>
      <c r="IN715" s="5"/>
      <c r="IO715" s="5"/>
      <c r="IP715" s="5"/>
      <c r="IQ715" s="5"/>
      <c r="IR715" s="5"/>
      <c r="IS715" s="5"/>
      <c r="IT715" s="5"/>
      <c r="IU715" s="5"/>
      <c r="IV715" s="5"/>
      <c r="IW715" s="5"/>
      <c r="IX715" s="5"/>
      <c r="IY715" s="5"/>
      <c r="IZ715" s="5"/>
      <c r="JA715" s="5"/>
      <c r="JB715" s="5"/>
      <c r="JC715" s="5"/>
      <c r="JD715" s="5"/>
      <c r="JE715" s="5"/>
      <c r="JF715" s="5"/>
      <c r="JG715" s="5"/>
      <c r="JH715" s="5"/>
      <c r="JI715" s="5"/>
      <c r="JJ715" s="5"/>
      <c r="JK715" s="5"/>
      <c r="JL715" s="5"/>
      <c r="JM715" s="5"/>
      <c r="JN715" s="5"/>
      <c r="JO715" s="5"/>
      <c r="JP715" s="5"/>
      <c r="JQ715" s="5"/>
      <c r="JR715" s="5"/>
      <c r="JS715" s="5"/>
      <c r="JT715" s="5"/>
      <c r="JU715" s="5"/>
      <c r="JV715" s="5"/>
      <c r="JW715" s="5"/>
      <c r="JX715" s="5"/>
      <c r="JY715" s="5"/>
      <c r="JZ715" s="5"/>
      <c r="KA715" s="5"/>
      <c r="KB715" s="5"/>
      <c r="KC715" s="5"/>
      <c r="KD715" s="5"/>
      <c r="KE715" s="5"/>
      <c r="KF715" s="5"/>
      <c r="KG715" s="5"/>
      <c r="KH715" s="5"/>
      <c r="KI715" s="5"/>
      <c r="KJ715" s="5"/>
      <c r="KK715" s="5"/>
      <c r="KL715" s="5"/>
      <c r="KM715" s="5"/>
      <c r="KN715" s="5"/>
      <c r="KO715" s="5"/>
      <c r="KP715" s="5"/>
      <c r="KQ715" s="5"/>
      <c r="KR715" s="5"/>
      <c r="KS715" s="5"/>
      <c r="KT715" s="5"/>
      <c r="KU715" s="5"/>
      <c r="KV715" s="5"/>
      <c r="KW715" s="5"/>
      <c r="KX715" s="5"/>
      <c r="KY715" s="5"/>
      <c r="KZ715" s="5"/>
      <c r="LA715" s="5"/>
      <c r="LB715" s="5"/>
      <c r="LC715" s="5"/>
      <c r="LD715" s="5"/>
      <c r="LE715" s="5"/>
      <c r="LF715" s="5"/>
      <c r="LG715" s="5"/>
      <c r="LH715" s="5"/>
      <c r="LI715" s="5"/>
      <c r="LJ715" s="5"/>
      <c r="LK715" s="5"/>
      <c r="LL715" s="5"/>
      <c r="LM715" s="5"/>
      <c r="LN715" s="5"/>
      <c r="LO715" s="5"/>
      <c r="LP715" s="5"/>
      <c r="LQ715" s="5"/>
      <c r="LR715" s="5"/>
      <c r="LS715" s="5"/>
      <c r="LT715" s="5"/>
      <c r="LU715" s="5"/>
      <c r="LV715" s="5"/>
      <c r="LW715" s="5"/>
      <c r="LX715" s="5"/>
      <c r="LY715" s="5"/>
      <c r="LZ715" s="5"/>
      <c r="MA715" s="5"/>
      <c r="MB715" s="5"/>
      <c r="MC715" s="5"/>
      <c r="MD715" s="5"/>
      <c r="ME715" s="5"/>
      <c r="MF715" s="5"/>
      <c r="MG715" s="5"/>
      <c r="MH715" s="5"/>
      <c r="MI715" s="5"/>
      <c r="MJ715" s="5"/>
      <c r="MK715" s="5"/>
      <c r="ML715" s="5"/>
      <c r="MM715" s="5"/>
      <c r="MN715" s="5"/>
      <c r="MO715" s="5"/>
      <c r="MP715" s="5"/>
      <c r="MQ715" s="5"/>
      <c r="MR715" s="5"/>
      <c r="MS715" s="5"/>
      <c r="MT715" s="5"/>
      <c r="MU715" s="5"/>
      <c r="MV715" s="5"/>
      <c r="MW715" s="5"/>
      <c r="MX715" s="5"/>
      <c r="MY715" s="5"/>
      <c r="MZ715" s="5"/>
      <c r="NA715" s="5"/>
      <c r="NB715" s="5"/>
      <c r="NC715" s="5"/>
      <c r="ND715" s="5"/>
      <c r="NE715" s="5"/>
      <c r="NF715" s="5"/>
      <c r="NG715" s="5"/>
      <c r="NH715" s="5"/>
      <c r="NI715" s="5"/>
      <c r="NJ715" s="5"/>
      <c r="NK715" s="5"/>
      <c r="NL715" s="5"/>
      <c r="NM715" s="5"/>
      <c r="NN715" s="5"/>
      <c r="NO715" s="5"/>
      <c r="NP715" s="5"/>
      <c r="NQ715" s="5"/>
      <c r="NR715" s="5"/>
      <c r="NS715" s="5"/>
      <c r="NT715" s="5"/>
      <c r="NU715" s="5"/>
      <c r="NV715" s="5"/>
      <c r="NW715" s="5"/>
      <c r="NX715" s="5"/>
      <c r="NY715" s="5"/>
      <c r="NZ715" s="5"/>
      <c r="OA715" s="5"/>
      <c r="OB715" s="5"/>
      <c r="OC715" s="5"/>
      <c r="OD715" s="5"/>
      <c r="OE715" s="5"/>
      <c r="OF715" s="5"/>
      <c r="OG715" s="5"/>
      <c r="OH715" s="5"/>
      <c r="OI715" s="5"/>
      <c r="OJ715" s="5"/>
      <c r="OK715" s="5"/>
      <c r="OL715" s="5"/>
      <c r="OM715" s="5"/>
      <c r="ON715" s="5"/>
      <c r="OO715" s="5"/>
      <c r="OP715" s="5"/>
      <c r="OQ715" s="5"/>
      <c r="OR715" s="5"/>
      <c r="OS715" s="5"/>
      <c r="OT715" s="5"/>
      <c r="OU715" s="5"/>
      <c r="OV715" s="5"/>
      <c r="OW715" s="5"/>
      <c r="OX715" s="5"/>
      <c r="OY715" s="5"/>
      <c r="OZ715" s="5"/>
      <c r="PA715" s="5"/>
      <c r="PB715" s="5"/>
      <c r="PC715" s="5"/>
      <c r="PD715" s="5"/>
      <c r="PE715" s="5"/>
      <c r="PF715" s="5"/>
      <c r="PG715" s="5"/>
      <c r="PH715" s="5"/>
      <c r="PI715" s="5"/>
      <c r="PJ715" s="5"/>
      <c r="PK715" s="5"/>
      <c r="PL715" s="5"/>
      <c r="PM715" s="5"/>
      <c r="PN715" s="5"/>
      <c r="PO715" s="5"/>
      <c r="PP715" s="5"/>
      <c r="PQ715" s="5"/>
      <c r="PR715" s="5"/>
      <c r="PS715" s="5"/>
      <c r="PT715" s="5"/>
      <c r="PU715" s="5"/>
      <c r="PV715" s="5"/>
      <c r="PW715" s="5"/>
      <c r="PX715" s="5"/>
      <c r="PY715" s="5"/>
      <c r="PZ715" s="5"/>
      <c r="QA715" s="5"/>
      <c r="QB715" s="5"/>
      <c r="QC715" s="5"/>
      <c r="QD715" s="5"/>
      <c r="QE715" s="5"/>
      <c r="QF715" s="5"/>
      <c r="QG715" s="5"/>
      <c r="QH715" s="5"/>
      <c r="QI715" s="5"/>
      <c r="QJ715" s="5"/>
      <c r="QK715" s="5"/>
      <c r="QL715" s="5"/>
      <c r="QM715" s="5"/>
      <c r="QN715" s="5"/>
      <c r="QO715" s="5"/>
      <c r="QP715" s="5"/>
      <c r="QQ715" s="5"/>
      <c r="QR715" s="5"/>
      <c r="QS715" s="5"/>
      <c r="QT715" s="5"/>
      <c r="QU715" s="5"/>
      <c r="QV715" s="5"/>
      <c r="QW715" s="5"/>
      <c r="QX715" s="5"/>
      <c r="QY715" s="5"/>
      <c r="QZ715" s="5"/>
      <c r="RA715" s="5"/>
      <c r="RB715" s="5"/>
      <c r="RC715" s="5"/>
      <c r="RD715" s="5"/>
      <c r="RE715" s="5"/>
      <c r="RF715" s="5"/>
      <c r="RG715" s="5"/>
      <c r="RH715" s="5"/>
      <c r="RI715" s="5"/>
      <c r="RJ715" s="5"/>
      <c r="RK715" s="5"/>
      <c r="RL715" s="5"/>
      <c r="RM715" s="5"/>
      <c r="RN715" s="5"/>
      <c r="RO715" s="5"/>
      <c r="RP715" s="5"/>
      <c r="RQ715" s="5"/>
      <c r="RR715" s="5"/>
      <c r="RS715" s="5"/>
      <c r="RT715" s="5"/>
      <c r="RU715" s="5"/>
      <c r="RV715" s="5"/>
      <c r="RW715" s="5"/>
      <c r="RX715" s="5"/>
      <c r="RY715" s="5"/>
      <c r="RZ715" s="5"/>
      <c r="SA715" s="5"/>
      <c r="SB715" s="5"/>
      <c r="SC715" s="5"/>
      <c r="SD715" s="5"/>
      <c r="SE715" s="5"/>
      <c r="SF715" s="5"/>
      <c r="SG715" s="5"/>
      <c r="SH715" s="5"/>
      <c r="SI715" s="5"/>
      <c r="SJ715" s="5"/>
      <c r="SK715" s="5"/>
      <c r="SL715" s="5"/>
      <c r="SM715" s="5"/>
      <c r="SN715" s="5"/>
      <c r="SO715" s="5"/>
      <c r="SP715" s="5"/>
      <c r="SQ715" s="5"/>
      <c r="SR715" s="5"/>
      <c r="SS715" s="5"/>
      <c r="ST715" s="5"/>
      <c r="SU715" s="5"/>
      <c r="SV715" s="5"/>
      <c r="SW715" s="5"/>
      <c r="SX715" s="5"/>
      <c r="SY715" s="5"/>
      <c r="SZ715" s="5"/>
      <c r="TA715" s="5"/>
      <c r="TB715" s="5"/>
      <c r="TC715" s="5"/>
      <c r="TD715" s="5"/>
      <c r="TE715" s="5"/>
      <c r="TF715" s="5"/>
      <c r="TG715" s="5"/>
      <c r="TH715" s="5"/>
      <c r="TI715" s="5"/>
      <c r="TJ715" s="5"/>
      <c r="TK715" s="5"/>
      <c r="TL715" s="5"/>
      <c r="TM715" s="5"/>
      <c r="TN715" s="5"/>
      <c r="TO715" s="5"/>
      <c r="TP715" s="5"/>
      <c r="TQ715" s="5"/>
      <c r="TR715" s="5"/>
      <c r="TS715" s="5"/>
      <c r="TT715" s="5"/>
      <c r="TU715" s="5"/>
      <c r="TV715" s="5"/>
      <c r="TW715" s="5"/>
      <c r="TX715" s="5"/>
      <c r="TY715" s="5"/>
      <c r="TZ715" s="5"/>
      <c r="UA715" s="5"/>
      <c r="UB715" s="5"/>
      <c r="UC715" s="5"/>
      <c r="UD715" s="5"/>
      <c r="UE715" s="5"/>
      <c r="UF715" s="5"/>
      <c r="UG715" s="5"/>
      <c r="UH715" s="5"/>
      <c r="UI715" s="5"/>
      <c r="UJ715" s="5"/>
      <c r="UK715" s="5"/>
      <c r="UL715" s="5"/>
      <c r="UM715" s="5"/>
      <c r="UN715" s="5"/>
      <c r="UO715" s="5"/>
      <c r="UP715" s="5"/>
      <c r="UQ715" s="5"/>
      <c r="UR715" s="5"/>
      <c r="US715" s="5"/>
      <c r="UT715" s="5"/>
      <c r="UU715" s="5"/>
      <c r="UV715" s="5"/>
      <c r="UW715" s="5"/>
      <c r="UX715" s="5"/>
      <c r="UY715" s="5"/>
      <c r="UZ715" s="5"/>
      <c r="VA715" s="5"/>
      <c r="VB715" s="5"/>
      <c r="VC715" s="5"/>
      <c r="VD715" s="5"/>
      <c r="VE715" s="5"/>
      <c r="VF715" s="5"/>
      <c r="VG715" s="5"/>
      <c r="VH715" s="5"/>
      <c r="VI715" s="5"/>
      <c r="VJ715" s="5"/>
      <c r="VK715" s="5"/>
      <c r="VL715" s="5"/>
      <c r="VM715" s="5"/>
      <c r="VN715" s="5"/>
      <c r="VO715" s="5"/>
      <c r="VP715" s="5"/>
      <c r="VQ715" s="5"/>
      <c r="VR715" s="5"/>
      <c r="VS715" s="5"/>
      <c r="VT715" s="5"/>
      <c r="VU715" s="5"/>
      <c r="VV715" s="5"/>
      <c r="VW715" s="5"/>
      <c r="VX715" s="5"/>
      <c r="VY715" s="5"/>
      <c r="VZ715" s="5"/>
      <c r="WA715" s="5"/>
      <c r="WB715" s="5"/>
      <c r="WC715" s="5"/>
      <c r="WD715" s="5"/>
      <c r="WE715" s="5"/>
      <c r="WF715" s="5"/>
      <c r="WG715" s="5"/>
      <c r="WH715" s="5"/>
      <c r="WI715" s="5"/>
      <c r="WJ715" s="5"/>
      <c r="WK715" s="5"/>
      <c r="WL715" s="5"/>
      <c r="WM715" s="5"/>
      <c r="WN715" s="5"/>
      <c r="WO715" s="5"/>
      <c r="WP715" s="5"/>
      <c r="WQ715" s="5"/>
      <c r="WR715" s="5"/>
      <c r="WS715" s="5"/>
      <c r="WT715" s="5"/>
      <c r="WU715" s="5"/>
      <c r="WV715" s="5"/>
      <c r="WW715" s="5"/>
      <c r="WX715" s="5"/>
      <c r="WY715" s="5"/>
      <c r="WZ715" s="5"/>
      <c r="XA715" s="5"/>
      <c r="XB715" s="5"/>
      <c r="XC715" s="5"/>
      <c r="XD715" s="5"/>
      <c r="XE715" s="5"/>
      <c r="XF715" s="5"/>
      <c r="XG715" s="5"/>
      <c r="XH715" s="5"/>
      <c r="XI715" s="5"/>
      <c r="XJ715" s="5"/>
      <c r="XK715" s="5"/>
      <c r="XL715" s="5"/>
      <c r="XM715" s="5"/>
      <c r="XN715" s="5"/>
      <c r="XO715" s="5"/>
      <c r="XP715" s="5"/>
      <c r="XQ715" s="5"/>
      <c r="XR715" s="5"/>
      <c r="XS715" s="5"/>
      <c r="XT715" s="5"/>
      <c r="XU715" s="5"/>
      <c r="XV715" s="5"/>
      <c r="XW715" s="5"/>
      <c r="XX715" s="5"/>
      <c r="XY715" s="5"/>
      <c r="XZ715" s="5"/>
      <c r="YA715" s="5"/>
      <c r="YB715" s="5"/>
      <c r="YC715" s="5"/>
      <c r="YD715" s="5"/>
      <c r="YE715" s="5"/>
      <c r="YF715" s="5"/>
      <c r="YG715" s="5"/>
      <c r="YH715" s="5"/>
      <c r="YI715" s="5"/>
      <c r="YJ715" s="5"/>
      <c r="YK715" s="5"/>
      <c r="YL715" s="5"/>
      <c r="YM715" s="5"/>
      <c r="YN715" s="5"/>
      <c r="YO715" s="5"/>
      <c r="YP715" s="5"/>
      <c r="YQ715" s="5"/>
      <c r="YR715" s="5"/>
      <c r="YS715" s="5"/>
      <c r="YT715" s="5"/>
      <c r="YU715" s="5"/>
      <c r="YV715" s="5"/>
      <c r="YW715" s="5"/>
      <c r="YX715" s="5"/>
      <c r="YY715" s="5"/>
      <c r="YZ715" s="5"/>
      <c r="ZA715" s="5"/>
      <c r="ZB715" s="5"/>
      <c r="ZC715" s="5"/>
      <c r="ZD715" s="5"/>
      <c r="ZE715" s="5"/>
      <c r="ZF715" s="5"/>
      <c r="ZG715" s="5"/>
      <c r="ZH715" s="5"/>
      <c r="ZI715" s="5"/>
      <c r="ZJ715" s="5"/>
      <c r="ZK715" s="5"/>
      <c r="ZL715" s="5"/>
      <c r="ZM715" s="5"/>
      <c r="ZN715" s="5"/>
      <c r="ZO715" s="5"/>
      <c r="ZP715" s="5"/>
      <c r="ZQ715" s="5"/>
      <c r="ZR715" s="5"/>
      <c r="ZS715" s="5"/>
      <c r="ZT715" s="5"/>
      <c r="ZU715" s="5"/>
      <c r="ZV715" s="5"/>
      <c r="ZW715" s="5"/>
      <c r="ZX715" s="5"/>
      <c r="ZY715" s="5"/>
      <c r="ZZ715" s="5"/>
      <c r="AAA715" s="5"/>
      <c r="AAB715" s="5"/>
      <c r="AAC715" s="5"/>
      <c r="AAD715" s="5"/>
      <c r="AAE715" s="5"/>
      <c r="AAF715" s="5"/>
      <c r="AAG715" s="5"/>
      <c r="AAH715" s="5"/>
      <c r="AAI715" s="5"/>
      <c r="AAJ715" s="5"/>
      <c r="AAK715" s="5"/>
      <c r="AAL715" s="5"/>
      <c r="AAM715" s="5"/>
      <c r="AAN715" s="5"/>
      <c r="AAO715" s="5"/>
      <c r="AAP715" s="5"/>
      <c r="AAQ715" s="5"/>
      <c r="AAR715" s="5"/>
      <c r="AAS715" s="5"/>
      <c r="AAT715" s="5"/>
      <c r="AAU715" s="5"/>
      <c r="AAV715" s="5"/>
      <c r="AAW715" s="5"/>
      <c r="AAX715" s="5"/>
      <c r="AAY715" s="5"/>
      <c r="AAZ715" s="5"/>
      <c r="ABA715" s="5"/>
      <c r="ABB715" s="5"/>
      <c r="ABC715" s="5"/>
      <c r="ABD715" s="5"/>
      <c r="ABE715" s="5"/>
      <c r="ABF715" s="5"/>
      <c r="ABG715" s="5"/>
      <c r="ABH715" s="5"/>
      <c r="ABI715" s="5"/>
      <c r="ABJ715" s="5"/>
      <c r="ABK715" s="5"/>
      <c r="ABL715" s="5"/>
      <c r="ABM715" s="5"/>
      <c r="ABN715" s="5"/>
      <c r="ABO715" s="5"/>
      <c r="ABP715" s="5"/>
      <c r="ABQ715" s="5"/>
      <c r="ABR715" s="5"/>
      <c r="ABS715" s="5"/>
      <c r="ABT715" s="5"/>
      <c r="ABU715" s="5"/>
      <c r="ABV715" s="5"/>
      <c r="ABW715" s="5"/>
      <c r="ABX715" s="5"/>
      <c r="ABY715" s="5"/>
      <c r="ABZ715" s="5"/>
      <c r="ACA715" s="5"/>
      <c r="ACB715" s="5"/>
      <c r="ACC715" s="5"/>
      <c r="ACD715" s="5"/>
      <c r="ACE715" s="5"/>
      <c r="ACF715" s="5"/>
      <c r="ACG715" s="5"/>
      <c r="ACH715" s="5"/>
      <c r="ACI715" s="5"/>
      <c r="ACJ715" s="5"/>
      <c r="ACK715" s="5"/>
      <c r="ACL715" s="5"/>
      <c r="ACM715" s="5"/>
      <c r="ACN715" s="5"/>
      <c r="ACO715" s="5"/>
      <c r="ACP715" s="5"/>
      <c r="ACQ715" s="5"/>
      <c r="ACR715" s="5"/>
      <c r="ACS715" s="5"/>
      <c r="ACT715" s="5"/>
      <c r="ACU715" s="5"/>
      <c r="ACV715" s="5"/>
      <c r="ACW715" s="5"/>
      <c r="ACX715" s="5"/>
      <c r="ACY715" s="5"/>
      <c r="ACZ715" s="5"/>
      <c r="ADA715" s="5"/>
      <c r="ADB715" s="5"/>
      <c r="ADC715" s="5"/>
      <c r="ADD715" s="5"/>
      <c r="ADE715" s="5"/>
      <c r="ADF715" s="5"/>
      <c r="ADG715" s="5"/>
      <c r="ADH715" s="5"/>
      <c r="ADI715" s="5"/>
      <c r="ADJ715" s="5"/>
      <c r="ADK715" s="5"/>
      <c r="ADL715" s="5"/>
      <c r="ADM715" s="5"/>
      <c r="ADN715" s="5"/>
      <c r="ADO715" s="5"/>
      <c r="ADP715" s="5"/>
      <c r="ADQ715" s="5"/>
      <c r="ADR715" s="5"/>
      <c r="ADS715" s="5"/>
      <c r="ADT715" s="5"/>
      <c r="ADU715" s="5"/>
      <c r="ADV715" s="5"/>
      <c r="ADW715" s="5"/>
      <c r="ADX715" s="5"/>
      <c r="ADY715" s="5"/>
      <c r="ADZ715" s="5"/>
      <c r="AEA715" s="5"/>
      <c r="AEB715" s="5"/>
      <c r="AEC715" s="5"/>
      <c r="AED715" s="5"/>
      <c r="AEE715" s="5"/>
      <c r="AEF715" s="5"/>
      <c r="AEG715" s="5"/>
      <c r="AEH715" s="5"/>
      <c r="AEI715" s="5"/>
      <c r="AEJ715" s="5"/>
      <c r="AEK715" s="5"/>
      <c r="AEL715" s="5"/>
      <c r="AEM715" s="5"/>
      <c r="AEN715" s="5"/>
      <c r="AEO715" s="5"/>
      <c r="AEP715" s="5"/>
      <c r="AEQ715" s="5"/>
      <c r="AER715" s="5"/>
      <c r="AES715" s="5"/>
      <c r="AET715" s="5"/>
      <c r="AEU715" s="5"/>
      <c r="AEV715" s="5"/>
      <c r="AEW715" s="5"/>
      <c r="AEX715" s="5"/>
      <c r="AEY715" s="5"/>
      <c r="AEZ715" s="5"/>
      <c r="AFA715" s="5"/>
      <c r="AFB715" s="5"/>
      <c r="AFC715" s="5"/>
      <c r="AFD715" s="5"/>
      <c r="AFE715" s="5"/>
      <c r="AFF715" s="5"/>
      <c r="AFG715" s="5"/>
      <c r="AFH715" s="5"/>
      <c r="AFI715" s="5"/>
      <c r="AFJ715" s="5"/>
      <c r="AFK715" s="5"/>
      <c r="AFL715" s="5"/>
      <c r="AFM715" s="5"/>
      <c r="AFN715" s="5"/>
      <c r="AFO715" s="5"/>
      <c r="AFP715" s="5"/>
      <c r="AFQ715" s="5"/>
      <c r="AFR715" s="5"/>
      <c r="AFS715" s="5"/>
      <c r="AFT715" s="5"/>
      <c r="AFU715" s="5"/>
      <c r="AFV715" s="5"/>
      <c r="AFW715" s="5"/>
      <c r="AFX715" s="5"/>
      <c r="AFY715" s="5"/>
      <c r="AFZ715" s="5"/>
      <c r="AGA715" s="5"/>
      <c r="AGB715" s="5"/>
      <c r="AGC715" s="5"/>
      <c r="AGD715" s="5"/>
      <c r="AGE715" s="5"/>
      <c r="AGF715" s="5"/>
      <c r="AGG715" s="5"/>
      <c r="AGH715" s="5"/>
      <c r="AGI715" s="5"/>
      <c r="AGJ715" s="5"/>
      <c r="AGK715" s="5"/>
      <c r="AGL715" s="5"/>
      <c r="AGM715" s="5"/>
      <c r="AGN715" s="5"/>
      <c r="AGO715" s="5"/>
      <c r="AGP715" s="5"/>
      <c r="AGQ715" s="5"/>
      <c r="AGR715" s="5"/>
      <c r="AGS715" s="5"/>
      <c r="AGT715" s="5"/>
      <c r="AGU715" s="5"/>
      <c r="AGV715" s="5"/>
      <c r="AGW715" s="5"/>
      <c r="AGX715" s="5"/>
      <c r="AGY715" s="5"/>
      <c r="AGZ715" s="5"/>
      <c r="AHA715" s="5"/>
      <c r="AHB715" s="5"/>
      <c r="AHC715" s="5"/>
      <c r="AHD715" s="5"/>
      <c r="AHE715" s="5"/>
      <c r="AHF715" s="5"/>
      <c r="AHG715" s="5"/>
      <c r="AHH715" s="5"/>
      <c r="AHI715" s="5"/>
      <c r="AHJ715" s="5"/>
      <c r="AHK715" s="5"/>
      <c r="AHL715" s="5"/>
      <c r="AHM715" s="5"/>
      <c r="AHN715" s="5"/>
      <c r="AHO715" s="5"/>
      <c r="AHP715" s="5"/>
      <c r="AHQ715" s="5"/>
      <c r="AHR715" s="5"/>
      <c r="AHS715" s="5"/>
      <c r="AHT715" s="5"/>
      <c r="AHU715" s="5"/>
      <c r="AHV715" s="5"/>
      <c r="AHW715" s="5"/>
      <c r="AHX715" s="5"/>
      <c r="AHY715" s="5"/>
      <c r="AHZ715" s="5"/>
      <c r="AIA715" s="5"/>
      <c r="AIB715" s="5"/>
      <c r="AIC715" s="5"/>
      <c r="AID715" s="5"/>
      <c r="AIE715" s="5"/>
      <c r="AIF715" s="5"/>
      <c r="AIG715" s="5"/>
      <c r="AIH715" s="5"/>
      <c r="AII715" s="5"/>
      <c r="AIJ715" s="5"/>
      <c r="AIK715" s="5"/>
      <c r="AIL715" s="5"/>
      <c r="AIM715" s="5"/>
      <c r="AIN715" s="5"/>
      <c r="AIO715" s="5"/>
      <c r="AIP715" s="5"/>
      <c r="AIQ715" s="5"/>
      <c r="AIR715" s="5"/>
      <c r="AIS715" s="5"/>
      <c r="AIT715" s="5"/>
      <c r="AIU715" s="5"/>
      <c r="AIV715" s="5"/>
      <c r="AIW715" s="5"/>
      <c r="AIX715" s="5"/>
      <c r="AIY715" s="5"/>
      <c r="AIZ715" s="5"/>
      <c r="AJA715" s="5"/>
      <c r="AJB715" s="5"/>
      <c r="AJC715" s="5"/>
      <c r="AJD715" s="5"/>
      <c r="AJE715" s="5"/>
      <c r="AJF715" s="5"/>
      <c r="AJG715" s="5"/>
      <c r="AJH715" s="5"/>
      <c r="AJI715" s="5"/>
      <c r="AJJ715" s="5"/>
      <c r="AJK715" s="5"/>
      <c r="AJL715" s="5"/>
      <c r="AJM715" s="5"/>
      <c r="AJN715" s="5"/>
      <c r="AJO715" s="5"/>
      <c r="AJP715" s="5"/>
      <c r="AJQ715" s="5"/>
      <c r="AJR715" s="5"/>
      <c r="AJS715" s="5"/>
      <c r="AJT715" s="5"/>
      <c r="AJU715" s="5"/>
      <c r="AJV715" s="5"/>
      <c r="AJW715" s="5"/>
      <c r="AJX715" s="5"/>
      <c r="AJY715" s="5"/>
      <c r="AJZ715" s="5"/>
      <c r="AKA715" s="5"/>
      <c r="AKB715" s="5"/>
      <c r="AKC715" s="5"/>
      <c r="AKD715" s="5"/>
      <c r="AKE715" s="5"/>
      <c r="AKF715" s="5"/>
      <c r="AKG715" s="5"/>
      <c r="AKH715" s="5"/>
      <c r="AKI715" s="5"/>
      <c r="AKJ715" s="5"/>
      <c r="AKK715" s="5"/>
      <c r="AKL715" s="5"/>
      <c r="AKM715" s="5"/>
      <c r="AKN715" s="5"/>
      <c r="AKO715" s="5"/>
      <c r="AKP715" s="5"/>
      <c r="AKQ715" s="5"/>
      <c r="AKR715" s="5"/>
      <c r="AKS715" s="5"/>
      <c r="AKT715" s="5"/>
      <c r="AKU715" s="5"/>
      <c r="AKV715" s="5"/>
      <c r="AKW715" s="5"/>
      <c r="AKX715" s="5"/>
      <c r="AKY715" s="5"/>
      <c r="AKZ715" s="5"/>
      <c r="ALA715" s="5"/>
      <c r="ALB715" s="5"/>
      <c r="ALC715" s="5"/>
      <c r="ALD715" s="5"/>
      <c r="ALE715" s="5"/>
      <c r="ALF715" s="5"/>
      <c r="ALG715" s="5"/>
      <c r="ALH715" s="5"/>
      <c r="ALI715" s="5"/>
      <c r="ALJ715" s="5"/>
      <c r="ALK715" s="5"/>
      <c r="ALL715" s="5"/>
      <c r="ALM715" s="5"/>
      <c r="ALN715" s="5"/>
      <c r="ALO715" s="5"/>
      <c r="ALP715" s="5"/>
      <c r="ALQ715" s="5"/>
      <c r="ALR715" s="5"/>
      <c r="ALS715" s="5"/>
      <c r="ALT715" s="5"/>
      <c r="ALU715" s="5"/>
      <c r="ALV715" s="5"/>
      <c r="ALW715" s="5"/>
      <c r="ALX715" s="5"/>
      <c r="ALY715" s="5"/>
      <c r="ALZ715" s="5"/>
      <c r="AMA715" s="5"/>
      <c r="AMB715" s="5"/>
      <c r="AMC715" s="5"/>
      <c r="AMD715" s="5"/>
      <c r="AME715" s="5"/>
      <c r="AMF715" s="5"/>
      <c r="AMG715" s="5"/>
      <c r="AMH715" s="5"/>
      <c r="AMI715" s="5"/>
      <c r="AMJ715" s="5"/>
      <c r="AMK715" s="5"/>
      <c r="AML715" s="5"/>
      <c r="AMM715" s="5"/>
      <c r="AMN715" s="5"/>
      <c r="AMO715" s="5"/>
      <c r="AMP715" s="5"/>
      <c r="AMQ715" s="5"/>
      <c r="AMR715" s="5"/>
      <c r="AMS715" s="5"/>
      <c r="AMT715" s="5"/>
      <c r="AMU715" s="5"/>
      <c r="AMV715" s="5"/>
      <c r="AMW715" s="5"/>
      <c r="AMX715" s="5"/>
      <c r="AMY715" s="5"/>
      <c r="AMZ715" s="5"/>
      <c r="ANA715" s="5"/>
      <c r="ANB715" s="5"/>
      <c r="ANC715" s="5"/>
      <c r="AND715" s="5"/>
      <c r="ANE715" s="5"/>
      <c r="ANF715" s="5"/>
      <c r="ANG715" s="5"/>
      <c r="ANH715" s="5"/>
      <c r="ANI715" s="5"/>
      <c r="ANJ715" s="5"/>
      <c r="ANK715" s="5"/>
      <c r="ANL715" s="5"/>
      <c r="ANM715" s="5"/>
      <c r="ANN715" s="5"/>
      <c r="ANO715" s="5"/>
      <c r="ANP715" s="5"/>
      <c r="ANQ715" s="5"/>
      <c r="ANR715" s="5"/>
      <c r="ANS715" s="5"/>
      <c r="ANT715" s="5"/>
      <c r="ANU715" s="5"/>
      <c r="ANV715" s="5"/>
      <c r="ANW715" s="5"/>
      <c r="ANX715" s="5"/>
      <c r="ANY715" s="5"/>
      <c r="ANZ715" s="5"/>
      <c r="AOA715" s="5"/>
      <c r="AOB715" s="5"/>
      <c r="AOC715" s="5"/>
      <c r="AOD715" s="5"/>
      <c r="AOE715" s="5"/>
      <c r="AOF715" s="5"/>
      <c r="AOG715" s="5"/>
      <c r="AOH715" s="5"/>
      <c r="AOI715" s="5"/>
      <c r="AOJ715" s="5"/>
      <c r="AOK715" s="5"/>
      <c r="AOL715" s="5"/>
      <c r="AOM715" s="5"/>
      <c r="AON715" s="5"/>
      <c r="AOO715" s="5"/>
      <c r="AOP715" s="5"/>
      <c r="AOQ715" s="5"/>
      <c r="AOR715" s="5"/>
      <c r="AOS715" s="5"/>
      <c r="AOT715" s="5"/>
      <c r="AOU715" s="5"/>
      <c r="AOV715" s="5"/>
      <c r="AOW715" s="5"/>
      <c r="AOX715" s="5"/>
      <c r="AOY715" s="5"/>
      <c r="AOZ715" s="5"/>
      <c r="APA715" s="5"/>
      <c r="APB715" s="5"/>
      <c r="APC715" s="5"/>
      <c r="APD715" s="5"/>
      <c r="APE715" s="5"/>
      <c r="APF715" s="5"/>
      <c r="APG715" s="5"/>
      <c r="APH715" s="5"/>
      <c r="API715" s="5"/>
      <c r="APJ715" s="5"/>
      <c r="APK715" s="5"/>
      <c r="APL715" s="5"/>
      <c r="APM715" s="5"/>
      <c r="APN715" s="5"/>
      <c r="APO715" s="5"/>
      <c r="APP715" s="5"/>
      <c r="APQ715" s="5"/>
      <c r="APR715" s="5"/>
      <c r="APS715" s="5"/>
      <c r="APT715" s="5"/>
      <c r="APU715" s="5"/>
      <c r="APV715" s="5"/>
      <c r="APW715" s="5"/>
      <c r="APX715" s="5"/>
      <c r="APY715" s="5"/>
      <c r="APZ715" s="5"/>
      <c r="AQA715" s="5"/>
      <c r="AQB715" s="5"/>
      <c r="AQC715" s="5"/>
      <c r="AQD715" s="5"/>
      <c r="AQE715" s="5"/>
      <c r="AQF715" s="5"/>
      <c r="AQG715" s="5"/>
      <c r="AQH715" s="5"/>
      <c r="AQI715" s="5"/>
      <c r="AQJ715" s="5"/>
      <c r="AQK715" s="5"/>
      <c r="AQL715" s="5"/>
      <c r="AQM715" s="5"/>
      <c r="AQN715" s="5"/>
      <c r="AQO715" s="5"/>
      <c r="AQP715" s="5"/>
      <c r="AQQ715" s="5"/>
      <c r="AQR715" s="5"/>
      <c r="AQS715" s="5"/>
      <c r="AQT715" s="5"/>
      <c r="AQU715" s="5"/>
      <c r="AQV715" s="5"/>
      <c r="AQW715" s="5"/>
      <c r="AQX715" s="5"/>
      <c r="AQY715" s="5"/>
      <c r="AQZ715" s="5"/>
      <c r="ARA715" s="5"/>
      <c r="ARB715" s="5"/>
      <c r="ARC715" s="5"/>
      <c r="ARD715" s="5"/>
      <c r="ARE715" s="5"/>
      <c r="ARF715" s="5"/>
      <c r="ARG715" s="5"/>
      <c r="ARH715" s="5"/>
      <c r="ARI715" s="5"/>
      <c r="ARJ715" s="5"/>
      <c r="ARK715" s="5"/>
      <c r="ARL715" s="5"/>
      <c r="ARM715" s="5"/>
      <c r="ARN715" s="5"/>
      <c r="ARO715" s="5"/>
      <c r="ARP715" s="5"/>
      <c r="ARQ715" s="5"/>
      <c r="ARR715" s="5"/>
      <c r="ARS715" s="5"/>
      <c r="ART715" s="5"/>
      <c r="ARU715" s="5"/>
      <c r="ARV715" s="5"/>
      <c r="ARW715" s="5"/>
      <c r="ARX715" s="5"/>
      <c r="ARY715" s="5"/>
      <c r="ARZ715" s="5"/>
      <c r="ASA715" s="5"/>
      <c r="ASB715" s="5"/>
      <c r="ASC715" s="5"/>
      <c r="ASD715" s="5"/>
      <c r="ASE715" s="5"/>
      <c r="ASF715" s="5"/>
      <c r="ASG715" s="5"/>
      <c r="ASH715" s="5"/>
      <c r="ASI715" s="5"/>
      <c r="ASJ715" s="5"/>
      <c r="ASK715" s="5"/>
      <c r="ASL715" s="5"/>
      <c r="ASM715" s="5"/>
      <c r="ASN715" s="5"/>
      <c r="ASO715" s="5"/>
      <c r="ASP715" s="5"/>
      <c r="ASQ715" s="5"/>
      <c r="ASR715" s="5"/>
      <c r="ASS715" s="5"/>
      <c r="AST715" s="5"/>
      <c r="ASU715" s="5"/>
      <c r="ASV715" s="5"/>
      <c r="ASW715" s="5"/>
      <c r="ASX715" s="5"/>
      <c r="ASY715" s="5"/>
      <c r="ASZ715" s="5"/>
      <c r="ATA715" s="5"/>
      <c r="ATB715" s="5"/>
      <c r="ATC715" s="5"/>
      <c r="ATD715" s="5"/>
      <c r="ATE715" s="5"/>
      <c r="ATF715" s="5"/>
      <c r="ATG715" s="5"/>
      <c r="ATH715" s="5"/>
      <c r="ATI715" s="5"/>
      <c r="ATJ715" s="5"/>
      <c r="ATK715" s="5"/>
      <c r="ATL715" s="5"/>
      <c r="ATM715" s="5"/>
      <c r="ATN715" s="5"/>
      <c r="ATO715" s="5"/>
      <c r="ATP715" s="5"/>
      <c r="ATQ715" s="5"/>
      <c r="ATR715" s="5"/>
      <c r="ATS715" s="5"/>
      <c r="ATT715" s="5"/>
      <c r="ATU715" s="5"/>
      <c r="ATV715" s="5"/>
      <c r="ATW715" s="5"/>
      <c r="ATX715" s="5"/>
    </row>
    <row r="716" spans="1:1220" s="67" customFormat="1" ht="12.75" customHeight="1" x14ac:dyDescent="0.35">
      <c r="A716" s="76" t="s">
        <v>229</v>
      </c>
      <c r="B716" s="99" t="s">
        <v>259</v>
      </c>
      <c r="C716" s="76" t="s">
        <v>2616</v>
      </c>
      <c r="D716" s="142" t="s">
        <v>2616</v>
      </c>
      <c r="E716" s="76"/>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5"/>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s="5"/>
      <c r="FG716" s="5"/>
      <c r="FH716" s="5"/>
      <c r="FI716" s="5"/>
      <c r="FJ716" s="5"/>
      <c r="FK716" s="5"/>
      <c r="FL716" s="5"/>
      <c r="FM716" s="5"/>
      <c r="FN716" s="5"/>
      <c r="FO716" s="5"/>
      <c r="FP716" s="5"/>
      <c r="FQ716" s="5"/>
      <c r="FR716" s="5"/>
      <c r="FS716" s="5"/>
      <c r="FT716" s="5"/>
      <c r="FU716" s="5"/>
      <c r="FV716" s="5"/>
      <c r="FW716" s="5"/>
      <c r="FX716" s="5"/>
      <c r="FY716" s="5"/>
      <c r="FZ716" s="5"/>
      <c r="GA716" s="5"/>
      <c r="GB716" s="5"/>
      <c r="GC716" s="5"/>
      <c r="GD716" s="5"/>
      <c r="GE716" s="5"/>
      <c r="GF716" s="5"/>
      <c r="GG716" s="5"/>
      <c r="GH716" s="5"/>
      <c r="GI716" s="5"/>
      <c r="GJ716" s="5"/>
      <c r="GK716" s="5"/>
      <c r="GL716" s="5"/>
      <c r="GM716" s="5"/>
      <c r="GN716" s="5"/>
      <c r="GO716" s="5"/>
      <c r="GP716" s="5"/>
      <c r="GQ716" s="5"/>
      <c r="GR716" s="5"/>
      <c r="GS716" s="5"/>
      <c r="GT716" s="5"/>
      <c r="GU716" s="5"/>
      <c r="GV716" s="5"/>
      <c r="GW716" s="5"/>
      <c r="GX716" s="5"/>
      <c r="GY716" s="5"/>
      <c r="GZ716" s="5"/>
      <c r="HA716" s="5"/>
      <c r="HB716" s="5"/>
      <c r="HC716" s="5"/>
      <c r="HD716" s="5"/>
      <c r="HE716" s="5"/>
      <c r="HF716" s="5"/>
      <c r="HG716" s="5"/>
      <c r="HH716" s="5"/>
      <c r="HI716" s="5"/>
      <c r="HJ716" s="5"/>
      <c r="HK716" s="5"/>
      <c r="HL716" s="5"/>
      <c r="HM716" s="5"/>
      <c r="HN716" s="5"/>
      <c r="HO716" s="5"/>
      <c r="HP716" s="5"/>
      <c r="HQ716" s="5"/>
      <c r="HR716" s="5"/>
      <c r="HS716" s="5"/>
      <c r="HT716" s="5"/>
      <c r="HU716" s="5"/>
      <c r="HV716" s="5"/>
      <c r="HW716" s="5"/>
      <c r="HX716" s="5"/>
      <c r="HY716" s="5"/>
      <c r="HZ716" s="5"/>
      <c r="IA716" s="5"/>
      <c r="IB716" s="5"/>
      <c r="IC716" s="5"/>
      <c r="ID716" s="5"/>
      <c r="IE716" s="5"/>
      <c r="IF716" s="5"/>
      <c r="IG716" s="5"/>
      <c r="IH716" s="5"/>
      <c r="II716" s="5"/>
      <c r="IJ716" s="5"/>
      <c r="IK716" s="5"/>
      <c r="IL716" s="5"/>
      <c r="IM716" s="5"/>
      <c r="IN716" s="5"/>
      <c r="IO716" s="5"/>
      <c r="IP716" s="5"/>
      <c r="IQ716" s="5"/>
      <c r="IR716" s="5"/>
      <c r="IS716" s="5"/>
      <c r="IT716" s="5"/>
      <c r="IU716" s="5"/>
      <c r="IV716" s="5"/>
      <c r="IW716" s="5"/>
      <c r="IX716" s="5"/>
      <c r="IY716" s="5"/>
      <c r="IZ716" s="5"/>
      <c r="JA716" s="5"/>
      <c r="JB716" s="5"/>
      <c r="JC716" s="5"/>
      <c r="JD716" s="5"/>
      <c r="JE716" s="5"/>
      <c r="JF716" s="5"/>
      <c r="JG716" s="5"/>
      <c r="JH716" s="5"/>
      <c r="JI716" s="5"/>
      <c r="JJ716" s="5"/>
      <c r="JK716" s="5"/>
      <c r="JL716" s="5"/>
      <c r="JM716" s="5"/>
      <c r="JN716" s="5"/>
      <c r="JO716" s="5"/>
      <c r="JP716" s="5"/>
      <c r="JQ716" s="5"/>
      <c r="JR716" s="5"/>
      <c r="JS716" s="5"/>
      <c r="JT716" s="5"/>
      <c r="JU716" s="5"/>
      <c r="JV716" s="5"/>
      <c r="JW716" s="5"/>
      <c r="JX716" s="5"/>
      <c r="JY716" s="5"/>
      <c r="JZ716" s="5"/>
      <c r="KA716" s="5"/>
      <c r="KB716" s="5"/>
      <c r="KC716" s="5"/>
      <c r="KD716" s="5"/>
      <c r="KE716" s="5"/>
      <c r="KF716" s="5"/>
      <c r="KG716" s="5"/>
      <c r="KH716" s="5"/>
      <c r="KI716" s="5"/>
      <c r="KJ716" s="5"/>
      <c r="KK716" s="5"/>
      <c r="KL716" s="5"/>
      <c r="KM716" s="5"/>
      <c r="KN716" s="5"/>
      <c r="KO716" s="5"/>
      <c r="KP716" s="5"/>
      <c r="KQ716" s="5"/>
      <c r="KR716" s="5"/>
      <c r="KS716" s="5"/>
      <c r="KT716" s="5"/>
      <c r="KU716" s="5"/>
      <c r="KV716" s="5"/>
      <c r="KW716" s="5"/>
      <c r="KX716" s="5"/>
      <c r="KY716" s="5"/>
      <c r="KZ716" s="5"/>
      <c r="LA716" s="5"/>
      <c r="LB716" s="5"/>
      <c r="LC716" s="5"/>
      <c r="LD716" s="5"/>
      <c r="LE716" s="5"/>
      <c r="LF716" s="5"/>
      <c r="LG716" s="5"/>
      <c r="LH716" s="5"/>
      <c r="LI716" s="5"/>
      <c r="LJ716" s="5"/>
      <c r="LK716" s="5"/>
      <c r="LL716" s="5"/>
      <c r="LM716" s="5"/>
      <c r="LN716" s="5"/>
      <c r="LO716" s="5"/>
      <c r="LP716" s="5"/>
      <c r="LQ716" s="5"/>
      <c r="LR716" s="5"/>
      <c r="LS716" s="5"/>
      <c r="LT716" s="5"/>
      <c r="LU716" s="5"/>
      <c r="LV716" s="5"/>
      <c r="LW716" s="5"/>
      <c r="LX716" s="5"/>
      <c r="LY716" s="5"/>
      <c r="LZ716" s="5"/>
      <c r="MA716" s="5"/>
      <c r="MB716" s="5"/>
      <c r="MC716" s="5"/>
      <c r="MD716" s="5"/>
      <c r="ME716" s="5"/>
      <c r="MF716" s="5"/>
      <c r="MG716" s="5"/>
      <c r="MH716" s="5"/>
      <c r="MI716" s="5"/>
      <c r="MJ716" s="5"/>
      <c r="MK716" s="5"/>
      <c r="ML716" s="5"/>
      <c r="MM716" s="5"/>
      <c r="MN716" s="5"/>
      <c r="MO716" s="5"/>
      <c r="MP716" s="5"/>
      <c r="MQ716" s="5"/>
      <c r="MR716" s="5"/>
      <c r="MS716" s="5"/>
      <c r="MT716" s="5"/>
      <c r="MU716" s="5"/>
      <c r="MV716" s="5"/>
      <c r="MW716" s="5"/>
      <c r="MX716" s="5"/>
      <c r="MY716" s="5"/>
      <c r="MZ716" s="5"/>
      <c r="NA716" s="5"/>
      <c r="NB716" s="5"/>
      <c r="NC716" s="5"/>
      <c r="ND716" s="5"/>
      <c r="NE716" s="5"/>
      <c r="NF716" s="5"/>
      <c r="NG716" s="5"/>
      <c r="NH716" s="5"/>
      <c r="NI716" s="5"/>
      <c r="NJ716" s="5"/>
      <c r="NK716" s="5"/>
      <c r="NL716" s="5"/>
      <c r="NM716" s="5"/>
      <c r="NN716" s="5"/>
      <c r="NO716" s="5"/>
      <c r="NP716" s="5"/>
      <c r="NQ716" s="5"/>
      <c r="NR716" s="5"/>
      <c r="NS716" s="5"/>
      <c r="NT716" s="5"/>
      <c r="NU716" s="5"/>
      <c r="NV716" s="5"/>
      <c r="NW716" s="5"/>
      <c r="NX716" s="5"/>
      <c r="NY716" s="5"/>
      <c r="NZ716" s="5"/>
      <c r="OA716" s="5"/>
      <c r="OB716" s="5"/>
      <c r="OC716" s="5"/>
      <c r="OD716" s="5"/>
      <c r="OE716" s="5"/>
      <c r="OF716" s="5"/>
      <c r="OG716" s="5"/>
      <c r="OH716" s="5"/>
      <c r="OI716" s="5"/>
      <c r="OJ716" s="5"/>
      <c r="OK716" s="5"/>
      <c r="OL716" s="5"/>
      <c r="OM716" s="5"/>
      <c r="ON716" s="5"/>
      <c r="OO716" s="5"/>
      <c r="OP716" s="5"/>
      <c r="OQ716" s="5"/>
      <c r="OR716" s="5"/>
      <c r="OS716" s="5"/>
      <c r="OT716" s="5"/>
      <c r="OU716" s="5"/>
      <c r="OV716" s="5"/>
      <c r="OW716" s="5"/>
      <c r="OX716" s="5"/>
      <c r="OY716" s="5"/>
      <c r="OZ716" s="5"/>
      <c r="PA716" s="5"/>
      <c r="PB716" s="5"/>
      <c r="PC716" s="5"/>
      <c r="PD716" s="5"/>
      <c r="PE716" s="5"/>
      <c r="PF716" s="5"/>
      <c r="PG716" s="5"/>
      <c r="PH716" s="5"/>
      <c r="PI716" s="5"/>
      <c r="PJ716" s="5"/>
      <c r="PK716" s="5"/>
      <c r="PL716" s="5"/>
      <c r="PM716" s="5"/>
      <c r="PN716" s="5"/>
      <c r="PO716" s="5"/>
      <c r="PP716" s="5"/>
      <c r="PQ716" s="5"/>
      <c r="PR716" s="5"/>
      <c r="PS716" s="5"/>
      <c r="PT716" s="5"/>
      <c r="PU716" s="5"/>
      <c r="PV716" s="5"/>
      <c r="PW716" s="5"/>
      <c r="PX716" s="5"/>
      <c r="PY716" s="5"/>
      <c r="PZ716" s="5"/>
      <c r="QA716" s="5"/>
      <c r="QB716" s="5"/>
      <c r="QC716" s="5"/>
      <c r="QD716" s="5"/>
      <c r="QE716" s="5"/>
      <c r="QF716" s="5"/>
      <c r="QG716" s="5"/>
      <c r="QH716" s="5"/>
      <c r="QI716" s="5"/>
      <c r="QJ716" s="5"/>
      <c r="QK716" s="5"/>
      <c r="QL716" s="5"/>
      <c r="QM716" s="5"/>
      <c r="QN716" s="5"/>
      <c r="QO716" s="5"/>
      <c r="QP716" s="5"/>
      <c r="QQ716" s="5"/>
      <c r="QR716" s="5"/>
      <c r="QS716" s="5"/>
      <c r="QT716" s="5"/>
      <c r="QU716" s="5"/>
      <c r="QV716" s="5"/>
      <c r="QW716" s="5"/>
      <c r="QX716" s="5"/>
      <c r="QY716" s="5"/>
      <c r="QZ716" s="5"/>
      <c r="RA716" s="5"/>
      <c r="RB716" s="5"/>
      <c r="RC716" s="5"/>
      <c r="RD716" s="5"/>
      <c r="RE716" s="5"/>
      <c r="RF716" s="5"/>
      <c r="RG716" s="5"/>
      <c r="RH716" s="5"/>
      <c r="RI716" s="5"/>
      <c r="RJ716" s="5"/>
      <c r="RK716" s="5"/>
      <c r="RL716" s="5"/>
      <c r="RM716" s="5"/>
      <c r="RN716" s="5"/>
      <c r="RO716" s="5"/>
      <c r="RP716" s="5"/>
      <c r="RQ716" s="5"/>
      <c r="RR716" s="5"/>
      <c r="RS716" s="5"/>
      <c r="RT716" s="5"/>
      <c r="RU716" s="5"/>
      <c r="RV716" s="5"/>
      <c r="RW716" s="5"/>
      <c r="RX716" s="5"/>
      <c r="RY716" s="5"/>
      <c r="RZ716" s="5"/>
      <c r="SA716" s="5"/>
      <c r="SB716" s="5"/>
      <c r="SC716" s="5"/>
      <c r="SD716" s="5"/>
      <c r="SE716" s="5"/>
      <c r="SF716" s="5"/>
      <c r="SG716" s="5"/>
      <c r="SH716" s="5"/>
      <c r="SI716" s="5"/>
      <c r="SJ716" s="5"/>
      <c r="SK716" s="5"/>
      <c r="SL716" s="5"/>
      <c r="SM716" s="5"/>
      <c r="SN716" s="5"/>
      <c r="SO716" s="5"/>
      <c r="SP716" s="5"/>
      <c r="SQ716" s="5"/>
      <c r="SR716" s="5"/>
      <c r="SS716" s="5"/>
      <c r="ST716" s="5"/>
      <c r="SU716" s="5"/>
      <c r="SV716" s="5"/>
      <c r="SW716" s="5"/>
      <c r="SX716" s="5"/>
      <c r="SY716" s="5"/>
      <c r="SZ716" s="5"/>
      <c r="TA716" s="5"/>
      <c r="TB716" s="5"/>
      <c r="TC716" s="5"/>
      <c r="TD716" s="5"/>
      <c r="TE716" s="5"/>
      <c r="TF716" s="5"/>
      <c r="TG716" s="5"/>
      <c r="TH716" s="5"/>
      <c r="TI716" s="5"/>
      <c r="TJ716" s="5"/>
      <c r="TK716" s="5"/>
      <c r="TL716" s="5"/>
      <c r="TM716" s="5"/>
      <c r="TN716" s="5"/>
      <c r="TO716" s="5"/>
      <c r="TP716" s="5"/>
      <c r="TQ716" s="5"/>
      <c r="TR716" s="5"/>
      <c r="TS716" s="5"/>
      <c r="TT716" s="5"/>
      <c r="TU716" s="5"/>
      <c r="TV716" s="5"/>
      <c r="TW716" s="5"/>
      <c r="TX716" s="5"/>
      <c r="TY716" s="5"/>
      <c r="TZ716" s="5"/>
      <c r="UA716" s="5"/>
      <c r="UB716" s="5"/>
      <c r="UC716" s="5"/>
      <c r="UD716" s="5"/>
      <c r="UE716" s="5"/>
      <c r="UF716" s="5"/>
      <c r="UG716" s="5"/>
      <c r="UH716" s="5"/>
      <c r="UI716" s="5"/>
      <c r="UJ716" s="5"/>
      <c r="UK716" s="5"/>
      <c r="UL716" s="5"/>
      <c r="UM716" s="5"/>
      <c r="UN716" s="5"/>
      <c r="UO716" s="5"/>
      <c r="UP716" s="5"/>
      <c r="UQ716" s="5"/>
      <c r="UR716" s="5"/>
      <c r="US716" s="5"/>
      <c r="UT716" s="5"/>
      <c r="UU716" s="5"/>
      <c r="UV716" s="5"/>
      <c r="UW716" s="5"/>
      <c r="UX716" s="5"/>
      <c r="UY716" s="5"/>
      <c r="UZ716" s="5"/>
      <c r="VA716" s="5"/>
      <c r="VB716" s="5"/>
      <c r="VC716" s="5"/>
      <c r="VD716" s="5"/>
      <c r="VE716" s="5"/>
      <c r="VF716" s="5"/>
      <c r="VG716" s="5"/>
      <c r="VH716" s="5"/>
      <c r="VI716" s="5"/>
      <c r="VJ716" s="5"/>
      <c r="VK716" s="5"/>
      <c r="VL716" s="5"/>
      <c r="VM716" s="5"/>
      <c r="VN716" s="5"/>
      <c r="VO716" s="5"/>
      <c r="VP716" s="5"/>
      <c r="VQ716" s="5"/>
      <c r="VR716" s="5"/>
      <c r="VS716" s="5"/>
      <c r="VT716" s="5"/>
      <c r="VU716" s="5"/>
      <c r="VV716" s="5"/>
      <c r="VW716" s="5"/>
      <c r="VX716" s="5"/>
      <c r="VY716" s="5"/>
      <c r="VZ716" s="5"/>
      <c r="WA716" s="5"/>
      <c r="WB716" s="5"/>
      <c r="WC716" s="5"/>
      <c r="WD716" s="5"/>
      <c r="WE716" s="5"/>
      <c r="WF716" s="5"/>
      <c r="WG716" s="5"/>
      <c r="WH716" s="5"/>
      <c r="WI716" s="5"/>
      <c r="WJ716" s="5"/>
      <c r="WK716" s="5"/>
      <c r="WL716" s="5"/>
      <c r="WM716" s="5"/>
      <c r="WN716" s="5"/>
      <c r="WO716" s="5"/>
      <c r="WP716" s="5"/>
      <c r="WQ716" s="5"/>
      <c r="WR716" s="5"/>
      <c r="WS716" s="5"/>
      <c r="WT716" s="5"/>
      <c r="WU716" s="5"/>
      <c r="WV716" s="5"/>
      <c r="WW716" s="5"/>
      <c r="WX716" s="5"/>
      <c r="WY716" s="5"/>
      <c r="WZ716" s="5"/>
      <c r="XA716" s="5"/>
      <c r="XB716" s="5"/>
      <c r="XC716" s="5"/>
      <c r="XD716" s="5"/>
      <c r="XE716" s="5"/>
      <c r="XF716" s="5"/>
      <c r="XG716" s="5"/>
      <c r="XH716" s="5"/>
      <c r="XI716" s="5"/>
      <c r="XJ716" s="5"/>
      <c r="XK716" s="5"/>
      <c r="XL716" s="5"/>
      <c r="XM716" s="5"/>
      <c r="XN716" s="5"/>
      <c r="XO716" s="5"/>
      <c r="XP716" s="5"/>
      <c r="XQ716" s="5"/>
      <c r="XR716" s="5"/>
      <c r="XS716" s="5"/>
      <c r="XT716" s="5"/>
      <c r="XU716" s="5"/>
      <c r="XV716" s="5"/>
      <c r="XW716" s="5"/>
      <c r="XX716" s="5"/>
      <c r="XY716" s="5"/>
      <c r="XZ716" s="5"/>
      <c r="YA716" s="5"/>
      <c r="YB716" s="5"/>
      <c r="YC716" s="5"/>
      <c r="YD716" s="5"/>
      <c r="YE716" s="5"/>
      <c r="YF716" s="5"/>
      <c r="YG716" s="5"/>
      <c r="YH716" s="5"/>
      <c r="YI716" s="5"/>
      <c r="YJ716" s="5"/>
      <c r="YK716" s="5"/>
      <c r="YL716" s="5"/>
      <c r="YM716" s="5"/>
      <c r="YN716" s="5"/>
      <c r="YO716" s="5"/>
      <c r="YP716" s="5"/>
      <c r="YQ716" s="5"/>
      <c r="YR716" s="5"/>
      <c r="YS716" s="5"/>
      <c r="YT716" s="5"/>
      <c r="YU716" s="5"/>
      <c r="YV716" s="5"/>
      <c r="YW716" s="5"/>
      <c r="YX716" s="5"/>
      <c r="YY716" s="5"/>
      <c r="YZ716" s="5"/>
      <c r="ZA716" s="5"/>
      <c r="ZB716" s="5"/>
      <c r="ZC716" s="5"/>
      <c r="ZD716" s="5"/>
      <c r="ZE716" s="5"/>
      <c r="ZF716" s="5"/>
      <c r="ZG716" s="5"/>
      <c r="ZH716" s="5"/>
      <c r="ZI716" s="5"/>
      <c r="ZJ716" s="5"/>
      <c r="ZK716" s="5"/>
      <c r="ZL716" s="5"/>
      <c r="ZM716" s="5"/>
      <c r="ZN716" s="5"/>
      <c r="ZO716" s="5"/>
      <c r="ZP716" s="5"/>
      <c r="ZQ716" s="5"/>
      <c r="ZR716" s="5"/>
      <c r="ZS716" s="5"/>
      <c r="ZT716" s="5"/>
      <c r="ZU716" s="5"/>
      <c r="ZV716" s="5"/>
      <c r="ZW716" s="5"/>
      <c r="ZX716" s="5"/>
      <c r="ZY716" s="5"/>
      <c r="ZZ716" s="5"/>
      <c r="AAA716" s="5"/>
      <c r="AAB716" s="5"/>
      <c r="AAC716" s="5"/>
      <c r="AAD716" s="5"/>
      <c r="AAE716" s="5"/>
      <c r="AAF716" s="5"/>
      <c r="AAG716" s="5"/>
      <c r="AAH716" s="5"/>
      <c r="AAI716" s="5"/>
      <c r="AAJ716" s="5"/>
      <c r="AAK716" s="5"/>
      <c r="AAL716" s="5"/>
      <c r="AAM716" s="5"/>
      <c r="AAN716" s="5"/>
      <c r="AAO716" s="5"/>
      <c r="AAP716" s="5"/>
      <c r="AAQ716" s="5"/>
      <c r="AAR716" s="5"/>
      <c r="AAS716" s="5"/>
      <c r="AAT716" s="5"/>
      <c r="AAU716" s="5"/>
      <c r="AAV716" s="5"/>
      <c r="AAW716" s="5"/>
      <c r="AAX716" s="5"/>
      <c r="AAY716" s="5"/>
      <c r="AAZ716" s="5"/>
      <c r="ABA716" s="5"/>
      <c r="ABB716" s="5"/>
      <c r="ABC716" s="5"/>
      <c r="ABD716" s="5"/>
      <c r="ABE716" s="5"/>
      <c r="ABF716" s="5"/>
      <c r="ABG716" s="5"/>
      <c r="ABH716" s="5"/>
      <c r="ABI716" s="5"/>
      <c r="ABJ716" s="5"/>
      <c r="ABK716" s="5"/>
      <c r="ABL716" s="5"/>
      <c r="ABM716" s="5"/>
      <c r="ABN716" s="5"/>
      <c r="ABO716" s="5"/>
      <c r="ABP716" s="5"/>
      <c r="ABQ716" s="5"/>
      <c r="ABR716" s="5"/>
      <c r="ABS716" s="5"/>
      <c r="ABT716" s="5"/>
      <c r="ABU716" s="5"/>
      <c r="ABV716" s="5"/>
      <c r="ABW716" s="5"/>
      <c r="ABX716" s="5"/>
      <c r="ABY716" s="5"/>
      <c r="ABZ716" s="5"/>
      <c r="ACA716" s="5"/>
      <c r="ACB716" s="5"/>
      <c r="ACC716" s="5"/>
      <c r="ACD716" s="5"/>
      <c r="ACE716" s="5"/>
      <c r="ACF716" s="5"/>
      <c r="ACG716" s="5"/>
      <c r="ACH716" s="5"/>
      <c r="ACI716" s="5"/>
      <c r="ACJ716" s="5"/>
      <c r="ACK716" s="5"/>
      <c r="ACL716" s="5"/>
      <c r="ACM716" s="5"/>
      <c r="ACN716" s="5"/>
      <c r="ACO716" s="5"/>
      <c r="ACP716" s="5"/>
      <c r="ACQ716" s="5"/>
      <c r="ACR716" s="5"/>
      <c r="ACS716" s="5"/>
      <c r="ACT716" s="5"/>
      <c r="ACU716" s="5"/>
      <c r="ACV716" s="5"/>
      <c r="ACW716" s="5"/>
      <c r="ACX716" s="5"/>
      <c r="ACY716" s="5"/>
      <c r="ACZ716" s="5"/>
      <c r="ADA716" s="5"/>
      <c r="ADB716" s="5"/>
      <c r="ADC716" s="5"/>
      <c r="ADD716" s="5"/>
      <c r="ADE716" s="5"/>
      <c r="ADF716" s="5"/>
      <c r="ADG716" s="5"/>
      <c r="ADH716" s="5"/>
      <c r="ADI716" s="5"/>
      <c r="ADJ716" s="5"/>
      <c r="ADK716" s="5"/>
      <c r="ADL716" s="5"/>
      <c r="ADM716" s="5"/>
      <c r="ADN716" s="5"/>
      <c r="ADO716" s="5"/>
      <c r="ADP716" s="5"/>
      <c r="ADQ716" s="5"/>
      <c r="ADR716" s="5"/>
      <c r="ADS716" s="5"/>
      <c r="ADT716" s="5"/>
      <c r="ADU716" s="5"/>
      <c r="ADV716" s="5"/>
      <c r="ADW716" s="5"/>
      <c r="ADX716" s="5"/>
      <c r="ADY716" s="5"/>
      <c r="ADZ716" s="5"/>
      <c r="AEA716" s="5"/>
      <c r="AEB716" s="5"/>
      <c r="AEC716" s="5"/>
      <c r="AED716" s="5"/>
      <c r="AEE716" s="5"/>
      <c r="AEF716" s="5"/>
      <c r="AEG716" s="5"/>
      <c r="AEH716" s="5"/>
      <c r="AEI716" s="5"/>
      <c r="AEJ716" s="5"/>
      <c r="AEK716" s="5"/>
      <c r="AEL716" s="5"/>
      <c r="AEM716" s="5"/>
      <c r="AEN716" s="5"/>
      <c r="AEO716" s="5"/>
      <c r="AEP716" s="5"/>
      <c r="AEQ716" s="5"/>
      <c r="AER716" s="5"/>
      <c r="AES716" s="5"/>
      <c r="AET716" s="5"/>
      <c r="AEU716" s="5"/>
      <c r="AEV716" s="5"/>
      <c r="AEW716" s="5"/>
      <c r="AEX716" s="5"/>
      <c r="AEY716" s="5"/>
      <c r="AEZ716" s="5"/>
      <c r="AFA716" s="5"/>
      <c r="AFB716" s="5"/>
      <c r="AFC716" s="5"/>
      <c r="AFD716" s="5"/>
      <c r="AFE716" s="5"/>
      <c r="AFF716" s="5"/>
      <c r="AFG716" s="5"/>
      <c r="AFH716" s="5"/>
      <c r="AFI716" s="5"/>
      <c r="AFJ716" s="5"/>
      <c r="AFK716" s="5"/>
      <c r="AFL716" s="5"/>
      <c r="AFM716" s="5"/>
      <c r="AFN716" s="5"/>
      <c r="AFO716" s="5"/>
      <c r="AFP716" s="5"/>
      <c r="AFQ716" s="5"/>
      <c r="AFR716" s="5"/>
      <c r="AFS716" s="5"/>
      <c r="AFT716" s="5"/>
      <c r="AFU716" s="5"/>
      <c r="AFV716" s="5"/>
      <c r="AFW716" s="5"/>
      <c r="AFX716" s="5"/>
      <c r="AFY716" s="5"/>
      <c r="AFZ716" s="5"/>
      <c r="AGA716" s="5"/>
      <c r="AGB716" s="5"/>
      <c r="AGC716" s="5"/>
      <c r="AGD716" s="5"/>
      <c r="AGE716" s="5"/>
      <c r="AGF716" s="5"/>
      <c r="AGG716" s="5"/>
      <c r="AGH716" s="5"/>
      <c r="AGI716" s="5"/>
      <c r="AGJ716" s="5"/>
      <c r="AGK716" s="5"/>
      <c r="AGL716" s="5"/>
      <c r="AGM716" s="5"/>
      <c r="AGN716" s="5"/>
      <c r="AGO716" s="5"/>
      <c r="AGP716" s="5"/>
      <c r="AGQ716" s="5"/>
      <c r="AGR716" s="5"/>
      <c r="AGS716" s="5"/>
      <c r="AGT716" s="5"/>
      <c r="AGU716" s="5"/>
      <c r="AGV716" s="5"/>
      <c r="AGW716" s="5"/>
      <c r="AGX716" s="5"/>
      <c r="AGY716" s="5"/>
      <c r="AGZ716" s="5"/>
      <c r="AHA716" s="5"/>
      <c r="AHB716" s="5"/>
      <c r="AHC716" s="5"/>
      <c r="AHD716" s="5"/>
      <c r="AHE716" s="5"/>
      <c r="AHF716" s="5"/>
      <c r="AHG716" s="5"/>
      <c r="AHH716" s="5"/>
      <c r="AHI716" s="5"/>
      <c r="AHJ716" s="5"/>
      <c r="AHK716" s="5"/>
      <c r="AHL716" s="5"/>
      <c r="AHM716" s="5"/>
      <c r="AHN716" s="5"/>
      <c r="AHO716" s="5"/>
      <c r="AHP716" s="5"/>
      <c r="AHQ716" s="5"/>
      <c r="AHR716" s="5"/>
      <c r="AHS716" s="5"/>
      <c r="AHT716" s="5"/>
      <c r="AHU716" s="5"/>
      <c r="AHV716" s="5"/>
      <c r="AHW716" s="5"/>
      <c r="AHX716" s="5"/>
      <c r="AHY716" s="5"/>
      <c r="AHZ716" s="5"/>
      <c r="AIA716" s="5"/>
      <c r="AIB716" s="5"/>
      <c r="AIC716" s="5"/>
      <c r="AID716" s="5"/>
      <c r="AIE716" s="5"/>
      <c r="AIF716" s="5"/>
      <c r="AIG716" s="5"/>
      <c r="AIH716" s="5"/>
      <c r="AII716" s="5"/>
      <c r="AIJ716" s="5"/>
      <c r="AIK716" s="5"/>
      <c r="AIL716" s="5"/>
      <c r="AIM716" s="5"/>
      <c r="AIN716" s="5"/>
      <c r="AIO716" s="5"/>
      <c r="AIP716" s="5"/>
      <c r="AIQ716" s="5"/>
      <c r="AIR716" s="5"/>
      <c r="AIS716" s="5"/>
      <c r="AIT716" s="5"/>
      <c r="AIU716" s="5"/>
      <c r="AIV716" s="5"/>
      <c r="AIW716" s="5"/>
      <c r="AIX716" s="5"/>
      <c r="AIY716" s="5"/>
      <c r="AIZ716" s="5"/>
      <c r="AJA716" s="5"/>
      <c r="AJB716" s="5"/>
      <c r="AJC716" s="5"/>
      <c r="AJD716" s="5"/>
      <c r="AJE716" s="5"/>
      <c r="AJF716" s="5"/>
      <c r="AJG716" s="5"/>
      <c r="AJH716" s="5"/>
      <c r="AJI716" s="5"/>
      <c r="AJJ716" s="5"/>
      <c r="AJK716" s="5"/>
      <c r="AJL716" s="5"/>
      <c r="AJM716" s="5"/>
      <c r="AJN716" s="5"/>
      <c r="AJO716" s="5"/>
      <c r="AJP716" s="5"/>
      <c r="AJQ716" s="5"/>
      <c r="AJR716" s="5"/>
      <c r="AJS716" s="5"/>
      <c r="AJT716" s="5"/>
      <c r="AJU716" s="5"/>
      <c r="AJV716" s="5"/>
      <c r="AJW716" s="5"/>
      <c r="AJX716" s="5"/>
      <c r="AJY716" s="5"/>
      <c r="AJZ716" s="5"/>
      <c r="AKA716" s="5"/>
      <c r="AKB716" s="5"/>
      <c r="AKC716" s="5"/>
      <c r="AKD716" s="5"/>
      <c r="AKE716" s="5"/>
      <c r="AKF716" s="5"/>
      <c r="AKG716" s="5"/>
      <c r="AKH716" s="5"/>
      <c r="AKI716" s="5"/>
      <c r="AKJ716" s="5"/>
      <c r="AKK716" s="5"/>
      <c r="AKL716" s="5"/>
      <c r="AKM716" s="5"/>
      <c r="AKN716" s="5"/>
      <c r="AKO716" s="5"/>
      <c r="AKP716" s="5"/>
      <c r="AKQ716" s="5"/>
      <c r="AKR716" s="5"/>
      <c r="AKS716" s="5"/>
      <c r="AKT716" s="5"/>
      <c r="AKU716" s="5"/>
      <c r="AKV716" s="5"/>
      <c r="AKW716" s="5"/>
      <c r="AKX716" s="5"/>
      <c r="AKY716" s="5"/>
      <c r="AKZ716" s="5"/>
      <c r="ALA716" s="5"/>
      <c r="ALB716" s="5"/>
      <c r="ALC716" s="5"/>
      <c r="ALD716" s="5"/>
      <c r="ALE716" s="5"/>
      <c r="ALF716" s="5"/>
      <c r="ALG716" s="5"/>
      <c r="ALH716" s="5"/>
      <c r="ALI716" s="5"/>
      <c r="ALJ716" s="5"/>
      <c r="ALK716" s="5"/>
      <c r="ALL716" s="5"/>
      <c r="ALM716" s="5"/>
      <c r="ALN716" s="5"/>
      <c r="ALO716" s="5"/>
      <c r="ALP716" s="5"/>
      <c r="ALQ716" s="5"/>
      <c r="ALR716" s="5"/>
      <c r="ALS716" s="5"/>
      <c r="ALT716" s="5"/>
      <c r="ALU716" s="5"/>
      <c r="ALV716" s="5"/>
      <c r="ALW716" s="5"/>
      <c r="ALX716" s="5"/>
      <c r="ALY716" s="5"/>
      <c r="ALZ716" s="5"/>
      <c r="AMA716" s="5"/>
      <c r="AMB716" s="5"/>
      <c r="AMC716" s="5"/>
      <c r="AMD716" s="5"/>
      <c r="AME716" s="5"/>
      <c r="AMF716" s="5"/>
      <c r="AMG716" s="5"/>
      <c r="AMH716" s="5"/>
      <c r="AMI716" s="5"/>
      <c r="AMJ716" s="5"/>
      <c r="AMK716" s="5"/>
      <c r="AML716" s="5"/>
      <c r="AMM716" s="5"/>
      <c r="AMN716" s="5"/>
      <c r="AMO716" s="5"/>
      <c r="AMP716" s="5"/>
      <c r="AMQ716" s="5"/>
      <c r="AMR716" s="5"/>
      <c r="AMS716" s="5"/>
      <c r="AMT716" s="5"/>
      <c r="AMU716" s="5"/>
      <c r="AMV716" s="5"/>
      <c r="AMW716" s="5"/>
      <c r="AMX716" s="5"/>
      <c r="AMY716" s="5"/>
      <c r="AMZ716" s="5"/>
      <c r="ANA716" s="5"/>
      <c r="ANB716" s="5"/>
      <c r="ANC716" s="5"/>
      <c r="AND716" s="5"/>
      <c r="ANE716" s="5"/>
      <c r="ANF716" s="5"/>
      <c r="ANG716" s="5"/>
      <c r="ANH716" s="5"/>
      <c r="ANI716" s="5"/>
      <c r="ANJ716" s="5"/>
      <c r="ANK716" s="5"/>
      <c r="ANL716" s="5"/>
      <c r="ANM716" s="5"/>
      <c r="ANN716" s="5"/>
      <c r="ANO716" s="5"/>
      <c r="ANP716" s="5"/>
      <c r="ANQ716" s="5"/>
      <c r="ANR716" s="5"/>
      <c r="ANS716" s="5"/>
      <c r="ANT716" s="5"/>
      <c r="ANU716" s="5"/>
      <c r="ANV716" s="5"/>
      <c r="ANW716" s="5"/>
      <c r="ANX716" s="5"/>
      <c r="ANY716" s="5"/>
      <c r="ANZ716" s="5"/>
      <c r="AOA716" s="5"/>
      <c r="AOB716" s="5"/>
      <c r="AOC716" s="5"/>
      <c r="AOD716" s="5"/>
      <c r="AOE716" s="5"/>
      <c r="AOF716" s="5"/>
      <c r="AOG716" s="5"/>
      <c r="AOH716" s="5"/>
      <c r="AOI716" s="5"/>
      <c r="AOJ716" s="5"/>
      <c r="AOK716" s="5"/>
      <c r="AOL716" s="5"/>
      <c r="AOM716" s="5"/>
      <c r="AON716" s="5"/>
      <c r="AOO716" s="5"/>
      <c r="AOP716" s="5"/>
      <c r="AOQ716" s="5"/>
      <c r="AOR716" s="5"/>
      <c r="AOS716" s="5"/>
      <c r="AOT716" s="5"/>
      <c r="AOU716" s="5"/>
      <c r="AOV716" s="5"/>
      <c r="AOW716" s="5"/>
      <c r="AOX716" s="5"/>
      <c r="AOY716" s="5"/>
      <c r="AOZ716" s="5"/>
      <c r="APA716" s="5"/>
      <c r="APB716" s="5"/>
      <c r="APC716" s="5"/>
      <c r="APD716" s="5"/>
      <c r="APE716" s="5"/>
      <c r="APF716" s="5"/>
      <c r="APG716" s="5"/>
      <c r="APH716" s="5"/>
      <c r="API716" s="5"/>
      <c r="APJ716" s="5"/>
      <c r="APK716" s="5"/>
      <c r="APL716" s="5"/>
      <c r="APM716" s="5"/>
      <c r="APN716" s="5"/>
      <c r="APO716" s="5"/>
      <c r="APP716" s="5"/>
      <c r="APQ716" s="5"/>
      <c r="APR716" s="5"/>
      <c r="APS716" s="5"/>
      <c r="APT716" s="5"/>
      <c r="APU716" s="5"/>
      <c r="APV716" s="5"/>
      <c r="APW716" s="5"/>
      <c r="APX716" s="5"/>
      <c r="APY716" s="5"/>
      <c r="APZ716" s="5"/>
      <c r="AQA716" s="5"/>
      <c r="AQB716" s="5"/>
      <c r="AQC716" s="5"/>
      <c r="AQD716" s="5"/>
      <c r="AQE716" s="5"/>
      <c r="AQF716" s="5"/>
      <c r="AQG716" s="5"/>
      <c r="AQH716" s="5"/>
      <c r="AQI716" s="5"/>
      <c r="AQJ716" s="5"/>
      <c r="AQK716" s="5"/>
      <c r="AQL716" s="5"/>
      <c r="AQM716" s="5"/>
      <c r="AQN716" s="5"/>
      <c r="AQO716" s="5"/>
      <c r="AQP716" s="5"/>
      <c r="AQQ716" s="5"/>
      <c r="AQR716" s="5"/>
      <c r="AQS716" s="5"/>
      <c r="AQT716" s="5"/>
      <c r="AQU716" s="5"/>
      <c r="AQV716" s="5"/>
      <c r="AQW716" s="5"/>
      <c r="AQX716" s="5"/>
      <c r="AQY716" s="5"/>
      <c r="AQZ716" s="5"/>
      <c r="ARA716" s="5"/>
      <c r="ARB716" s="5"/>
      <c r="ARC716" s="5"/>
      <c r="ARD716" s="5"/>
      <c r="ARE716" s="5"/>
      <c r="ARF716" s="5"/>
      <c r="ARG716" s="5"/>
      <c r="ARH716" s="5"/>
      <c r="ARI716" s="5"/>
      <c r="ARJ716" s="5"/>
      <c r="ARK716" s="5"/>
      <c r="ARL716" s="5"/>
      <c r="ARM716" s="5"/>
      <c r="ARN716" s="5"/>
      <c r="ARO716" s="5"/>
      <c r="ARP716" s="5"/>
      <c r="ARQ716" s="5"/>
      <c r="ARR716" s="5"/>
      <c r="ARS716" s="5"/>
      <c r="ART716" s="5"/>
      <c r="ARU716" s="5"/>
      <c r="ARV716" s="5"/>
      <c r="ARW716" s="5"/>
      <c r="ARX716" s="5"/>
      <c r="ARY716" s="5"/>
      <c r="ARZ716" s="5"/>
      <c r="ASA716" s="5"/>
      <c r="ASB716" s="5"/>
      <c r="ASC716" s="5"/>
      <c r="ASD716" s="5"/>
      <c r="ASE716" s="5"/>
      <c r="ASF716" s="5"/>
      <c r="ASG716" s="5"/>
      <c r="ASH716" s="5"/>
      <c r="ASI716" s="5"/>
      <c r="ASJ716" s="5"/>
      <c r="ASK716" s="5"/>
      <c r="ASL716" s="5"/>
      <c r="ASM716" s="5"/>
      <c r="ASN716" s="5"/>
      <c r="ASO716" s="5"/>
      <c r="ASP716" s="5"/>
      <c r="ASQ716" s="5"/>
      <c r="ASR716" s="5"/>
      <c r="ASS716" s="5"/>
      <c r="AST716" s="5"/>
      <c r="ASU716" s="5"/>
      <c r="ASV716" s="5"/>
      <c r="ASW716" s="5"/>
      <c r="ASX716" s="5"/>
      <c r="ASY716" s="5"/>
      <c r="ASZ716" s="5"/>
      <c r="ATA716" s="5"/>
      <c r="ATB716" s="5"/>
      <c r="ATC716" s="5"/>
      <c r="ATD716" s="5"/>
      <c r="ATE716" s="5"/>
      <c r="ATF716" s="5"/>
      <c r="ATG716" s="5"/>
      <c r="ATH716" s="5"/>
      <c r="ATI716" s="5"/>
      <c r="ATJ716" s="5"/>
      <c r="ATK716" s="5"/>
      <c r="ATL716" s="5"/>
      <c r="ATM716" s="5"/>
      <c r="ATN716" s="5"/>
      <c r="ATO716" s="5"/>
      <c r="ATP716" s="5"/>
      <c r="ATQ716" s="5"/>
      <c r="ATR716" s="5"/>
      <c r="ATS716" s="5"/>
      <c r="ATT716" s="5"/>
      <c r="ATU716" s="5"/>
      <c r="ATV716" s="5"/>
      <c r="ATW716" s="5"/>
      <c r="ATX716" s="5"/>
    </row>
    <row r="717" spans="1:1220" s="67" customFormat="1" ht="12.75" customHeight="1" x14ac:dyDescent="0.35">
      <c r="A717" s="76" t="s">
        <v>229</v>
      </c>
      <c r="B717" s="99" t="s">
        <v>265</v>
      </c>
      <c r="C717" s="76" t="s">
        <v>2617</v>
      </c>
      <c r="D717" s="142" t="s">
        <v>2617</v>
      </c>
      <c r="E717" s="76"/>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5"/>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s="5"/>
      <c r="FG717" s="5"/>
      <c r="FH717" s="5"/>
      <c r="FI717" s="5"/>
      <c r="FJ717" s="5"/>
      <c r="FK717" s="5"/>
      <c r="FL717" s="5"/>
      <c r="FM717" s="5"/>
      <c r="FN717" s="5"/>
      <c r="FO717" s="5"/>
      <c r="FP717" s="5"/>
      <c r="FQ717" s="5"/>
      <c r="FR717" s="5"/>
      <c r="FS717" s="5"/>
      <c r="FT717" s="5"/>
      <c r="FU717" s="5"/>
      <c r="FV717" s="5"/>
      <c r="FW717" s="5"/>
      <c r="FX717" s="5"/>
      <c r="FY717" s="5"/>
      <c r="FZ717" s="5"/>
      <c r="GA717" s="5"/>
      <c r="GB717" s="5"/>
      <c r="GC717" s="5"/>
      <c r="GD717" s="5"/>
      <c r="GE717" s="5"/>
      <c r="GF717" s="5"/>
      <c r="GG717" s="5"/>
      <c r="GH717" s="5"/>
      <c r="GI717" s="5"/>
      <c r="GJ717" s="5"/>
      <c r="GK717" s="5"/>
      <c r="GL717" s="5"/>
      <c r="GM717" s="5"/>
      <c r="GN717" s="5"/>
      <c r="GO717" s="5"/>
      <c r="GP717" s="5"/>
      <c r="GQ717" s="5"/>
      <c r="GR717" s="5"/>
      <c r="GS717" s="5"/>
      <c r="GT717" s="5"/>
      <c r="GU717" s="5"/>
      <c r="GV717" s="5"/>
      <c r="GW717" s="5"/>
      <c r="GX717" s="5"/>
      <c r="GY717" s="5"/>
      <c r="GZ717" s="5"/>
      <c r="HA717" s="5"/>
      <c r="HB717" s="5"/>
      <c r="HC717" s="5"/>
      <c r="HD717" s="5"/>
      <c r="HE717" s="5"/>
      <c r="HF717" s="5"/>
      <c r="HG717" s="5"/>
      <c r="HH717" s="5"/>
      <c r="HI717" s="5"/>
      <c r="HJ717" s="5"/>
      <c r="HK717" s="5"/>
      <c r="HL717" s="5"/>
      <c r="HM717" s="5"/>
      <c r="HN717" s="5"/>
      <c r="HO717" s="5"/>
      <c r="HP717" s="5"/>
      <c r="HQ717" s="5"/>
      <c r="HR717" s="5"/>
      <c r="HS717" s="5"/>
      <c r="HT717" s="5"/>
      <c r="HU717" s="5"/>
      <c r="HV717" s="5"/>
      <c r="HW717" s="5"/>
      <c r="HX717" s="5"/>
      <c r="HY717" s="5"/>
      <c r="HZ717" s="5"/>
      <c r="IA717" s="5"/>
      <c r="IB717" s="5"/>
      <c r="IC717" s="5"/>
      <c r="ID717" s="5"/>
      <c r="IE717" s="5"/>
      <c r="IF717" s="5"/>
      <c r="IG717" s="5"/>
      <c r="IH717" s="5"/>
      <c r="II717" s="5"/>
      <c r="IJ717" s="5"/>
      <c r="IK717" s="5"/>
      <c r="IL717" s="5"/>
      <c r="IM717" s="5"/>
      <c r="IN717" s="5"/>
      <c r="IO717" s="5"/>
      <c r="IP717" s="5"/>
      <c r="IQ717" s="5"/>
      <c r="IR717" s="5"/>
      <c r="IS717" s="5"/>
      <c r="IT717" s="5"/>
      <c r="IU717" s="5"/>
      <c r="IV717" s="5"/>
      <c r="IW717" s="5"/>
      <c r="IX717" s="5"/>
      <c r="IY717" s="5"/>
      <c r="IZ717" s="5"/>
      <c r="JA717" s="5"/>
      <c r="JB717" s="5"/>
      <c r="JC717" s="5"/>
      <c r="JD717" s="5"/>
      <c r="JE717" s="5"/>
      <c r="JF717" s="5"/>
      <c r="JG717" s="5"/>
      <c r="JH717" s="5"/>
      <c r="JI717" s="5"/>
      <c r="JJ717" s="5"/>
      <c r="JK717" s="5"/>
      <c r="JL717" s="5"/>
      <c r="JM717" s="5"/>
      <c r="JN717" s="5"/>
      <c r="JO717" s="5"/>
      <c r="JP717" s="5"/>
      <c r="JQ717" s="5"/>
      <c r="JR717" s="5"/>
      <c r="JS717" s="5"/>
      <c r="JT717" s="5"/>
      <c r="JU717" s="5"/>
      <c r="JV717" s="5"/>
      <c r="JW717" s="5"/>
      <c r="JX717" s="5"/>
      <c r="JY717" s="5"/>
      <c r="JZ717" s="5"/>
      <c r="KA717" s="5"/>
      <c r="KB717" s="5"/>
      <c r="KC717" s="5"/>
      <c r="KD717" s="5"/>
      <c r="KE717" s="5"/>
      <c r="KF717" s="5"/>
      <c r="KG717" s="5"/>
      <c r="KH717" s="5"/>
      <c r="KI717" s="5"/>
      <c r="KJ717" s="5"/>
      <c r="KK717" s="5"/>
      <c r="KL717" s="5"/>
      <c r="KM717" s="5"/>
      <c r="KN717" s="5"/>
      <c r="KO717" s="5"/>
      <c r="KP717" s="5"/>
      <c r="KQ717" s="5"/>
      <c r="KR717" s="5"/>
      <c r="KS717" s="5"/>
      <c r="KT717" s="5"/>
      <c r="KU717" s="5"/>
      <c r="KV717" s="5"/>
      <c r="KW717" s="5"/>
      <c r="KX717" s="5"/>
      <c r="KY717" s="5"/>
      <c r="KZ717" s="5"/>
      <c r="LA717" s="5"/>
      <c r="LB717" s="5"/>
      <c r="LC717" s="5"/>
      <c r="LD717" s="5"/>
      <c r="LE717" s="5"/>
      <c r="LF717" s="5"/>
      <c r="LG717" s="5"/>
      <c r="LH717" s="5"/>
      <c r="LI717" s="5"/>
      <c r="LJ717" s="5"/>
      <c r="LK717" s="5"/>
      <c r="LL717" s="5"/>
      <c r="LM717" s="5"/>
      <c r="LN717" s="5"/>
      <c r="LO717" s="5"/>
      <c r="LP717" s="5"/>
      <c r="LQ717" s="5"/>
      <c r="LR717" s="5"/>
      <c r="LS717" s="5"/>
      <c r="LT717" s="5"/>
      <c r="LU717" s="5"/>
      <c r="LV717" s="5"/>
      <c r="LW717" s="5"/>
      <c r="LX717" s="5"/>
      <c r="LY717" s="5"/>
      <c r="LZ717" s="5"/>
      <c r="MA717" s="5"/>
      <c r="MB717" s="5"/>
      <c r="MC717" s="5"/>
      <c r="MD717" s="5"/>
      <c r="ME717" s="5"/>
      <c r="MF717" s="5"/>
      <c r="MG717" s="5"/>
      <c r="MH717" s="5"/>
      <c r="MI717" s="5"/>
      <c r="MJ717" s="5"/>
      <c r="MK717" s="5"/>
      <c r="ML717" s="5"/>
      <c r="MM717" s="5"/>
      <c r="MN717" s="5"/>
      <c r="MO717" s="5"/>
      <c r="MP717" s="5"/>
      <c r="MQ717" s="5"/>
      <c r="MR717" s="5"/>
      <c r="MS717" s="5"/>
      <c r="MT717" s="5"/>
      <c r="MU717" s="5"/>
      <c r="MV717" s="5"/>
      <c r="MW717" s="5"/>
      <c r="MX717" s="5"/>
      <c r="MY717" s="5"/>
      <c r="MZ717" s="5"/>
      <c r="NA717" s="5"/>
      <c r="NB717" s="5"/>
      <c r="NC717" s="5"/>
      <c r="ND717" s="5"/>
      <c r="NE717" s="5"/>
      <c r="NF717" s="5"/>
      <c r="NG717" s="5"/>
      <c r="NH717" s="5"/>
      <c r="NI717" s="5"/>
      <c r="NJ717" s="5"/>
      <c r="NK717" s="5"/>
      <c r="NL717" s="5"/>
      <c r="NM717" s="5"/>
      <c r="NN717" s="5"/>
      <c r="NO717" s="5"/>
      <c r="NP717" s="5"/>
      <c r="NQ717" s="5"/>
      <c r="NR717" s="5"/>
      <c r="NS717" s="5"/>
      <c r="NT717" s="5"/>
      <c r="NU717" s="5"/>
      <c r="NV717" s="5"/>
      <c r="NW717" s="5"/>
      <c r="NX717" s="5"/>
      <c r="NY717" s="5"/>
      <c r="NZ717" s="5"/>
      <c r="OA717" s="5"/>
      <c r="OB717" s="5"/>
      <c r="OC717" s="5"/>
      <c r="OD717" s="5"/>
      <c r="OE717" s="5"/>
      <c r="OF717" s="5"/>
      <c r="OG717" s="5"/>
      <c r="OH717" s="5"/>
      <c r="OI717" s="5"/>
      <c r="OJ717" s="5"/>
      <c r="OK717" s="5"/>
      <c r="OL717" s="5"/>
      <c r="OM717" s="5"/>
      <c r="ON717" s="5"/>
      <c r="OO717" s="5"/>
      <c r="OP717" s="5"/>
      <c r="OQ717" s="5"/>
      <c r="OR717" s="5"/>
      <c r="OS717" s="5"/>
      <c r="OT717" s="5"/>
      <c r="OU717" s="5"/>
      <c r="OV717" s="5"/>
      <c r="OW717" s="5"/>
      <c r="OX717" s="5"/>
      <c r="OY717" s="5"/>
      <c r="OZ717" s="5"/>
      <c r="PA717" s="5"/>
      <c r="PB717" s="5"/>
      <c r="PC717" s="5"/>
      <c r="PD717" s="5"/>
      <c r="PE717" s="5"/>
      <c r="PF717" s="5"/>
      <c r="PG717" s="5"/>
      <c r="PH717" s="5"/>
      <c r="PI717" s="5"/>
      <c r="PJ717" s="5"/>
      <c r="PK717" s="5"/>
      <c r="PL717" s="5"/>
      <c r="PM717" s="5"/>
      <c r="PN717" s="5"/>
      <c r="PO717" s="5"/>
      <c r="PP717" s="5"/>
      <c r="PQ717" s="5"/>
      <c r="PR717" s="5"/>
      <c r="PS717" s="5"/>
      <c r="PT717" s="5"/>
      <c r="PU717" s="5"/>
      <c r="PV717" s="5"/>
      <c r="PW717" s="5"/>
      <c r="PX717" s="5"/>
      <c r="PY717" s="5"/>
      <c r="PZ717" s="5"/>
      <c r="QA717" s="5"/>
      <c r="QB717" s="5"/>
      <c r="QC717" s="5"/>
      <c r="QD717" s="5"/>
      <c r="QE717" s="5"/>
      <c r="QF717" s="5"/>
      <c r="QG717" s="5"/>
      <c r="QH717" s="5"/>
      <c r="QI717" s="5"/>
      <c r="QJ717" s="5"/>
      <c r="QK717" s="5"/>
      <c r="QL717" s="5"/>
      <c r="QM717" s="5"/>
      <c r="QN717" s="5"/>
      <c r="QO717" s="5"/>
      <c r="QP717" s="5"/>
      <c r="QQ717" s="5"/>
      <c r="QR717" s="5"/>
      <c r="QS717" s="5"/>
      <c r="QT717" s="5"/>
      <c r="QU717" s="5"/>
      <c r="QV717" s="5"/>
      <c r="QW717" s="5"/>
      <c r="QX717" s="5"/>
      <c r="QY717" s="5"/>
      <c r="QZ717" s="5"/>
      <c r="RA717" s="5"/>
      <c r="RB717" s="5"/>
      <c r="RC717" s="5"/>
      <c r="RD717" s="5"/>
      <c r="RE717" s="5"/>
      <c r="RF717" s="5"/>
      <c r="RG717" s="5"/>
      <c r="RH717" s="5"/>
      <c r="RI717" s="5"/>
      <c r="RJ717" s="5"/>
      <c r="RK717" s="5"/>
      <c r="RL717" s="5"/>
      <c r="RM717" s="5"/>
      <c r="RN717" s="5"/>
      <c r="RO717" s="5"/>
      <c r="RP717" s="5"/>
      <c r="RQ717" s="5"/>
      <c r="RR717" s="5"/>
      <c r="RS717" s="5"/>
      <c r="RT717" s="5"/>
      <c r="RU717" s="5"/>
      <c r="RV717" s="5"/>
      <c r="RW717" s="5"/>
      <c r="RX717" s="5"/>
      <c r="RY717" s="5"/>
      <c r="RZ717" s="5"/>
      <c r="SA717" s="5"/>
      <c r="SB717" s="5"/>
      <c r="SC717" s="5"/>
      <c r="SD717" s="5"/>
      <c r="SE717" s="5"/>
      <c r="SF717" s="5"/>
      <c r="SG717" s="5"/>
      <c r="SH717" s="5"/>
      <c r="SI717" s="5"/>
      <c r="SJ717" s="5"/>
      <c r="SK717" s="5"/>
      <c r="SL717" s="5"/>
      <c r="SM717" s="5"/>
      <c r="SN717" s="5"/>
      <c r="SO717" s="5"/>
      <c r="SP717" s="5"/>
      <c r="SQ717" s="5"/>
      <c r="SR717" s="5"/>
      <c r="SS717" s="5"/>
      <c r="ST717" s="5"/>
      <c r="SU717" s="5"/>
      <c r="SV717" s="5"/>
      <c r="SW717" s="5"/>
      <c r="SX717" s="5"/>
      <c r="SY717" s="5"/>
      <c r="SZ717" s="5"/>
      <c r="TA717" s="5"/>
      <c r="TB717" s="5"/>
      <c r="TC717" s="5"/>
      <c r="TD717" s="5"/>
      <c r="TE717" s="5"/>
      <c r="TF717" s="5"/>
      <c r="TG717" s="5"/>
      <c r="TH717" s="5"/>
      <c r="TI717" s="5"/>
      <c r="TJ717" s="5"/>
      <c r="TK717" s="5"/>
      <c r="TL717" s="5"/>
      <c r="TM717" s="5"/>
      <c r="TN717" s="5"/>
      <c r="TO717" s="5"/>
      <c r="TP717" s="5"/>
      <c r="TQ717" s="5"/>
      <c r="TR717" s="5"/>
      <c r="TS717" s="5"/>
      <c r="TT717" s="5"/>
      <c r="TU717" s="5"/>
      <c r="TV717" s="5"/>
      <c r="TW717" s="5"/>
      <c r="TX717" s="5"/>
      <c r="TY717" s="5"/>
      <c r="TZ717" s="5"/>
      <c r="UA717" s="5"/>
      <c r="UB717" s="5"/>
      <c r="UC717" s="5"/>
      <c r="UD717" s="5"/>
      <c r="UE717" s="5"/>
      <c r="UF717" s="5"/>
      <c r="UG717" s="5"/>
      <c r="UH717" s="5"/>
      <c r="UI717" s="5"/>
      <c r="UJ717" s="5"/>
      <c r="UK717" s="5"/>
      <c r="UL717" s="5"/>
      <c r="UM717" s="5"/>
      <c r="UN717" s="5"/>
      <c r="UO717" s="5"/>
      <c r="UP717" s="5"/>
      <c r="UQ717" s="5"/>
      <c r="UR717" s="5"/>
      <c r="US717" s="5"/>
      <c r="UT717" s="5"/>
      <c r="UU717" s="5"/>
      <c r="UV717" s="5"/>
      <c r="UW717" s="5"/>
      <c r="UX717" s="5"/>
      <c r="UY717" s="5"/>
      <c r="UZ717" s="5"/>
      <c r="VA717" s="5"/>
      <c r="VB717" s="5"/>
      <c r="VC717" s="5"/>
      <c r="VD717" s="5"/>
      <c r="VE717" s="5"/>
      <c r="VF717" s="5"/>
      <c r="VG717" s="5"/>
      <c r="VH717" s="5"/>
      <c r="VI717" s="5"/>
      <c r="VJ717" s="5"/>
      <c r="VK717" s="5"/>
      <c r="VL717" s="5"/>
      <c r="VM717" s="5"/>
      <c r="VN717" s="5"/>
      <c r="VO717" s="5"/>
      <c r="VP717" s="5"/>
      <c r="VQ717" s="5"/>
      <c r="VR717" s="5"/>
      <c r="VS717" s="5"/>
      <c r="VT717" s="5"/>
      <c r="VU717" s="5"/>
      <c r="VV717" s="5"/>
      <c r="VW717" s="5"/>
      <c r="VX717" s="5"/>
      <c r="VY717" s="5"/>
      <c r="VZ717" s="5"/>
      <c r="WA717" s="5"/>
      <c r="WB717" s="5"/>
      <c r="WC717" s="5"/>
      <c r="WD717" s="5"/>
      <c r="WE717" s="5"/>
      <c r="WF717" s="5"/>
      <c r="WG717" s="5"/>
      <c r="WH717" s="5"/>
      <c r="WI717" s="5"/>
      <c r="WJ717" s="5"/>
      <c r="WK717" s="5"/>
      <c r="WL717" s="5"/>
      <c r="WM717" s="5"/>
      <c r="WN717" s="5"/>
      <c r="WO717" s="5"/>
      <c r="WP717" s="5"/>
      <c r="WQ717" s="5"/>
      <c r="WR717" s="5"/>
      <c r="WS717" s="5"/>
      <c r="WT717" s="5"/>
      <c r="WU717" s="5"/>
      <c r="WV717" s="5"/>
      <c r="WW717" s="5"/>
      <c r="WX717" s="5"/>
      <c r="WY717" s="5"/>
      <c r="WZ717" s="5"/>
      <c r="XA717" s="5"/>
      <c r="XB717" s="5"/>
      <c r="XC717" s="5"/>
      <c r="XD717" s="5"/>
      <c r="XE717" s="5"/>
      <c r="XF717" s="5"/>
      <c r="XG717" s="5"/>
      <c r="XH717" s="5"/>
      <c r="XI717" s="5"/>
      <c r="XJ717" s="5"/>
      <c r="XK717" s="5"/>
      <c r="XL717" s="5"/>
      <c r="XM717" s="5"/>
      <c r="XN717" s="5"/>
      <c r="XO717" s="5"/>
      <c r="XP717" s="5"/>
      <c r="XQ717" s="5"/>
      <c r="XR717" s="5"/>
      <c r="XS717" s="5"/>
      <c r="XT717" s="5"/>
      <c r="XU717" s="5"/>
      <c r="XV717" s="5"/>
      <c r="XW717" s="5"/>
      <c r="XX717" s="5"/>
      <c r="XY717" s="5"/>
      <c r="XZ717" s="5"/>
      <c r="YA717" s="5"/>
      <c r="YB717" s="5"/>
      <c r="YC717" s="5"/>
      <c r="YD717" s="5"/>
      <c r="YE717" s="5"/>
      <c r="YF717" s="5"/>
      <c r="YG717" s="5"/>
      <c r="YH717" s="5"/>
      <c r="YI717" s="5"/>
      <c r="YJ717" s="5"/>
      <c r="YK717" s="5"/>
      <c r="YL717" s="5"/>
      <c r="YM717" s="5"/>
      <c r="YN717" s="5"/>
      <c r="YO717" s="5"/>
      <c r="YP717" s="5"/>
      <c r="YQ717" s="5"/>
      <c r="YR717" s="5"/>
      <c r="YS717" s="5"/>
      <c r="YT717" s="5"/>
      <c r="YU717" s="5"/>
      <c r="YV717" s="5"/>
      <c r="YW717" s="5"/>
      <c r="YX717" s="5"/>
      <c r="YY717" s="5"/>
      <c r="YZ717" s="5"/>
      <c r="ZA717" s="5"/>
      <c r="ZB717" s="5"/>
      <c r="ZC717" s="5"/>
      <c r="ZD717" s="5"/>
      <c r="ZE717" s="5"/>
      <c r="ZF717" s="5"/>
      <c r="ZG717" s="5"/>
      <c r="ZH717" s="5"/>
      <c r="ZI717" s="5"/>
      <c r="ZJ717" s="5"/>
      <c r="ZK717" s="5"/>
      <c r="ZL717" s="5"/>
      <c r="ZM717" s="5"/>
      <c r="ZN717" s="5"/>
      <c r="ZO717" s="5"/>
      <c r="ZP717" s="5"/>
      <c r="ZQ717" s="5"/>
      <c r="ZR717" s="5"/>
      <c r="ZS717" s="5"/>
      <c r="ZT717" s="5"/>
      <c r="ZU717" s="5"/>
      <c r="ZV717" s="5"/>
      <c r="ZW717" s="5"/>
      <c r="ZX717" s="5"/>
      <c r="ZY717" s="5"/>
      <c r="ZZ717" s="5"/>
      <c r="AAA717" s="5"/>
      <c r="AAB717" s="5"/>
      <c r="AAC717" s="5"/>
      <c r="AAD717" s="5"/>
      <c r="AAE717" s="5"/>
      <c r="AAF717" s="5"/>
      <c r="AAG717" s="5"/>
      <c r="AAH717" s="5"/>
      <c r="AAI717" s="5"/>
      <c r="AAJ717" s="5"/>
      <c r="AAK717" s="5"/>
      <c r="AAL717" s="5"/>
      <c r="AAM717" s="5"/>
      <c r="AAN717" s="5"/>
      <c r="AAO717" s="5"/>
      <c r="AAP717" s="5"/>
      <c r="AAQ717" s="5"/>
      <c r="AAR717" s="5"/>
      <c r="AAS717" s="5"/>
      <c r="AAT717" s="5"/>
      <c r="AAU717" s="5"/>
      <c r="AAV717" s="5"/>
      <c r="AAW717" s="5"/>
      <c r="AAX717" s="5"/>
      <c r="AAY717" s="5"/>
      <c r="AAZ717" s="5"/>
      <c r="ABA717" s="5"/>
      <c r="ABB717" s="5"/>
      <c r="ABC717" s="5"/>
      <c r="ABD717" s="5"/>
      <c r="ABE717" s="5"/>
      <c r="ABF717" s="5"/>
      <c r="ABG717" s="5"/>
      <c r="ABH717" s="5"/>
      <c r="ABI717" s="5"/>
      <c r="ABJ717" s="5"/>
      <c r="ABK717" s="5"/>
      <c r="ABL717" s="5"/>
      <c r="ABM717" s="5"/>
      <c r="ABN717" s="5"/>
      <c r="ABO717" s="5"/>
      <c r="ABP717" s="5"/>
      <c r="ABQ717" s="5"/>
      <c r="ABR717" s="5"/>
      <c r="ABS717" s="5"/>
      <c r="ABT717" s="5"/>
      <c r="ABU717" s="5"/>
      <c r="ABV717" s="5"/>
      <c r="ABW717" s="5"/>
      <c r="ABX717" s="5"/>
      <c r="ABY717" s="5"/>
      <c r="ABZ717" s="5"/>
      <c r="ACA717" s="5"/>
      <c r="ACB717" s="5"/>
      <c r="ACC717" s="5"/>
      <c r="ACD717" s="5"/>
      <c r="ACE717" s="5"/>
      <c r="ACF717" s="5"/>
      <c r="ACG717" s="5"/>
      <c r="ACH717" s="5"/>
      <c r="ACI717" s="5"/>
      <c r="ACJ717" s="5"/>
      <c r="ACK717" s="5"/>
      <c r="ACL717" s="5"/>
      <c r="ACM717" s="5"/>
      <c r="ACN717" s="5"/>
      <c r="ACO717" s="5"/>
      <c r="ACP717" s="5"/>
      <c r="ACQ717" s="5"/>
      <c r="ACR717" s="5"/>
      <c r="ACS717" s="5"/>
      <c r="ACT717" s="5"/>
      <c r="ACU717" s="5"/>
      <c r="ACV717" s="5"/>
      <c r="ACW717" s="5"/>
      <c r="ACX717" s="5"/>
      <c r="ACY717" s="5"/>
      <c r="ACZ717" s="5"/>
      <c r="ADA717" s="5"/>
      <c r="ADB717" s="5"/>
      <c r="ADC717" s="5"/>
      <c r="ADD717" s="5"/>
      <c r="ADE717" s="5"/>
      <c r="ADF717" s="5"/>
      <c r="ADG717" s="5"/>
      <c r="ADH717" s="5"/>
      <c r="ADI717" s="5"/>
      <c r="ADJ717" s="5"/>
      <c r="ADK717" s="5"/>
      <c r="ADL717" s="5"/>
      <c r="ADM717" s="5"/>
      <c r="ADN717" s="5"/>
      <c r="ADO717" s="5"/>
      <c r="ADP717" s="5"/>
      <c r="ADQ717" s="5"/>
      <c r="ADR717" s="5"/>
      <c r="ADS717" s="5"/>
      <c r="ADT717" s="5"/>
      <c r="ADU717" s="5"/>
      <c r="ADV717" s="5"/>
      <c r="ADW717" s="5"/>
      <c r="ADX717" s="5"/>
      <c r="ADY717" s="5"/>
      <c r="ADZ717" s="5"/>
      <c r="AEA717" s="5"/>
      <c r="AEB717" s="5"/>
      <c r="AEC717" s="5"/>
      <c r="AED717" s="5"/>
      <c r="AEE717" s="5"/>
      <c r="AEF717" s="5"/>
      <c r="AEG717" s="5"/>
      <c r="AEH717" s="5"/>
      <c r="AEI717" s="5"/>
      <c r="AEJ717" s="5"/>
      <c r="AEK717" s="5"/>
      <c r="AEL717" s="5"/>
      <c r="AEM717" s="5"/>
      <c r="AEN717" s="5"/>
      <c r="AEO717" s="5"/>
      <c r="AEP717" s="5"/>
      <c r="AEQ717" s="5"/>
      <c r="AER717" s="5"/>
      <c r="AES717" s="5"/>
      <c r="AET717" s="5"/>
      <c r="AEU717" s="5"/>
      <c r="AEV717" s="5"/>
      <c r="AEW717" s="5"/>
      <c r="AEX717" s="5"/>
      <c r="AEY717" s="5"/>
      <c r="AEZ717" s="5"/>
      <c r="AFA717" s="5"/>
      <c r="AFB717" s="5"/>
      <c r="AFC717" s="5"/>
      <c r="AFD717" s="5"/>
      <c r="AFE717" s="5"/>
      <c r="AFF717" s="5"/>
      <c r="AFG717" s="5"/>
      <c r="AFH717" s="5"/>
      <c r="AFI717" s="5"/>
      <c r="AFJ717" s="5"/>
      <c r="AFK717" s="5"/>
      <c r="AFL717" s="5"/>
      <c r="AFM717" s="5"/>
      <c r="AFN717" s="5"/>
      <c r="AFO717" s="5"/>
      <c r="AFP717" s="5"/>
      <c r="AFQ717" s="5"/>
      <c r="AFR717" s="5"/>
      <c r="AFS717" s="5"/>
      <c r="AFT717" s="5"/>
      <c r="AFU717" s="5"/>
      <c r="AFV717" s="5"/>
      <c r="AFW717" s="5"/>
      <c r="AFX717" s="5"/>
      <c r="AFY717" s="5"/>
      <c r="AFZ717" s="5"/>
      <c r="AGA717" s="5"/>
      <c r="AGB717" s="5"/>
      <c r="AGC717" s="5"/>
      <c r="AGD717" s="5"/>
      <c r="AGE717" s="5"/>
      <c r="AGF717" s="5"/>
      <c r="AGG717" s="5"/>
      <c r="AGH717" s="5"/>
      <c r="AGI717" s="5"/>
      <c r="AGJ717" s="5"/>
      <c r="AGK717" s="5"/>
      <c r="AGL717" s="5"/>
      <c r="AGM717" s="5"/>
      <c r="AGN717" s="5"/>
      <c r="AGO717" s="5"/>
      <c r="AGP717" s="5"/>
      <c r="AGQ717" s="5"/>
      <c r="AGR717" s="5"/>
      <c r="AGS717" s="5"/>
      <c r="AGT717" s="5"/>
      <c r="AGU717" s="5"/>
      <c r="AGV717" s="5"/>
      <c r="AGW717" s="5"/>
      <c r="AGX717" s="5"/>
      <c r="AGY717" s="5"/>
      <c r="AGZ717" s="5"/>
      <c r="AHA717" s="5"/>
      <c r="AHB717" s="5"/>
      <c r="AHC717" s="5"/>
      <c r="AHD717" s="5"/>
      <c r="AHE717" s="5"/>
      <c r="AHF717" s="5"/>
      <c r="AHG717" s="5"/>
      <c r="AHH717" s="5"/>
      <c r="AHI717" s="5"/>
      <c r="AHJ717" s="5"/>
      <c r="AHK717" s="5"/>
      <c r="AHL717" s="5"/>
      <c r="AHM717" s="5"/>
      <c r="AHN717" s="5"/>
      <c r="AHO717" s="5"/>
      <c r="AHP717" s="5"/>
      <c r="AHQ717" s="5"/>
      <c r="AHR717" s="5"/>
      <c r="AHS717" s="5"/>
      <c r="AHT717" s="5"/>
      <c r="AHU717" s="5"/>
      <c r="AHV717" s="5"/>
      <c r="AHW717" s="5"/>
      <c r="AHX717" s="5"/>
      <c r="AHY717" s="5"/>
      <c r="AHZ717" s="5"/>
      <c r="AIA717" s="5"/>
      <c r="AIB717" s="5"/>
      <c r="AIC717" s="5"/>
      <c r="AID717" s="5"/>
      <c r="AIE717" s="5"/>
      <c r="AIF717" s="5"/>
      <c r="AIG717" s="5"/>
      <c r="AIH717" s="5"/>
      <c r="AII717" s="5"/>
      <c r="AIJ717" s="5"/>
      <c r="AIK717" s="5"/>
      <c r="AIL717" s="5"/>
      <c r="AIM717" s="5"/>
      <c r="AIN717" s="5"/>
      <c r="AIO717" s="5"/>
      <c r="AIP717" s="5"/>
      <c r="AIQ717" s="5"/>
      <c r="AIR717" s="5"/>
      <c r="AIS717" s="5"/>
      <c r="AIT717" s="5"/>
      <c r="AIU717" s="5"/>
      <c r="AIV717" s="5"/>
      <c r="AIW717" s="5"/>
      <c r="AIX717" s="5"/>
      <c r="AIY717" s="5"/>
      <c r="AIZ717" s="5"/>
      <c r="AJA717" s="5"/>
      <c r="AJB717" s="5"/>
      <c r="AJC717" s="5"/>
      <c r="AJD717" s="5"/>
      <c r="AJE717" s="5"/>
      <c r="AJF717" s="5"/>
      <c r="AJG717" s="5"/>
      <c r="AJH717" s="5"/>
      <c r="AJI717" s="5"/>
      <c r="AJJ717" s="5"/>
      <c r="AJK717" s="5"/>
      <c r="AJL717" s="5"/>
      <c r="AJM717" s="5"/>
      <c r="AJN717" s="5"/>
      <c r="AJO717" s="5"/>
      <c r="AJP717" s="5"/>
      <c r="AJQ717" s="5"/>
      <c r="AJR717" s="5"/>
      <c r="AJS717" s="5"/>
      <c r="AJT717" s="5"/>
      <c r="AJU717" s="5"/>
      <c r="AJV717" s="5"/>
      <c r="AJW717" s="5"/>
      <c r="AJX717" s="5"/>
      <c r="AJY717" s="5"/>
      <c r="AJZ717" s="5"/>
      <c r="AKA717" s="5"/>
      <c r="AKB717" s="5"/>
      <c r="AKC717" s="5"/>
      <c r="AKD717" s="5"/>
      <c r="AKE717" s="5"/>
      <c r="AKF717" s="5"/>
      <c r="AKG717" s="5"/>
      <c r="AKH717" s="5"/>
      <c r="AKI717" s="5"/>
      <c r="AKJ717" s="5"/>
      <c r="AKK717" s="5"/>
      <c r="AKL717" s="5"/>
      <c r="AKM717" s="5"/>
      <c r="AKN717" s="5"/>
      <c r="AKO717" s="5"/>
      <c r="AKP717" s="5"/>
      <c r="AKQ717" s="5"/>
      <c r="AKR717" s="5"/>
      <c r="AKS717" s="5"/>
      <c r="AKT717" s="5"/>
      <c r="AKU717" s="5"/>
      <c r="AKV717" s="5"/>
      <c r="AKW717" s="5"/>
      <c r="AKX717" s="5"/>
      <c r="AKY717" s="5"/>
      <c r="AKZ717" s="5"/>
      <c r="ALA717" s="5"/>
      <c r="ALB717" s="5"/>
      <c r="ALC717" s="5"/>
      <c r="ALD717" s="5"/>
      <c r="ALE717" s="5"/>
      <c r="ALF717" s="5"/>
      <c r="ALG717" s="5"/>
      <c r="ALH717" s="5"/>
      <c r="ALI717" s="5"/>
      <c r="ALJ717" s="5"/>
      <c r="ALK717" s="5"/>
      <c r="ALL717" s="5"/>
      <c r="ALM717" s="5"/>
      <c r="ALN717" s="5"/>
      <c r="ALO717" s="5"/>
      <c r="ALP717" s="5"/>
      <c r="ALQ717" s="5"/>
      <c r="ALR717" s="5"/>
      <c r="ALS717" s="5"/>
      <c r="ALT717" s="5"/>
      <c r="ALU717" s="5"/>
      <c r="ALV717" s="5"/>
      <c r="ALW717" s="5"/>
      <c r="ALX717" s="5"/>
      <c r="ALY717" s="5"/>
      <c r="ALZ717" s="5"/>
      <c r="AMA717" s="5"/>
      <c r="AMB717" s="5"/>
      <c r="AMC717" s="5"/>
      <c r="AMD717" s="5"/>
      <c r="AME717" s="5"/>
      <c r="AMF717" s="5"/>
      <c r="AMG717" s="5"/>
      <c r="AMH717" s="5"/>
      <c r="AMI717" s="5"/>
      <c r="AMJ717" s="5"/>
      <c r="AMK717" s="5"/>
      <c r="AML717" s="5"/>
      <c r="AMM717" s="5"/>
      <c r="AMN717" s="5"/>
      <c r="AMO717" s="5"/>
      <c r="AMP717" s="5"/>
      <c r="AMQ717" s="5"/>
      <c r="AMR717" s="5"/>
      <c r="AMS717" s="5"/>
      <c r="AMT717" s="5"/>
      <c r="AMU717" s="5"/>
      <c r="AMV717" s="5"/>
      <c r="AMW717" s="5"/>
      <c r="AMX717" s="5"/>
      <c r="AMY717" s="5"/>
      <c r="AMZ717" s="5"/>
      <c r="ANA717" s="5"/>
      <c r="ANB717" s="5"/>
      <c r="ANC717" s="5"/>
      <c r="AND717" s="5"/>
      <c r="ANE717" s="5"/>
      <c r="ANF717" s="5"/>
      <c r="ANG717" s="5"/>
      <c r="ANH717" s="5"/>
      <c r="ANI717" s="5"/>
      <c r="ANJ717" s="5"/>
      <c r="ANK717" s="5"/>
      <c r="ANL717" s="5"/>
      <c r="ANM717" s="5"/>
      <c r="ANN717" s="5"/>
      <c r="ANO717" s="5"/>
      <c r="ANP717" s="5"/>
      <c r="ANQ717" s="5"/>
      <c r="ANR717" s="5"/>
      <c r="ANS717" s="5"/>
      <c r="ANT717" s="5"/>
      <c r="ANU717" s="5"/>
      <c r="ANV717" s="5"/>
      <c r="ANW717" s="5"/>
      <c r="ANX717" s="5"/>
      <c r="ANY717" s="5"/>
      <c r="ANZ717" s="5"/>
      <c r="AOA717" s="5"/>
      <c r="AOB717" s="5"/>
      <c r="AOC717" s="5"/>
      <c r="AOD717" s="5"/>
      <c r="AOE717" s="5"/>
      <c r="AOF717" s="5"/>
      <c r="AOG717" s="5"/>
      <c r="AOH717" s="5"/>
      <c r="AOI717" s="5"/>
      <c r="AOJ717" s="5"/>
      <c r="AOK717" s="5"/>
      <c r="AOL717" s="5"/>
      <c r="AOM717" s="5"/>
      <c r="AON717" s="5"/>
      <c r="AOO717" s="5"/>
      <c r="AOP717" s="5"/>
      <c r="AOQ717" s="5"/>
      <c r="AOR717" s="5"/>
      <c r="AOS717" s="5"/>
      <c r="AOT717" s="5"/>
      <c r="AOU717" s="5"/>
      <c r="AOV717" s="5"/>
      <c r="AOW717" s="5"/>
      <c r="AOX717" s="5"/>
      <c r="AOY717" s="5"/>
      <c r="AOZ717" s="5"/>
      <c r="APA717" s="5"/>
      <c r="APB717" s="5"/>
      <c r="APC717" s="5"/>
      <c r="APD717" s="5"/>
      <c r="APE717" s="5"/>
      <c r="APF717" s="5"/>
      <c r="APG717" s="5"/>
      <c r="APH717" s="5"/>
      <c r="API717" s="5"/>
      <c r="APJ717" s="5"/>
      <c r="APK717" s="5"/>
      <c r="APL717" s="5"/>
      <c r="APM717" s="5"/>
      <c r="APN717" s="5"/>
      <c r="APO717" s="5"/>
      <c r="APP717" s="5"/>
      <c r="APQ717" s="5"/>
      <c r="APR717" s="5"/>
      <c r="APS717" s="5"/>
      <c r="APT717" s="5"/>
      <c r="APU717" s="5"/>
      <c r="APV717" s="5"/>
      <c r="APW717" s="5"/>
      <c r="APX717" s="5"/>
      <c r="APY717" s="5"/>
      <c r="APZ717" s="5"/>
      <c r="AQA717" s="5"/>
      <c r="AQB717" s="5"/>
      <c r="AQC717" s="5"/>
      <c r="AQD717" s="5"/>
      <c r="AQE717" s="5"/>
      <c r="AQF717" s="5"/>
      <c r="AQG717" s="5"/>
      <c r="AQH717" s="5"/>
      <c r="AQI717" s="5"/>
      <c r="AQJ717" s="5"/>
      <c r="AQK717" s="5"/>
      <c r="AQL717" s="5"/>
      <c r="AQM717" s="5"/>
      <c r="AQN717" s="5"/>
      <c r="AQO717" s="5"/>
      <c r="AQP717" s="5"/>
      <c r="AQQ717" s="5"/>
      <c r="AQR717" s="5"/>
      <c r="AQS717" s="5"/>
      <c r="AQT717" s="5"/>
      <c r="AQU717" s="5"/>
      <c r="AQV717" s="5"/>
      <c r="AQW717" s="5"/>
      <c r="AQX717" s="5"/>
      <c r="AQY717" s="5"/>
      <c r="AQZ717" s="5"/>
      <c r="ARA717" s="5"/>
      <c r="ARB717" s="5"/>
      <c r="ARC717" s="5"/>
      <c r="ARD717" s="5"/>
      <c r="ARE717" s="5"/>
      <c r="ARF717" s="5"/>
      <c r="ARG717" s="5"/>
      <c r="ARH717" s="5"/>
      <c r="ARI717" s="5"/>
      <c r="ARJ717" s="5"/>
      <c r="ARK717" s="5"/>
      <c r="ARL717" s="5"/>
      <c r="ARM717" s="5"/>
      <c r="ARN717" s="5"/>
      <c r="ARO717" s="5"/>
      <c r="ARP717" s="5"/>
      <c r="ARQ717" s="5"/>
      <c r="ARR717" s="5"/>
      <c r="ARS717" s="5"/>
      <c r="ART717" s="5"/>
      <c r="ARU717" s="5"/>
      <c r="ARV717" s="5"/>
      <c r="ARW717" s="5"/>
      <c r="ARX717" s="5"/>
      <c r="ARY717" s="5"/>
      <c r="ARZ717" s="5"/>
      <c r="ASA717" s="5"/>
      <c r="ASB717" s="5"/>
      <c r="ASC717" s="5"/>
      <c r="ASD717" s="5"/>
      <c r="ASE717" s="5"/>
      <c r="ASF717" s="5"/>
      <c r="ASG717" s="5"/>
      <c r="ASH717" s="5"/>
      <c r="ASI717" s="5"/>
      <c r="ASJ717" s="5"/>
      <c r="ASK717" s="5"/>
      <c r="ASL717" s="5"/>
      <c r="ASM717" s="5"/>
      <c r="ASN717" s="5"/>
      <c r="ASO717" s="5"/>
      <c r="ASP717" s="5"/>
      <c r="ASQ717" s="5"/>
      <c r="ASR717" s="5"/>
      <c r="ASS717" s="5"/>
      <c r="AST717" s="5"/>
      <c r="ASU717" s="5"/>
      <c r="ASV717" s="5"/>
      <c r="ASW717" s="5"/>
      <c r="ASX717" s="5"/>
      <c r="ASY717" s="5"/>
      <c r="ASZ717" s="5"/>
      <c r="ATA717" s="5"/>
      <c r="ATB717" s="5"/>
      <c r="ATC717" s="5"/>
      <c r="ATD717" s="5"/>
      <c r="ATE717" s="5"/>
      <c r="ATF717" s="5"/>
      <c r="ATG717" s="5"/>
      <c r="ATH717" s="5"/>
      <c r="ATI717" s="5"/>
      <c r="ATJ717" s="5"/>
      <c r="ATK717" s="5"/>
      <c r="ATL717" s="5"/>
      <c r="ATM717" s="5"/>
      <c r="ATN717" s="5"/>
      <c r="ATO717" s="5"/>
      <c r="ATP717" s="5"/>
      <c r="ATQ717" s="5"/>
      <c r="ATR717" s="5"/>
      <c r="ATS717" s="5"/>
      <c r="ATT717" s="5"/>
      <c r="ATU717" s="5"/>
      <c r="ATV717" s="5"/>
      <c r="ATW717" s="5"/>
      <c r="ATX717" s="5"/>
    </row>
    <row r="718" spans="1:1220" s="67" customFormat="1" ht="12.75" customHeight="1" x14ac:dyDescent="0.35">
      <c r="A718" s="76" t="s">
        <v>229</v>
      </c>
      <c r="B718" s="99" t="s">
        <v>269</v>
      </c>
      <c r="C718" s="76" t="s">
        <v>2618</v>
      </c>
      <c r="D718" s="142" t="s">
        <v>2618</v>
      </c>
      <c r="E718" s="76"/>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c r="DS718" s="5"/>
      <c r="DT718" s="5"/>
      <c r="DU718" s="5"/>
      <c r="DV718" s="5"/>
      <c r="DW718" s="5"/>
      <c r="DX718" s="5"/>
      <c r="DY718" s="5"/>
      <c r="DZ718" s="5"/>
      <c r="EA718" s="5"/>
      <c r="EB718" s="5"/>
      <c r="EC718" s="5"/>
      <c r="ED718" s="5"/>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s="5"/>
      <c r="FG718" s="5"/>
      <c r="FH718" s="5"/>
      <c r="FI718" s="5"/>
      <c r="FJ718" s="5"/>
      <c r="FK718" s="5"/>
      <c r="FL718" s="5"/>
      <c r="FM718" s="5"/>
      <c r="FN718" s="5"/>
      <c r="FO718" s="5"/>
      <c r="FP718" s="5"/>
      <c r="FQ718" s="5"/>
      <c r="FR718" s="5"/>
      <c r="FS718" s="5"/>
      <c r="FT718" s="5"/>
      <c r="FU718" s="5"/>
      <c r="FV718" s="5"/>
      <c r="FW718" s="5"/>
      <c r="FX718" s="5"/>
      <c r="FY718" s="5"/>
      <c r="FZ718" s="5"/>
      <c r="GA718" s="5"/>
      <c r="GB718" s="5"/>
      <c r="GC718" s="5"/>
      <c r="GD718" s="5"/>
      <c r="GE718" s="5"/>
      <c r="GF718" s="5"/>
      <c r="GG718" s="5"/>
      <c r="GH718" s="5"/>
      <c r="GI718" s="5"/>
      <c r="GJ718" s="5"/>
      <c r="GK718" s="5"/>
      <c r="GL718" s="5"/>
      <c r="GM718" s="5"/>
      <c r="GN718" s="5"/>
      <c r="GO718" s="5"/>
      <c r="GP718" s="5"/>
      <c r="GQ718" s="5"/>
      <c r="GR718" s="5"/>
      <c r="GS718" s="5"/>
      <c r="GT718" s="5"/>
      <c r="GU718" s="5"/>
      <c r="GV718" s="5"/>
      <c r="GW718" s="5"/>
      <c r="GX718" s="5"/>
      <c r="GY718" s="5"/>
      <c r="GZ718" s="5"/>
      <c r="HA718" s="5"/>
      <c r="HB718" s="5"/>
      <c r="HC718" s="5"/>
      <c r="HD718" s="5"/>
      <c r="HE718" s="5"/>
      <c r="HF718" s="5"/>
      <c r="HG718" s="5"/>
      <c r="HH718" s="5"/>
      <c r="HI718" s="5"/>
      <c r="HJ718" s="5"/>
      <c r="HK718" s="5"/>
      <c r="HL718" s="5"/>
      <c r="HM718" s="5"/>
      <c r="HN718" s="5"/>
      <c r="HO718" s="5"/>
      <c r="HP718" s="5"/>
      <c r="HQ718" s="5"/>
      <c r="HR718" s="5"/>
      <c r="HS718" s="5"/>
      <c r="HT718" s="5"/>
      <c r="HU718" s="5"/>
      <c r="HV718" s="5"/>
      <c r="HW718" s="5"/>
      <c r="HX718" s="5"/>
      <c r="HY718" s="5"/>
      <c r="HZ718" s="5"/>
      <c r="IA718" s="5"/>
      <c r="IB718" s="5"/>
      <c r="IC718" s="5"/>
      <c r="ID718" s="5"/>
      <c r="IE718" s="5"/>
      <c r="IF718" s="5"/>
      <c r="IG718" s="5"/>
      <c r="IH718" s="5"/>
      <c r="II718" s="5"/>
      <c r="IJ718" s="5"/>
      <c r="IK718" s="5"/>
      <c r="IL718" s="5"/>
      <c r="IM718" s="5"/>
      <c r="IN718" s="5"/>
      <c r="IO718" s="5"/>
      <c r="IP718" s="5"/>
      <c r="IQ718" s="5"/>
      <c r="IR718" s="5"/>
      <c r="IS718" s="5"/>
      <c r="IT718" s="5"/>
      <c r="IU718" s="5"/>
      <c r="IV718" s="5"/>
      <c r="IW718" s="5"/>
      <c r="IX718" s="5"/>
      <c r="IY718" s="5"/>
      <c r="IZ718" s="5"/>
      <c r="JA718" s="5"/>
      <c r="JB718" s="5"/>
      <c r="JC718" s="5"/>
      <c r="JD718" s="5"/>
      <c r="JE718" s="5"/>
      <c r="JF718" s="5"/>
      <c r="JG718" s="5"/>
      <c r="JH718" s="5"/>
      <c r="JI718" s="5"/>
      <c r="JJ718" s="5"/>
      <c r="JK718" s="5"/>
      <c r="JL718" s="5"/>
      <c r="JM718" s="5"/>
      <c r="JN718" s="5"/>
      <c r="JO718" s="5"/>
      <c r="JP718" s="5"/>
      <c r="JQ718" s="5"/>
      <c r="JR718" s="5"/>
      <c r="JS718" s="5"/>
      <c r="JT718" s="5"/>
      <c r="JU718" s="5"/>
      <c r="JV718" s="5"/>
      <c r="JW718" s="5"/>
      <c r="JX718" s="5"/>
      <c r="JY718" s="5"/>
      <c r="JZ718" s="5"/>
      <c r="KA718" s="5"/>
      <c r="KB718" s="5"/>
      <c r="KC718" s="5"/>
      <c r="KD718" s="5"/>
      <c r="KE718" s="5"/>
      <c r="KF718" s="5"/>
      <c r="KG718" s="5"/>
      <c r="KH718" s="5"/>
      <c r="KI718" s="5"/>
      <c r="KJ718" s="5"/>
      <c r="KK718" s="5"/>
      <c r="KL718" s="5"/>
      <c r="KM718" s="5"/>
      <c r="KN718" s="5"/>
      <c r="KO718" s="5"/>
      <c r="KP718" s="5"/>
      <c r="KQ718" s="5"/>
      <c r="KR718" s="5"/>
      <c r="KS718" s="5"/>
      <c r="KT718" s="5"/>
      <c r="KU718" s="5"/>
      <c r="KV718" s="5"/>
      <c r="KW718" s="5"/>
      <c r="KX718" s="5"/>
      <c r="KY718" s="5"/>
      <c r="KZ718" s="5"/>
      <c r="LA718" s="5"/>
      <c r="LB718" s="5"/>
      <c r="LC718" s="5"/>
      <c r="LD718" s="5"/>
      <c r="LE718" s="5"/>
      <c r="LF718" s="5"/>
      <c r="LG718" s="5"/>
      <c r="LH718" s="5"/>
      <c r="LI718" s="5"/>
      <c r="LJ718" s="5"/>
      <c r="LK718" s="5"/>
      <c r="LL718" s="5"/>
      <c r="LM718" s="5"/>
      <c r="LN718" s="5"/>
      <c r="LO718" s="5"/>
      <c r="LP718" s="5"/>
      <c r="LQ718" s="5"/>
      <c r="LR718" s="5"/>
      <c r="LS718" s="5"/>
      <c r="LT718" s="5"/>
      <c r="LU718" s="5"/>
      <c r="LV718" s="5"/>
      <c r="LW718" s="5"/>
      <c r="LX718" s="5"/>
      <c r="LY718" s="5"/>
      <c r="LZ718" s="5"/>
      <c r="MA718" s="5"/>
      <c r="MB718" s="5"/>
      <c r="MC718" s="5"/>
      <c r="MD718" s="5"/>
      <c r="ME718" s="5"/>
      <c r="MF718" s="5"/>
      <c r="MG718" s="5"/>
      <c r="MH718" s="5"/>
      <c r="MI718" s="5"/>
      <c r="MJ718" s="5"/>
      <c r="MK718" s="5"/>
      <c r="ML718" s="5"/>
      <c r="MM718" s="5"/>
      <c r="MN718" s="5"/>
      <c r="MO718" s="5"/>
      <c r="MP718" s="5"/>
      <c r="MQ718" s="5"/>
      <c r="MR718" s="5"/>
      <c r="MS718" s="5"/>
      <c r="MT718" s="5"/>
      <c r="MU718" s="5"/>
      <c r="MV718" s="5"/>
      <c r="MW718" s="5"/>
      <c r="MX718" s="5"/>
      <c r="MY718" s="5"/>
      <c r="MZ718" s="5"/>
      <c r="NA718" s="5"/>
      <c r="NB718" s="5"/>
      <c r="NC718" s="5"/>
      <c r="ND718" s="5"/>
      <c r="NE718" s="5"/>
      <c r="NF718" s="5"/>
      <c r="NG718" s="5"/>
      <c r="NH718" s="5"/>
      <c r="NI718" s="5"/>
      <c r="NJ718" s="5"/>
      <c r="NK718" s="5"/>
      <c r="NL718" s="5"/>
      <c r="NM718" s="5"/>
      <c r="NN718" s="5"/>
      <c r="NO718" s="5"/>
      <c r="NP718" s="5"/>
      <c r="NQ718" s="5"/>
      <c r="NR718" s="5"/>
      <c r="NS718" s="5"/>
      <c r="NT718" s="5"/>
      <c r="NU718" s="5"/>
      <c r="NV718" s="5"/>
      <c r="NW718" s="5"/>
      <c r="NX718" s="5"/>
      <c r="NY718" s="5"/>
      <c r="NZ718" s="5"/>
      <c r="OA718" s="5"/>
      <c r="OB718" s="5"/>
      <c r="OC718" s="5"/>
      <c r="OD718" s="5"/>
      <c r="OE718" s="5"/>
      <c r="OF718" s="5"/>
      <c r="OG718" s="5"/>
      <c r="OH718" s="5"/>
      <c r="OI718" s="5"/>
      <c r="OJ718" s="5"/>
      <c r="OK718" s="5"/>
      <c r="OL718" s="5"/>
      <c r="OM718" s="5"/>
      <c r="ON718" s="5"/>
      <c r="OO718" s="5"/>
      <c r="OP718" s="5"/>
      <c r="OQ718" s="5"/>
      <c r="OR718" s="5"/>
      <c r="OS718" s="5"/>
      <c r="OT718" s="5"/>
      <c r="OU718" s="5"/>
      <c r="OV718" s="5"/>
      <c r="OW718" s="5"/>
      <c r="OX718" s="5"/>
      <c r="OY718" s="5"/>
      <c r="OZ718" s="5"/>
      <c r="PA718" s="5"/>
      <c r="PB718" s="5"/>
      <c r="PC718" s="5"/>
      <c r="PD718" s="5"/>
      <c r="PE718" s="5"/>
      <c r="PF718" s="5"/>
      <c r="PG718" s="5"/>
      <c r="PH718" s="5"/>
      <c r="PI718" s="5"/>
      <c r="PJ718" s="5"/>
      <c r="PK718" s="5"/>
      <c r="PL718" s="5"/>
      <c r="PM718" s="5"/>
      <c r="PN718" s="5"/>
      <c r="PO718" s="5"/>
      <c r="PP718" s="5"/>
      <c r="PQ718" s="5"/>
      <c r="PR718" s="5"/>
      <c r="PS718" s="5"/>
      <c r="PT718" s="5"/>
      <c r="PU718" s="5"/>
      <c r="PV718" s="5"/>
      <c r="PW718" s="5"/>
      <c r="PX718" s="5"/>
      <c r="PY718" s="5"/>
      <c r="PZ718" s="5"/>
      <c r="QA718" s="5"/>
      <c r="QB718" s="5"/>
      <c r="QC718" s="5"/>
      <c r="QD718" s="5"/>
      <c r="QE718" s="5"/>
      <c r="QF718" s="5"/>
      <c r="QG718" s="5"/>
      <c r="QH718" s="5"/>
      <c r="QI718" s="5"/>
      <c r="QJ718" s="5"/>
      <c r="QK718" s="5"/>
      <c r="QL718" s="5"/>
      <c r="QM718" s="5"/>
      <c r="QN718" s="5"/>
      <c r="QO718" s="5"/>
      <c r="QP718" s="5"/>
      <c r="QQ718" s="5"/>
      <c r="QR718" s="5"/>
      <c r="QS718" s="5"/>
      <c r="QT718" s="5"/>
      <c r="QU718" s="5"/>
      <c r="QV718" s="5"/>
      <c r="QW718" s="5"/>
      <c r="QX718" s="5"/>
      <c r="QY718" s="5"/>
      <c r="QZ718" s="5"/>
      <c r="RA718" s="5"/>
      <c r="RB718" s="5"/>
      <c r="RC718" s="5"/>
      <c r="RD718" s="5"/>
      <c r="RE718" s="5"/>
      <c r="RF718" s="5"/>
      <c r="RG718" s="5"/>
      <c r="RH718" s="5"/>
      <c r="RI718" s="5"/>
      <c r="RJ718" s="5"/>
      <c r="RK718" s="5"/>
      <c r="RL718" s="5"/>
      <c r="RM718" s="5"/>
      <c r="RN718" s="5"/>
      <c r="RO718" s="5"/>
      <c r="RP718" s="5"/>
      <c r="RQ718" s="5"/>
      <c r="RR718" s="5"/>
      <c r="RS718" s="5"/>
      <c r="RT718" s="5"/>
      <c r="RU718" s="5"/>
      <c r="RV718" s="5"/>
      <c r="RW718" s="5"/>
      <c r="RX718" s="5"/>
      <c r="RY718" s="5"/>
      <c r="RZ718" s="5"/>
      <c r="SA718" s="5"/>
      <c r="SB718" s="5"/>
      <c r="SC718" s="5"/>
      <c r="SD718" s="5"/>
      <c r="SE718" s="5"/>
      <c r="SF718" s="5"/>
      <c r="SG718" s="5"/>
      <c r="SH718" s="5"/>
      <c r="SI718" s="5"/>
      <c r="SJ718" s="5"/>
      <c r="SK718" s="5"/>
      <c r="SL718" s="5"/>
      <c r="SM718" s="5"/>
      <c r="SN718" s="5"/>
      <c r="SO718" s="5"/>
      <c r="SP718" s="5"/>
      <c r="SQ718" s="5"/>
      <c r="SR718" s="5"/>
      <c r="SS718" s="5"/>
      <c r="ST718" s="5"/>
      <c r="SU718" s="5"/>
      <c r="SV718" s="5"/>
      <c r="SW718" s="5"/>
      <c r="SX718" s="5"/>
      <c r="SY718" s="5"/>
      <c r="SZ718" s="5"/>
      <c r="TA718" s="5"/>
      <c r="TB718" s="5"/>
      <c r="TC718" s="5"/>
      <c r="TD718" s="5"/>
      <c r="TE718" s="5"/>
      <c r="TF718" s="5"/>
      <c r="TG718" s="5"/>
      <c r="TH718" s="5"/>
      <c r="TI718" s="5"/>
      <c r="TJ718" s="5"/>
      <c r="TK718" s="5"/>
      <c r="TL718" s="5"/>
      <c r="TM718" s="5"/>
      <c r="TN718" s="5"/>
      <c r="TO718" s="5"/>
      <c r="TP718" s="5"/>
      <c r="TQ718" s="5"/>
      <c r="TR718" s="5"/>
      <c r="TS718" s="5"/>
      <c r="TT718" s="5"/>
      <c r="TU718" s="5"/>
      <c r="TV718" s="5"/>
      <c r="TW718" s="5"/>
      <c r="TX718" s="5"/>
      <c r="TY718" s="5"/>
      <c r="TZ718" s="5"/>
      <c r="UA718" s="5"/>
      <c r="UB718" s="5"/>
      <c r="UC718" s="5"/>
      <c r="UD718" s="5"/>
      <c r="UE718" s="5"/>
      <c r="UF718" s="5"/>
      <c r="UG718" s="5"/>
      <c r="UH718" s="5"/>
      <c r="UI718" s="5"/>
      <c r="UJ718" s="5"/>
      <c r="UK718" s="5"/>
      <c r="UL718" s="5"/>
      <c r="UM718" s="5"/>
      <c r="UN718" s="5"/>
      <c r="UO718" s="5"/>
      <c r="UP718" s="5"/>
      <c r="UQ718" s="5"/>
      <c r="UR718" s="5"/>
      <c r="US718" s="5"/>
      <c r="UT718" s="5"/>
      <c r="UU718" s="5"/>
      <c r="UV718" s="5"/>
      <c r="UW718" s="5"/>
      <c r="UX718" s="5"/>
      <c r="UY718" s="5"/>
      <c r="UZ718" s="5"/>
      <c r="VA718" s="5"/>
      <c r="VB718" s="5"/>
      <c r="VC718" s="5"/>
      <c r="VD718" s="5"/>
      <c r="VE718" s="5"/>
      <c r="VF718" s="5"/>
      <c r="VG718" s="5"/>
      <c r="VH718" s="5"/>
      <c r="VI718" s="5"/>
      <c r="VJ718" s="5"/>
      <c r="VK718" s="5"/>
      <c r="VL718" s="5"/>
      <c r="VM718" s="5"/>
      <c r="VN718" s="5"/>
      <c r="VO718" s="5"/>
      <c r="VP718" s="5"/>
      <c r="VQ718" s="5"/>
      <c r="VR718" s="5"/>
      <c r="VS718" s="5"/>
      <c r="VT718" s="5"/>
      <c r="VU718" s="5"/>
      <c r="VV718" s="5"/>
      <c r="VW718" s="5"/>
      <c r="VX718" s="5"/>
      <c r="VY718" s="5"/>
      <c r="VZ718" s="5"/>
      <c r="WA718" s="5"/>
      <c r="WB718" s="5"/>
      <c r="WC718" s="5"/>
      <c r="WD718" s="5"/>
      <c r="WE718" s="5"/>
      <c r="WF718" s="5"/>
      <c r="WG718" s="5"/>
      <c r="WH718" s="5"/>
      <c r="WI718" s="5"/>
      <c r="WJ718" s="5"/>
      <c r="WK718" s="5"/>
      <c r="WL718" s="5"/>
      <c r="WM718" s="5"/>
      <c r="WN718" s="5"/>
      <c r="WO718" s="5"/>
      <c r="WP718" s="5"/>
      <c r="WQ718" s="5"/>
      <c r="WR718" s="5"/>
      <c r="WS718" s="5"/>
      <c r="WT718" s="5"/>
      <c r="WU718" s="5"/>
      <c r="WV718" s="5"/>
      <c r="WW718" s="5"/>
      <c r="WX718" s="5"/>
      <c r="WY718" s="5"/>
      <c r="WZ718" s="5"/>
      <c r="XA718" s="5"/>
      <c r="XB718" s="5"/>
      <c r="XC718" s="5"/>
      <c r="XD718" s="5"/>
      <c r="XE718" s="5"/>
      <c r="XF718" s="5"/>
      <c r="XG718" s="5"/>
      <c r="XH718" s="5"/>
      <c r="XI718" s="5"/>
      <c r="XJ718" s="5"/>
      <c r="XK718" s="5"/>
      <c r="XL718" s="5"/>
      <c r="XM718" s="5"/>
      <c r="XN718" s="5"/>
      <c r="XO718" s="5"/>
      <c r="XP718" s="5"/>
      <c r="XQ718" s="5"/>
      <c r="XR718" s="5"/>
      <c r="XS718" s="5"/>
      <c r="XT718" s="5"/>
      <c r="XU718" s="5"/>
      <c r="XV718" s="5"/>
      <c r="XW718" s="5"/>
      <c r="XX718" s="5"/>
      <c r="XY718" s="5"/>
      <c r="XZ718" s="5"/>
      <c r="YA718" s="5"/>
      <c r="YB718" s="5"/>
      <c r="YC718" s="5"/>
      <c r="YD718" s="5"/>
      <c r="YE718" s="5"/>
      <c r="YF718" s="5"/>
      <c r="YG718" s="5"/>
      <c r="YH718" s="5"/>
      <c r="YI718" s="5"/>
      <c r="YJ718" s="5"/>
      <c r="YK718" s="5"/>
      <c r="YL718" s="5"/>
      <c r="YM718" s="5"/>
      <c r="YN718" s="5"/>
      <c r="YO718" s="5"/>
      <c r="YP718" s="5"/>
      <c r="YQ718" s="5"/>
      <c r="YR718" s="5"/>
      <c r="YS718" s="5"/>
      <c r="YT718" s="5"/>
      <c r="YU718" s="5"/>
      <c r="YV718" s="5"/>
      <c r="YW718" s="5"/>
      <c r="YX718" s="5"/>
      <c r="YY718" s="5"/>
      <c r="YZ718" s="5"/>
      <c r="ZA718" s="5"/>
      <c r="ZB718" s="5"/>
      <c r="ZC718" s="5"/>
      <c r="ZD718" s="5"/>
      <c r="ZE718" s="5"/>
      <c r="ZF718" s="5"/>
      <c r="ZG718" s="5"/>
      <c r="ZH718" s="5"/>
      <c r="ZI718" s="5"/>
      <c r="ZJ718" s="5"/>
      <c r="ZK718" s="5"/>
      <c r="ZL718" s="5"/>
      <c r="ZM718" s="5"/>
      <c r="ZN718" s="5"/>
      <c r="ZO718" s="5"/>
      <c r="ZP718" s="5"/>
      <c r="ZQ718" s="5"/>
      <c r="ZR718" s="5"/>
      <c r="ZS718" s="5"/>
      <c r="ZT718" s="5"/>
      <c r="ZU718" s="5"/>
      <c r="ZV718" s="5"/>
      <c r="ZW718" s="5"/>
      <c r="ZX718" s="5"/>
      <c r="ZY718" s="5"/>
      <c r="ZZ718" s="5"/>
      <c r="AAA718" s="5"/>
      <c r="AAB718" s="5"/>
      <c r="AAC718" s="5"/>
      <c r="AAD718" s="5"/>
      <c r="AAE718" s="5"/>
      <c r="AAF718" s="5"/>
      <c r="AAG718" s="5"/>
      <c r="AAH718" s="5"/>
      <c r="AAI718" s="5"/>
      <c r="AAJ718" s="5"/>
      <c r="AAK718" s="5"/>
      <c r="AAL718" s="5"/>
      <c r="AAM718" s="5"/>
      <c r="AAN718" s="5"/>
      <c r="AAO718" s="5"/>
      <c r="AAP718" s="5"/>
      <c r="AAQ718" s="5"/>
      <c r="AAR718" s="5"/>
      <c r="AAS718" s="5"/>
      <c r="AAT718" s="5"/>
      <c r="AAU718" s="5"/>
      <c r="AAV718" s="5"/>
      <c r="AAW718" s="5"/>
      <c r="AAX718" s="5"/>
      <c r="AAY718" s="5"/>
      <c r="AAZ718" s="5"/>
      <c r="ABA718" s="5"/>
      <c r="ABB718" s="5"/>
      <c r="ABC718" s="5"/>
      <c r="ABD718" s="5"/>
      <c r="ABE718" s="5"/>
      <c r="ABF718" s="5"/>
      <c r="ABG718" s="5"/>
      <c r="ABH718" s="5"/>
      <c r="ABI718" s="5"/>
      <c r="ABJ718" s="5"/>
      <c r="ABK718" s="5"/>
      <c r="ABL718" s="5"/>
      <c r="ABM718" s="5"/>
      <c r="ABN718" s="5"/>
      <c r="ABO718" s="5"/>
      <c r="ABP718" s="5"/>
      <c r="ABQ718" s="5"/>
      <c r="ABR718" s="5"/>
      <c r="ABS718" s="5"/>
      <c r="ABT718" s="5"/>
      <c r="ABU718" s="5"/>
      <c r="ABV718" s="5"/>
      <c r="ABW718" s="5"/>
      <c r="ABX718" s="5"/>
      <c r="ABY718" s="5"/>
      <c r="ABZ718" s="5"/>
      <c r="ACA718" s="5"/>
      <c r="ACB718" s="5"/>
      <c r="ACC718" s="5"/>
      <c r="ACD718" s="5"/>
      <c r="ACE718" s="5"/>
      <c r="ACF718" s="5"/>
      <c r="ACG718" s="5"/>
      <c r="ACH718" s="5"/>
      <c r="ACI718" s="5"/>
      <c r="ACJ718" s="5"/>
      <c r="ACK718" s="5"/>
      <c r="ACL718" s="5"/>
      <c r="ACM718" s="5"/>
      <c r="ACN718" s="5"/>
      <c r="ACO718" s="5"/>
      <c r="ACP718" s="5"/>
      <c r="ACQ718" s="5"/>
      <c r="ACR718" s="5"/>
      <c r="ACS718" s="5"/>
      <c r="ACT718" s="5"/>
      <c r="ACU718" s="5"/>
      <c r="ACV718" s="5"/>
      <c r="ACW718" s="5"/>
      <c r="ACX718" s="5"/>
      <c r="ACY718" s="5"/>
      <c r="ACZ718" s="5"/>
      <c r="ADA718" s="5"/>
      <c r="ADB718" s="5"/>
      <c r="ADC718" s="5"/>
      <c r="ADD718" s="5"/>
      <c r="ADE718" s="5"/>
      <c r="ADF718" s="5"/>
      <c r="ADG718" s="5"/>
      <c r="ADH718" s="5"/>
      <c r="ADI718" s="5"/>
      <c r="ADJ718" s="5"/>
      <c r="ADK718" s="5"/>
      <c r="ADL718" s="5"/>
      <c r="ADM718" s="5"/>
      <c r="ADN718" s="5"/>
      <c r="ADO718" s="5"/>
      <c r="ADP718" s="5"/>
      <c r="ADQ718" s="5"/>
      <c r="ADR718" s="5"/>
      <c r="ADS718" s="5"/>
      <c r="ADT718" s="5"/>
      <c r="ADU718" s="5"/>
      <c r="ADV718" s="5"/>
      <c r="ADW718" s="5"/>
      <c r="ADX718" s="5"/>
      <c r="ADY718" s="5"/>
      <c r="ADZ718" s="5"/>
      <c r="AEA718" s="5"/>
      <c r="AEB718" s="5"/>
      <c r="AEC718" s="5"/>
      <c r="AED718" s="5"/>
      <c r="AEE718" s="5"/>
      <c r="AEF718" s="5"/>
      <c r="AEG718" s="5"/>
      <c r="AEH718" s="5"/>
      <c r="AEI718" s="5"/>
      <c r="AEJ718" s="5"/>
      <c r="AEK718" s="5"/>
      <c r="AEL718" s="5"/>
      <c r="AEM718" s="5"/>
      <c r="AEN718" s="5"/>
      <c r="AEO718" s="5"/>
      <c r="AEP718" s="5"/>
      <c r="AEQ718" s="5"/>
      <c r="AER718" s="5"/>
      <c r="AES718" s="5"/>
      <c r="AET718" s="5"/>
      <c r="AEU718" s="5"/>
      <c r="AEV718" s="5"/>
      <c r="AEW718" s="5"/>
      <c r="AEX718" s="5"/>
      <c r="AEY718" s="5"/>
      <c r="AEZ718" s="5"/>
      <c r="AFA718" s="5"/>
      <c r="AFB718" s="5"/>
      <c r="AFC718" s="5"/>
      <c r="AFD718" s="5"/>
      <c r="AFE718" s="5"/>
      <c r="AFF718" s="5"/>
      <c r="AFG718" s="5"/>
      <c r="AFH718" s="5"/>
      <c r="AFI718" s="5"/>
      <c r="AFJ718" s="5"/>
      <c r="AFK718" s="5"/>
      <c r="AFL718" s="5"/>
      <c r="AFM718" s="5"/>
      <c r="AFN718" s="5"/>
      <c r="AFO718" s="5"/>
      <c r="AFP718" s="5"/>
      <c r="AFQ718" s="5"/>
      <c r="AFR718" s="5"/>
      <c r="AFS718" s="5"/>
      <c r="AFT718" s="5"/>
      <c r="AFU718" s="5"/>
      <c r="AFV718" s="5"/>
      <c r="AFW718" s="5"/>
      <c r="AFX718" s="5"/>
      <c r="AFY718" s="5"/>
      <c r="AFZ718" s="5"/>
      <c r="AGA718" s="5"/>
      <c r="AGB718" s="5"/>
      <c r="AGC718" s="5"/>
      <c r="AGD718" s="5"/>
      <c r="AGE718" s="5"/>
      <c r="AGF718" s="5"/>
      <c r="AGG718" s="5"/>
      <c r="AGH718" s="5"/>
      <c r="AGI718" s="5"/>
      <c r="AGJ718" s="5"/>
      <c r="AGK718" s="5"/>
      <c r="AGL718" s="5"/>
      <c r="AGM718" s="5"/>
      <c r="AGN718" s="5"/>
      <c r="AGO718" s="5"/>
      <c r="AGP718" s="5"/>
      <c r="AGQ718" s="5"/>
      <c r="AGR718" s="5"/>
      <c r="AGS718" s="5"/>
      <c r="AGT718" s="5"/>
      <c r="AGU718" s="5"/>
      <c r="AGV718" s="5"/>
      <c r="AGW718" s="5"/>
      <c r="AGX718" s="5"/>
      <c r="AGY718" s="5"/>
      <c r="AGZ718" s="5"/>
      <c r="AHA718" s="5"/>
      <c r="AHB718" s="5"/>
      <c r="AHC718" s="5"/>
      <c r="AHD718" s="5"/>
      <c r="AHE718" s="5"/>
      <c r="AHF718" s="5"/>
      <c r="AHG718" s="5"/>
      <c r="AHH718" s="5"/>
      <c r="AHI718" s="5"/>
      <c r="AHJ718" s="5"/>
      <c r="AHK718" s="5"/>
      <c r="AHL718" s="5"/>
      <c r="AHM718" s="5"/>
      <c r="AHN718" s="5"/>
      <c r="AHO718" s="5"/>
      <c r="AHP718" s="5"/>
      <c r="AHQ718" s="5"/>
      <c r="AHR718" s="5"/>
      <c r="AHS718" s="5"/>
      <c r="AHT718" s="5"/>
      <c r="AHU718" s="5"/>
      <c r="AHV718" s="5"/>
      <c r="AHW718" s="5"/>
      <c r="AHX718" s="5"/>
      <c r="AHY718" s="5"/>
      <c r="AHZ718" s="5"/>
      <c r="AIA718" s="5"/>
      <c r="AIB718" s="5"/>
      <c r="AIC718" s="5"/>
      <c r="AID718" s="5"/>
      <c r="AIE718" s="5"/>
      <c r="AIF718" s="5"/>
      <c r="AIG718" s="5"/>
      <c r="AIH718" s="5"/>
      <c r="AII718" s="5"/>
      <c r="AIJ718" s="5"/>
      <c r="AIK718" s="5"/>
      <c r="AIL718" s="5"/>
      <c r="AIM718" s="5"/>
      <c r="AIN718" s="5"/>
      <c r="AIO718" s="5"/>
      <c r="AIP718" s="5"/>
      <c r="AIQ718" s="5"/>
      <c r="AIR718" s="5"/>
      <c r="AIS718" s="5"/>
      <c r="AIT718" s="5"/>
      <c r="AIU718" s="5"/>
      <c r="AIV718" s="5"/>
      <c r="AIW718" s="5"/>
      <c r="AIX718" s="5"/>
      <c r="AIY718" s="5"/>
      <c r="AIZ718" s="5"/>
      <c r="AJA718" s="5"/>
      <c r="AJB718" s="5"/>
      <c r="AJC718" s="5"/>
      <c r="AJD718" s="5"/>
      <c r="AJE718" s="5"/>
      <c r="AJF718" s="5"/>
      <c r="AJG718" s="5"/>
      <c r="AJH718" s="5"/>
      <c r="AJI718" s="5"/>
      <c r="AJJ718" s="5"/>
      <c r="AJK718" s="5"/>
      <c r="AJL718" s="5"/>
      <c r="AJM718" s="5"/>
      <c r="AJN718" s="5"/>
      <c r="AJO718" s="5"/>
      <c r="AJP718" s="5"/>
      <c r="AJQ718" s="5"/>
      <c r="AJR718" s="5"/>
      <c r="AJS718" s="5"/>
      <c r="AJT718" s="5"/>
      <c r="AJU718" s="5"/>
      <c r="AJV718" s="5"/>
      <c r="AJW718" s="5"/>
      <c r="AJX718" s="5"/>
      <c r="AJY718" s="5"/>
      <c r="AJZ718" s="5"/>
      <c r="AKA718" s="5"/>
      <c r="AKB718" s="5"/>
      <c r="AKC718" s="5"/>
      <c r="AKD718" s="5"/>
      <c r="AKE718" s="5"/>
      <c r="AKF718" s="5"/>
      <c r="AKG718" s="5"/>
      <c r="AKH718" s="5"/>
      <c r="AKI718" s="5"/>
      <c r="AKJ718" s="5"/>
      <c r="AKK718" s="5"/>
      <c r="AKL718" s="5"/>
      <c r="AKM718" s="5"/>
      <c r="AKN718" s="5"/>
      <c r="AKO718" s="5"/>
      <c r="AKP718" s="5"/>
      <c r="AKQ718" s="5"/>
      <c r="AKR718" s="5"/>
      <c r="AKS718" s="5"/>
      <c r="AKT718" s="5"/>
      <c r="AKU718" s="5"/>
      <c r="AKV718" s="5"/>
      <c r="AKW718" s="5"/>
      <c r="AKX718" s="5"/>
      <c r="AKY718" s="5"/>
      <c r="AKZ718" s="5"/>
      <c r="ALA718" s="5"/>
      <c r="ALB718" s="5"/>
      <c r="ALC718" s="5"/>
      <c r="ALD718" s="5"/>
      <c r="ALE718" s="5"/>
      <c r="ALF718" s="5"/>
      <c r="ALG718" s="5"/>
      <c r="ALH718" s="5"/>
      <c r="ALI718" s="5"/>
      <c r="ALJ718" s="5"/>
      <c r="ALK718" s="5"/>
      <c r="ALL718" s="5"/>
      <c r="ALM718" s="5"/>
      <c r="ALN718" s="5"/>
      <c r="ALO718" s="5"/>
      <c r="ALP718" s="5"/>
      <c r="ALQ718" s="5"/>
      <c r="ALR718" s="5"/>
      <c r="ALS718" s="5"/>
      <c r="ALT718" s="5"/>
      <c r="ALU718" s="5"/>
      <c r="ALV718" s="5"/>
      <c r="ALW718" s="5"/>
      <c r="ALX718" s="5"/>
      <c r="ALY718" s="5"/>
      <c r="ALZ718" s="5"/>
      <c r="AMA718" s="5"/>
      <c r="AMB718" s="5"/>
      <c r="AMC718" s="5"/>
      <c r="AMD718" s="5"/>
      <c r="AME718" s="5"/>
      <c r="AMF718" s="5"/>
      <c r="AMG718" s="5"/>
      <c r="AMH718" s="5"/>
      <c r="AMI718" s="5"/>
      <c r="AMJ718" s="5"/>
      <c r="AMK718" s="5"/>
      <c r="AML718" s="5"/>
      <c r="AMM718" s="5"/>
      <c r="AMN718" s="5"/>
      <c r="AMO718" s="5"/>
      <c r="AMP718" s="5"/>
      <c r="AMQ718" s="5"/>
      <c r="AMR718" s="5"/>
      <c r="AMS718" s="5"/>
      <c r="AMT718" s="5"/>
      <c r="AMU718" s="5"/>
      <c r="AMV718" s="5"/>
      <c r="AMW718" s="5"/>
      <c r="AMX718" s="5"/>
      <c r="AMY718" s="5"/>
      <c r="AMZ718" s="5"/>
      <c r="ANA718" s="5"/>
      <c r="ANB718" s="5"/>
      <c r="ANC718" s="5"/>
      <c r="AND718" s="5"/>
      <c r="ANE718" s="5"/>
      <c r="ANF718" s="5"/>
      <c r="ANG718" s="5"/>
      <c r="ANH718" s="5"/>
      <c r="ANI718" s="5"/>
      <c r="ANJ718" s="5"/>
      <c r="ANK718" s="5"/>
      <c r="ANL718" s="5"/>
      <c r="ANM718" s="5"/>
      <c r="ANN718" s="5"/>
      <c r="ANO718" s="5"/>
      <c r="ANP718" s="5"/>
      <c r="ANQ718" s="5"/>
      <c r="ANR718" s="5"/>
      <c r="ANS718" s="5"/>
      <c r="ANT718" s="5"/>
      <c r="ANU718" s="5"/>
      <c r="ANV718" s="5"/>
      <c r="ANW718" s="5"/>
      <c r="ANX718" s="5"/>
      <c r="ANY718" s="5"/>
      <c r="ANZ718" s="5"/>
      <c r="AOA718" s="5"/>
      <c r="AOB718" s="5"/>
      <c r="AOC718" s="5"/>
      <c r="AOD718" s="5"/>
      <c r="AOE718" s="5"/>
      <c r="AOF718" s="5"/>
      <c r="AOG718" s="5"/>
      <c r="AOH718" s="5"/>
      <c r="AOI718" s="5"/>
      <c r="AOJ718" s="5"/>
      <c r="AOK718" s="5"/>
      <c r="AOL718" s="5"/>
      <c r="AOM718" s="5"/>
      <c r="AON718" s="5"/>
      <c r="AOO718" s="5"/>
      <c r="AOP718" s="5"/>
      <c r="AOQ718" s="5"/>
      <c r="AOR718" s="5"/>
      <c r="AOS718" s="5"/>
      <c r="AOT718" s="5"/>
      <c r="AOU718" s="5"/>
      <c r="AOV718" s="5"/>
      <c r="AOW718" s="5"/>
      <c r="AOX718" s="5"/>
      <c r="AOY718" s="5"/>
      <c r="AOZ718" s="5"/>
      <c r="APA718" s="5"/>
      <c r="APB718" s="5"/>
      <c r="APC718" s="5"/>
      <c r="APD718" s="5"/>
      <c r="APE718" s="5"/>
      <c r="APF718" s="5"/>
      <c r="APG718" s="5"/>
      <c r="APH718" s="5"/>
      <c r="API718" s="5"/>
      <c r="APJ718" s="5"/>
      <c r="APK718" s="5"/>
      <c r="APL718" s="5"/>
      <c r="APM718" s="5"/>
      <c r="APN718" s="5"/>
      <c r="APO718" s="5"/>
      <c r="APP718" s="5"/>
      <c r="APQ718" s="5"/>
      <c r="APR718" s="5"/>
      <c r="APS718" s="5"/>
      <c r="APT718" s="5"/>
      <c r="APU718" s="5"/>
      <c r="APV718" s="5"/>
      <c r="APW718" s="5"/>
      <c r="APX718" s="5"/>
      <c r="APY718" s="5"/>
      <c r="APZ718" s="5"/>
      <c r="AQA718" s="5"/>
      <c r="AQB718" s="5"/>
      <c r="AQC718" s="5"/>
      <c r="AQD718" s="5"/>
      <c r="AQE718" s="5"/>
      <c r="AQF718" s="5"/>
      <c r="AQG718" s="5"/>
      <c r="AQH718" s="5"/>
      <c r="AQI718" s="5"/>
      <c r="AQJ718" s="5"/>
      <c r="AQK718" s="5"/>
      <c r="AQL718" s="5"/>
      <c r="AQM718" s="5"/>
      <c r="AQN718" s="5"/>
      <c r="AQO718" s="5"/>
      <c r="AQP718" s="5"/>
      <c r="AQQ718" s="5"/>
      <c r="AQR718" s="5"/>
      <c r="AQS718" s="5"/>
      <c r="AQT718" s="5"/>
      <c r="AQU718" s="5"/>
      <c r="AQV718" s="5"/>
      <c r="AQW718" s="5"/>
      <c r="AQX718" s="5"/>
      <c r="AQY718" s="5"/>
      <c r="AQZ718" s="5"/>
      <c r="ARA718" s="5"/>
      <c r="ARB718" s="5"/>
      <c r="ARC718" s="5"/>
      <c r="ARD718" s="5"/>
      <c r="ARE718" s="5"/>
      <c r="ARF718" s="5"/>
      <c r="ARG718" s="5"/>
      <c r="ARH718" s="5"/>
      <c r="ARI718" s="5"/>
      <c r="ARJ718" s="5"/>
      <c r="ARK718" s="5"/>
      <c r="ARL718" s="5"/>
      <c r="ARM718" s="5"/>
      <c r="ARN718" s="5"/>
      <c r="ARO718" s="5"/>
      <c r="ARP718" s="5"/>
      <c r="ARQ718" s="5"/>
      <c r="ARR718" s="5"/>
      <c r="ARS718" s="5"/>
      <c r="ART718" s="5"/>
      <c r="ARU718" s="5"/>
      <c r="ARV718" s="5"/>
      <c r="ARW718" s="5"/>
      <c r="ARX718" s="5"/>
      <c r="ARY718" s="5"/>
      <c r="ARZ718" s="5"/>
      <c r="ASA718" s="5"/>
      <c r="ASB718" s="5"/>
      <c r="ASC718" s="5"/>
      <c r="ASD718" s="5"/>
      <c r="ASE718" s="5"/>
      <c r="ASF718" s="5"/>
      <c r="ASG718" s="5"/>
      <c r="ASH718" s="5"/>
      <c r="ASI718" s="5"/>
      <c r="ASJ718" s="5"/>
      <c r="ASK718" s="5"/>
      <c r="ASL718" s="5"/>
      <c r="ASM718" s="5"/>
      <c r="ASN718" s="5"/>
      <c r="ASO718" s="5"/>
      <c r="ASP718" s="5"/>
      <c r="ASQ718" s="5"/>
      <c r="ASR718" s="5"/>
      <c r="ASS718" s="5"/>
      <c r="AST718" s="5"/>
      <c r="ASU718" s="5"/>
      <c r="ASV718" s="5"/>
      <c r="ASW718" s="5"/>
      <c r="ASX718" s="5"/>
      <c r="ASY718" s="5"/>
      <c r="ASZ718" s="5"/>
      <c r="ATA718" s="5"/>
      <c r="ATB718" s="5"/>
      <c r="ATC718" s="5"/>
      <c r="ATD718" s="5"/>
      <c r="ATE718" s="5"/>
      <c r="ATF718" s="5"/>
      <c r="ATG718" s="5"/>
      <c r="ATH718" s="5"/>
      <c r="ATI718" s="5"/>
      <c r="ATJ718" s="5"/>
      <c r="ATK718" s="5"/>
      <c r="ATL718" s="5"/>
      <c r="ATM718" s="5"/>
      <c r="ATN718" s="5"/>
      <c r="ATO718" s="5"/>
      <c r="ATP718" s="5"/>
      <c r="ATQ718" s="5"/>
      <c r="ATR718" s="5"/>
      <c r="ATS718" s="5"/>
      <c r="ATT718" s="5"/>
      <c r="ATU718" s="5"/>
      <c r="ATV718" s="5"/>
      <c r="ATW718" s="5"/>
      <c r="ATX718" s="5"/>
    </row>
    <row r="719" spans="1:1220" s="67" customFormat="1" ht="12.75" customHeight="1" x14ac:dyDescent="0.35">
      <c r="A719" s="76" t="s">
        <v>229</v>
      </c>
      <c r="B719" s="99" t="s">
        <v>273</v>
      </c>
      <c r="C719" s="76" t="s">
        <v>2619</v>
      </c>
      <c r="D719" s="142" t="s">
        <v>2619</v>
      </c>
      <c r="E719" s="76"/>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c r="DX719" s="5"/>
      <c r="DY719" s="5"/>
      <c r="DZ719" s="5"/>
      <c r="EA719" s="5"/>
      <c r="EB719" s="5"/>
      <c r="EC719" s="5"/>
      <c r="ED719" s="5"/>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s="5"/>
      <c r="FG719" s="5"/>
      <c r="FH719" s="5"/>
      <c r="FI719" s="5"/>
      <c r="FJ719" s="5"/>
      <c r="FK719" s="5"/>
      <c r="FL719" s="5"/>
      <c r="FM719" s="5"/>
      <c r="FN719" s="5"/>
      <c r="FO719" s="5"/>
      <c r="FP719" s="5"/>
      <c r="FQ719" s="5"/>
      <c r="FR719" s="5"/>
      <c r="FS719" s="5"/>
      <c r="FT719" s="5"/>
      <c r="FU719" s="5"/>
      <c r="FV719" s="5"/>
      <c r="FW719" s="5"/>
      <c r="FX719" s="5"/>
      <c r="FY719" s="5"/>
      <c r="FZ719" s="5"/>
      <c r="GA719" s="5"/>
      <c r="GB719" s="5"/>
      <c r="GC719" s="5"/>
      <c r="GD719" s="5"/>
      <c r="GE719" s="5"/>
      <c r="GF719" s="5"/>
      <c r="GG719" s="5"/>
      <c r="GH719" s="5"/>
      <c r="GI719" s="5"/>
      <c r="GJ719" s="5"/>
      <c r="GK719" s="5"/>
      <c r="GL719" s="5"/>
      <c r="GM719" s="5"/>
      <c r="GN719" s="5"/>
      <c r="GO719" s="5"/>
      <c r="GP719" s="5"/>
      <c r="GQ719" s="5"/>
      <c r="GR719" s="5"/>
      <c r="GS719" s="5"/>
      <c r="GT719" s="5"/>
      <c r="GU719" s="5"/>
      <c r="GV719" s="5"/>
      <c r="GW719" s="5"/>
      <c r="GX719" s="5"/>
      <c r="GY719" s="5"/>
      <c r="GZ719" s="5"/>
      <c r="HA719" s="5"/>
      <c r="HB719" s="5"/>
      <c r="HC719" s="5"/>
      <c r="HD719" s="5"/>
      <c r="HE719" s="5"/>
      <c r="HF719" s="5"/>
      <c r="HG719" s="5"/>
      <c r="HH719" s="5"/>
      <c r="HI719" s="5"/>
      <c r="HJ719" s="5"/>
      <c r="HK719" s="5"/>
      <c r="HL719" s="5"/>
      <c r="HM719" s="5"/>
      <c r="HN719" s="5"/>
      <c r="HO719" s="5"/>
      <c r="HP719" s="5"/>
      <c r="HQ719" s="5"/>
      <c r="HR719" s="5"/>
      <c r="HS719" s="5"/>
      <c r="HT719" s="5"/>
      <c r="HU719" s="5"/>
      <c r="HV719" s="5"/>
      <c r="HW719" s="5"/>
      <c r="HX719" s="5"/>
      <c r="HY719" s="5"/>
      <c r="HZ719" s="5"/>
      <c r="IA719" s="5"/>
      <c r="IB719" s="5"/>
      <c r="IC719" s="5"/>
      <c r="ID719" s="5"/>
      <c r="IE719" s="5"/>
      <c r="IF719" s="5"/>
      <c r="IG719" s="5"/>
      <c r="IH719" s="5"/>
      <c r="II719" s="5"/>
      <c r="IJ719" s="5"/>
      <c r="IK719" s="5"/>
      <c r="IL719" s="5"/>
      <c r="IM719" s="5"/>
      <c r="IN719" s="5"/>
      <c r="IO719" s="5"/>
      <c r="IP719" s="5"/>
      <c r="IQ719" s="5"/>
      <c r="IR719" s="5"/>
      <c r="IS719" s="5"/>
      <c r="IT719" s="5"/>
      <c r="IU719" s="5"/>
      <c r="IV719" s="5"/>
      <c r="IW719" s="5"/>
      <c r="IX719" s="5"/>
      <c r="IY719" s="5"/>
      <c r="IZ719" s="5"/>
      <c r="JA719" s="5"/>
      <c r="JB719" s="5"/>
      <c r="JC719" s="5"/>
      <c r="JD719" s="5"/>
      <c r="JE719" s="5"/>
      <c r="JF719" s="5"/>
      <c r="JG719" s="5"/>
      <c r="JH719" s="5"/>
      <c r="JI719" s="5"/>
      <c r="JJ719" s="5"/>
      <c r="JK719" s="5"/>
      <c r="JL719" s="5"/>
      <c r="JM719" s="5"/>
      <c r="JN719" s="5"/>
      <c r="JO719" s="5"/>
      <c r="JP719" s="5"/>
      <c r="JQ719" s="5"/>
      <c r="JR719" s="5"/>
      <c r="JS719" s="5"/>
      <c r="JT719" s="5"/>
      <c r="JU719" s="5"/>
      <c r="JV719" s="5"/>
      <c r="JW719" s="5"/>
      <c r="JX719" s="5"/>
      <c r="JY719" s="5"/>
      <c r="JZ719" s="5"/>
      <c r="KA719" s="5"/>
      <c r="KB719" s="5"/>
      <c r="KC719" s="5"/>
      <c r="KD719" s="5"/>
      <c r="KE719" s="5"/>
      <c r="KF719" s="5"/>
      <c r="KG719" s="5"/>
      <c r="KH719" s="5"/>
      <c r="KI719" s="5"/>
      <c r="KJ719" s="5"/>
      <c r="KK719" s="5"/>
      <c r="KL719" s="5"/>
      <c r="KM719" s="5"/>
      <c r="KN719" s="5"/>
      <c r="KO719" s="5"/>
      <c r="KP719" s="5"/>
      <c r="KQ719" s="5"/>
      <c r="KR719" s="5"/>
      <c r="KS719" s="5"/>
      <c r="KT719" s="5"/>
      <c r="KU719" s="5"/>
      <c r="KV719" s="5"/>
      <c r="KW719" s="5"/>
      <c r="KX719" s="5"/>
      <c r="KY719" s="5"/>
      <c r="KZ719" s="5"/>
      <c r="LA719" s="5"/>
      <c r="LB719" s="5"/>
      <c r="LC719" s="5"/>
      <c r="LD719" s="5"/>
      <c r="LE719" s="5"/>
      <c r="LF719" s="5"/>
      <c r="LG719" s="5"/>
      <c r="LH719" s="5"/>
      <c r="LI719" s="5"/>
      <c r="LJ719" s="5"/>
      <c r="LK719" s="5"/>
      <c r="LL719" s="5"/>
      <c r="LM719" s="5"/>
      <c r="LN719" s="5"/>
      <c r="LO719" s="5"/>
      <c r="LP719" s="5"/>
      <c r="LQ719" s="5"/>
      <c r="LR719" s="5"/>
      <c r="LS719" s="5"/>
      <c r="LT719" s="5"/>
      <c r="LU719" s="5"/>
      <c r="LV719" s="5"/>
      <c r="LW719" s="5"/>
      <c r="LX719" s="5"/>
      <c r="LY719" s="5"/>
      <c r="LZ719" s="5"/>
      <c r="MA719" s="5"/>
      <c r="MB719" s="5"/>
      <c r="MC719" s="5"/>
      <c r="MD719" s="5"/>
      <c r="ME719" s="5"/>
      <c r="MF719" s="5"/>
      <c r="MG719" s="5"/>
      <c r="MH719" s="5"/>
      <c r="MI719" s="5"/>
      <c r="MJ719" s="5"/>
      <c r="MK719" s="5"/>
      <c r="ML719" s="5"/>
      <c r="MM719" s="5"/>
      <c r="MN719" s="5"/>
      <c r="MO719" s="5"/>
      <c r="MP719" s="5"/>
      <c r="MQ719" s="5"/>
      <c r="MR719" s="5"/>
      <c r="MS719" s="5"/>
      <c r="MT719" s="5"/>
      <c r="MU719" s="5"/>
      <c r="MV719" s="5"/>
      <c r="MW719" s="5"/>
      <c r="MX719" s="5"/>
      <c r="MY719" s="5"/>
      <c r="MZ719" s="5"/>
      <c r="NA719" s="5"/>
      <c r="NB719" s="5"/>
      <c r="NC719" s="5"/>
      <c r="ND719" s="5"/>
      <c r="NE719" s="5"/>
      <c r="NF719" s="5"/>
      <c r="NG719" s="5"/>
      <c r="NH719" s="5"/>
      <c r="NI719" s="5"/>
      <c r="NJ719" s="5"/>
      <c r="NK719" s="5"/>
      <c r="NL719" s="5"/>
      <c r="NM719" s="5"/>
      <c r="NN719" s="5"/>
      <c r="NO719" s="5"/>
      <c r="NP719" s="5"/>
      <c r="NQ719" s="5"/>
      <c r="NR719" s="5"/>
      <c r="NS719" s="5"/>
      <c r="NT719" s="5"/>
      <c r="NU719" s="5"/>
      <c r="NV719" s="5"/>
      <c r="NW719" s="5"/>
      <c r="NX719" s="5"/>
      <c r="NY719" s="5"/>
      <c r="NZ719" s="5"/>
      <c r="OA719" s="5"/>
      <c r="OB719" s="5"/>
      <c r="OC719" s="5"/>
      <c r="OD719" s="5"/>
      <c r="OE719" s="5"/>
      <c r="OF719" s="5"/>
      <c r="OG719" s="5"/>
      <c r="OH719" s="5"/>
      <c r="OI719" s="5"/>
      <c r="OJ719" s="5"/>
      <c r="OK719" s="5"/>
      <c r="OL719" s="5"/>
      <c r="OM719" s="5"/>
      <c r="ON719" s="5"/>
      <c r="OO719" s="5"/>
      <c r="OP719" s="5"/>
      <c r="OQ719" s="5"/>
      <c r="OR719" s="5"/>
      <c r="OS719" s="5"/>
      <c r="OT719" s="5"/>
      <c r="OU719" s="5"/>
      <c r="OV719" s="5"/>
      <c r="OW719" s="5"/>
      <c r="OX719" s="5"/>
      <c r="OY719" s="5"/>
      <c r="OZ719" s="5"/>
      <c r="PA719" s="5"/>
      <c r="PB719" s="5"/>
      <c r="PC719" s="5"/>
      <c r="PD719" s="5"/>
      <c r="PE719" s="5"/>
      <c r="PF719" s="5"/>
      <c r="PG719" s="5"/>
      <c r="PH719" s="5"/>
      <c r="PI719" s="5"/>
      <c r="PJ719" s="5"/>
      <c r="PK719" s="5"/>
      <c r="PL719" s="5"/>
      <c r="PM719" s="5"/>
      <c r="PN719" s="5"/>
      <c r="PO719" s="5"/>
      <c r="PP719" s="5"/>
      <c r="PQ719" s="5"/>
      <c r="PR719" s="5"/>
      <c r="PS719" s="5"/>
      <c r="PT719" s="5"/>
      <c r="PU719" s="5"/>
      <c r="PV719" s="5"/>
      <c r="PW719" s="5"/>
      <c r="PX719" s="5"/>
      <c r="PY719" s="5"/>
      <c r="PZ719" s="5"/>
      <c r="QA719" s="5"/>
      <c r="QB719" s="5"/>
      <c r="QC719" s="5"/>
      <c r="QD719" s="5"/>
      <c r="QE719" s="5"/>
      <c r="QF719" s="5"/>
      <c r="QG719" s="5"/>
      <c r="QH719" s="5"/>
      <c r="QI719" s="5"/>
      <c r="QJ719" s="5"/>
      <c r="QK719" s="5"/>
      <c r="QL719" s="5"/>
      <c r="QM719" s="5"/>
      <c r="QN719" s="5"/>
      <c r="QO719" s="5"/>
      <c r="QP719" s="5"/>
      <c r="QQ719" s="5"/>
      <c r="QR719" s="5"/>
      <c r="QS719" s="5"/>
      <c r="QT719" s="5"/>
      <c r="QU719" s="5"/>
      <c r="QV719" s="5"/>
      <c r="QW719" s="5"/>
      <c r="QX719" s="5"/>
      <c r="QY719" s="5"/>
      <c r="QZ719" s="5"/>
      <c r="RA719" s="5"/>
      <c r="RB719" s="5"/>
      <c r="RC719" s="5"/>
      <c r="RD719" s="5"/>
      <c r="RE719" s="5"/>
      <c r="RF719" s="5"/>
      <c r="RG719" s="5"/>
      <c r="RH719" s="5"/>
      <c r="RI719" s="5"/>
      <c r="RJ719" s="5"/>
      <c r="RK719" s="5"/>
      <c r="RL719" s="5"/>
      <c r="RM719" s="5"/>
      <c r="RN719" s="5"/>
      <c r="RO719" s="5"/>
      <c r="RP719" s="5"/>
      <c r="RQ719" s="5"/>
      <c r="RR719" s="5"/>
      <c r="RS719" s="5"/>
      <c r="RT719" s="5"/>
      <c r="RU719" s="5"/>
      <c r="RV719" s="5"/>
      <c r="RW719" s="5"/>
      <c r="RX719" s="5"/>
      <c r="RY719" s="5"/>
      <c r="RZ719" s="5"/>
      <c r="SA719" s="5"/>
      <c r="SB719" s="5"/>
      <c r="SC719" s="5"/>
      <c r="SD719" s="5"/>
      <c r="SE719" s="5"/>
      <c r="SF719" s="5"/>
      <c r="SG719" s="5"/>
      <c r="SH719" s="5"/>
      <c r="SI719" s="5"/>
      <c r="SJ719" s="5"/>
      <c r="SK719" s="5"/>
      <c r="SL719" s="5"/>
      <c r="SM719" s="5"/>
      <c r="SN719" s="5"/>
      <c r="SO719" s="5"/>
      <c r="SP719" s="5"/>
      <c r="SQ719" s="5"/>
      <c r="SR719" s="5"/>
      <c r="SS719" s="5"/>
      <c r="ST719" s="5"/>
      <c r="SU719" s="5"/>
      <c r="SV719" s="5"/>
      <c r="SW719" s="5"/>
      <c r="SX719" s="5"/>
      <c r="SY719" s="5"/>
      <c r="SZ719" s="5"/>
      <c r="TA719" s="5"/>
      <c r="TB719" s="5"/>
      <c r="TC719" s="5"/>
      <c r="TD719" s="5"/>
      <c r="TE719" s="5"/>
      <c r="TF719" s="5"/>
      <c r="TG719" s="5"/>
      <c r="TH719" s="5"/>
      <c r="TI719" s="5"/>
      <c r="TJ719" s="5"/>
      <c r="TK719" s="5"/>
      <c r="TL719" s="5"/>
      <c r="TM719" s="5"/>
      <c r="TN719" s="5"/>
      <c r="TO719" s="5"/>
      <c r="TP719" s="5"/>
      <c r="TQ719" s="5"/>
      <c r="TR719" s="5"/>
      <c r="TS719" s="5"/>
      <c r="TT719" s="5"/>
      <c r="TU719" s="5"/>
      <c r="TV719" s="5"/>
      <c r="TW719" s="5"/>
      <c r="TX719" s="5"/>
      <c r="TY719" s="5"/>
      <c r="TZ719" s="5"/>
      <c r="UA719" s="5"/>
      <c r="UB719" s="5"/>
      <c r="UC719" s="5"/>
      <c r="UD719" s="5"/>
      <c r="UE719" s="5"/>
      <c r="UF719" s="5"/>
      <c r="UG719" s="5"/>
      <c r="UH719" s="5"/>
      <c r="UI719" s="5"/>
      <c r="UJ719" s="5"/>
      <c r="UK719" s="5"/>
      <c r="UL719" s="5"/>
      <c r="UM719" s="5"/>
      <c r="UN719" s="5"/>
      <c r="UO719" s="5"/>
      <c r="UP719" s="5"/>
      <c r="UQ719" s="5"/>
      <c r="UR719" s="5"/>
      <c r="US719" s="5"/>
      <c r="UT719" s="5"/>
      <c r="UU719" s="5"/>
      <c r="UV719" s="5"/>
      <c r="UW719" s="5"/>
      <c r="UX719" s="5"/>
      <c r="UY719" s="5"/>
      <c r="UZ719" s="5"/>
      <c r="VA719" s="5"/>
      <c r="VB719" s="5"/>
      <c r="VC719" s="5"/>
      <c r="VD719" s="5"/>
      <c r="VE719" s="5"/>
      <c r="VF719" s="5"/>
      <c r="VG719" s="5"/>
      <c r="VH719" s="5"/>
      <c r="VI719" s="5"/>
      <c r="VJ719" s="5"/>
      <c r="VK719" s="5"/>
      <c r="VL719" s="5"/>
      <c r="VM719" s="5"/>
      <c r="VN719" s="5"/>
      <c r="VO719" s="5"/>
      <c r="VP719" s="5"/>
      <c r="VQ719" s="5"/>
      <c r="VR719" s="5"/>
      <c r="VS719" s="5"/>
      <c r="VT719" s="5"/>
      <c r="VU719" s="5"/>
      <c r="VV719" s="5"/>
      <c r="VW719" s="5"/>
      <c r="VX719" s="5"/>
      <c r="VY719" s="5"/>
      <c r="VZ719" s="5"/>
      <c r="WA719" s="5"/>
      <c r="WB719" s="5"/>
      <c r="WC719" s="5"/>
      <c r="WD719" s="5"/>
      <c r="WE719" s="5"/>
      <c r="WF719" s="5"/>
      <c r="WG719" s="5"/>
      <c r="WH719" s="5"/>
      <c r="WI719" s="5"/>
      <c r="WJ719" s="5"/>
      <c r="WK719" s="5"/>
      <c r="WL719" s="5"/>
      <c r="WM719" s="5"/>
      <c r="WN719" s="5"/>
      <c r="WO719" s="5"/>
      <c r="WP719" s="5"/>
      <c r="WQ719" s="5"/>
      <c r="WR719" s="5"/>
      <c r="WS719" s="5"/>
      <c r="WT719" s="5"/>
      <c r="WU719" s="5"/>
      <c r="WV719" s="5"/>
      <c r="WW719" s="5"/>
      <c r="WX719" s="5"/>
      <c r="WY719" s="5"/>
      <c r="WZ719" s="5"/>
      <c r="XA719" s="5"/>
      <c r="XB719" s="5"/>
      <c r="XC719" s="5"/>
      <c r="XD719" s="5"/>
      <c r="XE719" s="5"/>
      <c r="XF719" s="5"/>
      <c r="XG719" s="5"/>
      <c r="XH719" s="5"/>
      <c r="XI719" s="5"/>
      <c r="XJ719" s="5"/>
      <c r="XK719" s="5"/>
      <c r="XL719" s="5"/>
      <c r="XM719" s="5"/>
      <c r="XN719" s="5"/>
      <c r="XO719" s="5"/>
      <c r="XP719" s="5"/>
      <c r="XQ719" s="5"/>
      <c r="XR719" s="5"/>
      <c r="XS719" s="5"/>
      <c r="XT719" s="5"/>
      <c r="XU719" s="5"/>
      <c r="XV719" s="5"/>
      <c r="XW719" s="5"/>
      <c r="XX719" s="5"/>
      <c r="XY719" s="5"/>
      <c r="XZ719" s="5"/>
      <c r="YA719" s="5"/>
      <c r="YB719" s="5"/>
      <c r="YC719" s="5"/>
      <c r="YD719" s="5"/>
      <c r="YE719" s="5"/>
      <c r="YF719" s="5"/>
      <c r="YG719" s="5"/>
      <c r="YH719" s="5"/>
      <c r="YI719" s="5"/>
      <c r="YJ719" s="5"/>
      <c r="YK719" s="5"/>
      <c r="YL719" s="5"/>
      <c r="YM719" s="5"/>
      <c r="YN719" s="5"/>
      <c r="YO719" s="5"/>
      <c r="YP719" s="5"/>
      <c r="YQ719" s="5"/>
      <c r="YR719" s="5"/>
      <c r="YS719" s="5"/>
      <c r="YT719" s="5"/>
      <c r="YU719" s="5"/>
      <c r="YV719" s="5"/>
      <c r="YW719" s="5"/>
      <c r="YX719" s="5"/>
      <c r="YY719" s="5"/>
      <c r="YZ719" s="5"/>
      <c r="ZA719" s="5"/>
      <c r="ZB719" s="5"/>
      <c r="ZC719" s="5"/>
      <c r="ZD719" s="5"/>
      <c r="ZE719" s="5"/>
      <c r="ZF719" s="5"/>
      <c r="ZG719" s="5"/>
      <c r="ZH719" s="5"/>
      <c r="ZI719" s="5"/>
      <c r="ZJ719" s="5"/>
      <c r="ZK719" s="5"/>
      <c r="ZL719" s="5"/>
      <c r="ZM719" s="5"/>
      <c r="ZN719" s="5"/>
      <c r="ZO719" s="5"/>
      <c r="ZP719" s="5"/>
      <c r="ZQ719" s="5"/>
      <c r="ZR719" s="5"/>
      <c r="ZS719" s="5"/>
      <c r="ZT719" s="5"/>
      <c r="ZU719" s="5"/>
      <c r="ZV719" s="5"/>
      <c r="ZW719" s="5"/>
      <c r="ZX719" s="5"/>
      <c r="ZY719" s="5"/>
      <c r="ZZ719" s="5"/>
      <c r="AAA719" s="5"/>
      <c r="AAB719" s="5"/>
      <c r="AAC719" s="5"/>
      <c r="AAD719" s="5"/>
      <c r="AAE719" s="5"/>
      <c r="AAF719" s="5"/>
      <c r="AAG719" s="5"/>
      <c r="AAH719" s="5"/>
      <c r="AAI719" s="5"/>
      <c r="AAJ719" s="5"/>
      <c r="AAK719" s="5"/>
      <c r="AAL719" s="5"/>
      <c r="AAM719" s="5"/>
      <c r="AAN719" s="5"/>
      <c r="AAO719" s="5"/>
      <c r="AAP719" s="5"/>
      <c r="AAQ719" s="5"/>
      <c r="AAR719" s="5"/>
      <c r="AAS719" s="5"/>
      <c r="AAT719" s="5"/>
      <c r="AAU719" s="5"/>
      <c r="AAV719" s="5"/>
      <c r="AAW719" s="5"/>
      <c r="AAX719" s="5"/>
      <c r="AAY719" s="5"/>
      <c r="AAZ719" s="5"/>
      <c r="ABA719" s="5"/>
      <c r="ABB719" s="5"/>
      <c r="ABC719" s="5"/>
      <c r="ABD719" s="5"/>
      <c r="ABE719" s="5"/>
      <c r="ABF719" s="5"/>
      <c r="ABG719" s="5"/>
      <c r="ABH719" s="5"/>
      <c r="ABI719" s="5"/>
      <c r="ABJ719" s="5"/>
      <c r="ABK719" s="5"/>
      <c r="ABL719" s="5"/>
      <c r="ABM719" s="5"/>
      <c r="ABN719" s="5"/>
      <c r="ABO719" s="5"/>
      <c r="ABP719" s="5"/>
      <c r="ABQ719" s="5"/>
      <c r="ABR719" s="5"/>
      <c r="ABS719" s="5"/>
      <c r="ABT719" s="5"/>
      <c r="ABU719" s="5"/>
      <c r="ABV719" s="5"/>
      <c r="ABW719" s="5"/>
      <c r="ABX719" s="5"/>
      <c r="ABY719" s="5"/>
      <c r="ABZ719" s="5"/>
      <c r="ACA719" s="5"/>
      <c r="ACB719" s="5"/>
      <c r="ACC719" s="5"/>
      <c r="ACD719" s="5"/>
      <c r="ACE719" s="5"/>
      <c r="ACF719" s="5"/>
      <c r="ACG719" s="5"/>
      <c r="ACH719" s="5"/>
      <c r="ACI719" s="5"/>
      <c r="ACJ719" s="5"/>
      <c r="ACK719" s="5"/>
      <c r="ACL719" s="5"/>
      <c r="ACM719" s="5"/>
      <c r="ACN719" s="5"/>
      <c r="ACO719" s="5"/>
      <c r="ACP719" s="5"/>
      <c r="ACQ719" s="5"/>
      <c r="ACR719" s="5"/>
      <c r="ACS719" s="5"/>
      <c r="ACT719" s="5"/>
      <c r="ACU719" s="5"/>
      <c r="ACV719" s="5"/>
      <c r="ACW719" s="5"/>
      <c r="ACX719" s="5"/>
      <c r="ACY719" s="5"/>
      <c r="ACZ719" s="5"/>
      <c r="ADA719" s="5"/>
      <c r="ADB719" s="5"/>
      <c r="ADC719" s="5"/>
      <c r="ADD719" s="5"/>
      <c r="ADE719" s="5"/>
      <c r="ADF719" s="5"/>
      <c r="ADG719" s="5"/>
      <c r="ADH719" s="5"/>
      <c r="ADI719" s="5"/>
      <c r="ADJ719" s="5"/>
      <c r="ADK719" s="5"/>
      <c r="ADL719" s="5"/>
      <c r="ADM719" s="5"/>
      <c r="ADN719" s="5"/>
      <c r="ADO719" s="5"/>
      <c r="ADP719" s="5"/>
      <c r="ADQ719" s="5"/>
      <c r="ADR719" s="5"/>
      <c r="ADS719" s="5"/>
      <c r="ADT719" s="5"/>
      <c r="ADU719" s="5"/>
      <c r="ADV719" s="5"/>
      <c r="ADW719" s="5"/>
      <c r="ADX719" s="5"/>
      <c r="ADY719" s="5"/>
      <c r="ADZ719" s="5"/>
      <c r="AEA719" s="5"/>
      <c r="AEB719" s="5"/>
      <c r="AEC719" s="5"/>
      <c r="AED719" s="5"/>
      <c r="AEE719" s="5"/>
      <c r="AEF719" s="5"/>
      <c r="AEG719" s="5"/>
      <c r="AEH719" s="5"/>
      <c r="AEI719" s="5"/>
      <c r="AEJ719" s="5"/>
      <c r="AEK719" s="5"/>
      <c r="AEL719" s="5"/>
      <c r="AEM719" s="5"/>
      <c r="AEN719" s="5"/>
      <c r="AEO719" s="5"/>
      <c r="AEP719" s="5"/>
      <c r="AEQ719" s="5"/>
      <c r="AER719" s="5"/>
      <c r="AES719" s="5"/>
      <c r="AET719" s="5"/>
      <c r="AEU719" s="5"/>
      <c r="AEV719" s="5"/>
      <c r="AEW719" s="5"/>
      <c r="AEX719" s="5"/>
      <c r="AEY719" s="5"/>
      <c r="AEZ719" s="5"/>
      <c r="AFA719" s="5"/>
      <c r="AFB719" s="5"/>
      <c r="AFC719" s="5"/>
      <c r="AFD719" s="5"/>
      <c r="AFE719" s="5"/>
      <c r="AFF719" s="5"/>
      <c r="AFG719" s="5"/>
      <c r="AFH719" s="5"/>
      <c r="AFI719" s="5"/>
      <c r="AFJ719" s="5"/>
      <c r="AFK719" s="5"/>
      <c r="AFL719" s="5"/>
      <c r="AFM719" s="5"/>
      <c r="AFN719" s="5"/>
      <c r="AFO719" s="5"/>
      <c r="AFP719" s="5"/>
      <c r="AFQ719" s="5"/>
      <c r="AFR719" s="5"/>
      <c r="AFS719" s="5"/>
      <c r="AFT719" s="5"/>
      <c r="AFU719" s="5"/>
      <c r="AFV719" s="5"/>
      <c r="AFW719" s="5"/>
      <c r="AFX719" s="5"/>
      <c r="AFY719" s="5"/>
      <c r="AFZ719" s="5"/>
      <c r="AGA719" s="5"/>
      <c r="AGB719" s="5"/>
      <c r="AGC719" s="5"/>
      <c r="AGD719" s="5"/>
      <c r="AGE719" s="5"/>
      <c r="AGF719" s="5"/>
      <c r="AGG719" s="5"/>
      <c r="AGH719" s="5"/>
      <c r="AGI719" s="5"/>
      <c r="AGJ719" s="5"/>
      <c r="AGK719" s="5"/>
      <c r="AGL719" s="5"/>
      <c r="AGM719" s="5"/>
      <c r="AGN719" s="5"/>
      <c r="AGO719" s="5"/>
      <c r="AGP719" s="5"/>
      <c r="AGQ719" s="5"/>
      <c r="AGR719" s="5"/>
      <c r="AGS719" s="5"/>
      <c r="AGT719" s="5"/>
      <c r="AGU719" s="5"/>
      <c r="AGV719" s="5"/>
      <c r="AGW719" s="5"/>
      <c r="AGX719" s="5"/>
      <c r="AGY719" s="5"/>
      <c r="AGZ719" s="5"/>
      <c r="AHA719" s="5"/>
      <c r="AHB719" s="5"/>
      <c r="AHC719" s="5"/>
      <c r="AHD719" s="5"/>
      <c r="AHE719" s="5"/>
      <c r="AHF719" s="5"/>
      <c r="AHG719" s="5"/>
      <c r="AHH719" s="5"/>
      <c r="AHI719" s="5"/>
      <c r="AHJ719" s="5"/>
      <c r="AHK719" s="5"/>
      <c r="AHL719" s="5"/>
      <c r="AHM719" s="5"/>
      <c r="AHN719" s="5"/>
      <c r="AHO719" s="5"/>
      <c r="AHP719" s="5"/>
      <c r="AHQ719" s="5"/>
      <c r="AHR719" s="5"/>
      <c r="AHS719" s="5"/>
      <c r="AHT719" s="5"/>
      <c r="AHU719" s="5"/>
      <c r="AHV719" s="5"/>
      <c r="AHW719" s="5"/>
      <c r="AHX719" s="5"/>
      <c r="AHY719" s="5"/>
      <c r="AHZ719" s="5"/>
      <c r="AIA719" s="5"/>
      <c r="AIB719" s="5"/>
      <c r="AIC719" s="5"/>
      <c r="AID719" s="5"/>
      <c r="AIE719" s="5"/>
      <c r="AIF719" s="5"/>
      <c r="AIG719" s="5"/>
      <c r="AIH719" s="5"/>
      <c r="AII719" s="5"/>
      <c r="AIJ719" s="5"/>
      <c r="AIK719" s="5"/>
      <c r="AIL719" s="5"/>
      <c r="AIM719" s="5"/>
      <c r="AIN719" s="5"/>
      <c r="AIO719" s="5"/>
      <c r="AIP719" s="5"/>
      <c r="AIQ719" s="5"/>
      <c r="AIR719" s="5"/>
      <c r="AIS719" s="5"/>
      <c r="AIT719" s="5"/>
      <c r="AIU719" s="5"/>
      <c r="AIV719" s="5"/>
      <c r="AIW719" s="5"/>
      <c r="AIX719" s="5"/>
      <c r="AIY719" s="5"/>
      <c r="AIZ719" s="5"/>
      <c r="AJA719" s="5"/>
      <c r="AJB719" s="5"/>
      <c r="AJC719" s="5"/>
      <c r="AJD719" s="5"/>
      <c r="AJE719" s="5"/>
      <c r="AJF719" s="5"/>
      <c r="AJG719" s="5"/>
      <c r="AJH719" s="5"/>
      <c r="AJI719" s="5"/>
      <c r="AJJ719" s="5"/>
      <c r="AJK719" s="5"/>
      <c r="AJL719" s="5"/>
      <c r="AJM719" s="5"/>
      <c r="AJN719" s="5"/>
      <c r="AJO719" s="5"/>
      <c r="AJP719" s="5"/>
      <c r="AJQ719" s="5"/>
      <c r="AJR719" s="5"/>
      <c r="AJS719" s="5"/>
      <c r="AJT719" s="5"/>
      <c r="AJU719" s="5"/>
      <c r="AJV719" s="5"/>
      <c r="AJW719" s="5"/>
      <c r="AJX719" s="5"/>
      <c r="AJY719" s="5"/>
      <c r="AJZ719" s="5"/>
      <c r="AKA719" s="5"/>
      <c r="AKB719" s="5"/>
      <c r="AKC719" s="5"/>
      <c r="AKD719" s="5"/>
      <c r="AKE719" s="5"/>
      <c r="AKF719" s="5"/>
      <c r="AKG719" s="5"/>
      <c r="AKH719" s="5"/>
      <c r="AKI719" s="5"/>
      <c r="AKJ719" s="5"/>
      <c r="AKK719" s="5"/>
      <c r="AKL719" s="5"/>
      <c r="AKM719" s="5"/>
      <c r="AKN719" s="5"/>
      <c r="AKO719" s="5"/>
      <c r="AKP719" s="5"/>
      <c r="AKQ719" s="5"/>
      <c r="AKR719" s="5"/>
      <c r="AKS719" s="5"/>
      <c r="AKT719" s="5"/>
      <c r="AKU719" s="5"/>
      <c r="AKV719" s="5"/>
      <c r="AKW719" s="5"/>
      <c r="AKX719" s="5"/>
      <c r="AKY719" s="5"/>
      <c r="AKZ719" s="5"/>
      <c r="ALA719" s="5"/>
      <c r="ALB719" s="5"/>
      <c r="ALC719" s="5"/>
      <c r="ALD719" s="5"/>
      <c r="ALE719" s="5"/>
      <c r="ALF719" s="5"/>
      <c r="ALG719" s="5"/>
      <c r="ALH719" s="5"/>
      <c r="ALI719" s="5"/>
      <c r="ALJ719" s="5"/>
      <c r="ALK719" s="5"/>
      <c r="ALL719" s="5"/>
      <c r="ALM719" s="5"/>
      <c r="ALN719" s="5"/>
      <c r="ALO719" s="5"/>
      <c r="ALP719" s="5"/>
      <c r="ALQ719" s="5"/>
      <c r="ALR719" s="5"/>
      <c r="ALS719" s="5"/>
      <c r="ALT719" s="5"/>
      <c r="ALU719" s="5"/>
      <c r="ALV719" s="5"/>
      <c r="ALW719" s="5"/>
      <c r="ALX719" s="5"/>
      <c r="ALY719" s="5"/>
      <c r="ALZ719" s="5"/>
      <c r="AMA719" s="5"/>
      <c r="AMB719" s="5"/>
      <c r="AMC719" s="5"/>
      <c r="AMD719" s="5"/>
      <c r="AME719" s="5"/>
      <c r="AMF719" s="5"/>
      <c r="AMG719" s="5"/>
      <c r="AMH719" s="5"/>
      <c r="AMI719" s="5"/>
      <c r="AMJ719" s="5"/>
      <c r="AMK719" s="5"/>
      <c r="AML719" s="5"/>
      <c r="AMM719" s="5"/>
      <c r="AMN719" s="5"/>
      <c r="AMO719" s="5"/>
      <c r="AMP719" s="5"/>
      <c r="AMQ719" s="5"/>
      <c r="AMR719" s="5"/>
      <c r="AMS719" s="5"/>
      <c r="AMT719" s="5"/>
      <c r="AMU719" s="5"/>
      <c r="AMV719" s="5"/>
      <c r="AMW719" s="5"/>
      <c r="AMX719" s="5"/>
      <c r="AMY719" s="5"/>
      <c r="AMZ719" s="5"/>
      <c r="ANA719" s="5"/>
      <c r="ANB719" s="5"/>
      <c r="ANC719" s="5"/>
      <c r="AND719" s="5"/>
      <c r="ANE719" s="5"/>
      <c r="ANF719" s="5"/>
      <c r="ANG719" s="5"/>
      <c r="ANH719" s="5"/>
      <c r="ANI719" s="5"/>
      <c r="ANJ719" s="5"/>
      <c r="ANK719" s="5"/>
      <c r="ANL719" s="5"/>
      <c r="ANM719" s="5"/>
      <c r="ANN719" s="5"/>
      <c r="ANO719" s="5"/>
      <c r="ANP719" s="5"/>
      <c r="ANQ719" s="5"/>
      <c r="ANR719" s="5"/>
      <c r="ANS719" s="5"/>
      <c r="ANT719" s="5"/>
      <c r="ANU719" s="5"/>
      <c r="ANV719" s="5"/>
      <c r="ANW719" s="5"/>
      <c r="ANX719" s="5"/>
      <c r="ANY719" s="5"/>
      <c r="ANZ719" s="5"/>
      <c r="AOA719" s="5"/>
      <c r="AOB719" s="5"/>
      <c r="AOC719" s="5"/>
      <c r="AOD719" s="5"/>
      <c r="AOE719" s="5"/>
      <c r="AOF719" s="5"/>
      <c r="AOG719" s="5"/>
      <c r="AOH719" s="5"/>
      <c r="AOI719" s="5"/>
      <c r="AOJ719" s="5"/>
      <c r="AOK719" s="5"/>
      <c r="AOL719" s="5"/>
      <c r="AOM719" s="5"/>
      <c r="AON719" s="5"/>
      <c r="AOO719" s="5"/>
      <c r="AOP719" s="5"/>
      <c r="AOQ719" s="5"/>
      <c r="AOR719" s="5"/>
      <c r="AOS719" s="5"/>
      <c r="AOT719" s="5"/>
      <c r="AOU719" s="5"/>
      <c r="AOV719" s="5"/>
      <c r="AOW719" s="5"/>
      <c r="AOX719" s="5"/>
      <c r="AOY719" s="5"/>
      <c r="AOZ719" s="5"/>
      <c r="APA719" s="5"/>
      <c r="APB719" s="5"/>
      <c r="APC719" s="5"/>
      <c r="APD719" s="5"/>
      <c r="APE719" s="5"/>
      <c r="APF719" s="5"/>
      <c r="APG719" s="5"/>
      <c r="APH719" s="5"/>
      <c r="API719" s="5"/>
      <c r="APJ719" s="5"/>
      <c r="APK719" s="5"/>
      <c r="APL719" s="5"/>
      <c r="APM719" s="5"/>
      <c r="APN719" s="5"/>
      <c r="APO719" s="5"/>
      <c r="APP719" s="5"/>
      <c r="APQ719" s="5"/>
      <c r="APR719" s="5"/>
      <c r="APS719" s="5"/>
      <c r="APT719" s="5"/>
      <c r="APU719" s="5"/>
      <c r="APV719" s="5"/>
      <c r="APW719" s="5"/>
      <c r="APX719" s="5"/>
      <c r="APY719" s="5"/>
      <c r="APZ719" s="5"/>
      <c r="AQA719" s="5"/>
      <c r="AQB719" s="5"/>
      <c r="AQC719" s="5"/>
      <c r="AQD719" s="5"/>
      <c r="AQE719" s="5"/>
      <c r="AQF719" s="5"/>
      <c r="AQG719" s="5"/>
      <c r="AQH719" s="5"/>
      <c r="AQI719" s="5"/>
      <c r="AQJ719" s="5"/>
      <c r="AQK719" s="5"/>
      <c r="AQL719" s="5"/>
      <c r="AQM719" s="5"/>
      <c r="AQN719" s="5"/>
      <c r="AQO719" s="5"/>
      <c r="AQP719" s="5"/>
      <c r="AQQ719" s="5"/>
      <c r="AQR719" s="5"/>
      <c r="AQS719" s="5"/>
      <c r="AQT719" s="5"/>
      <c r="AQU719" s="5"/>
      <c r="AQV719" s="5"/>
      <c r="AQW719" s="5"/>
      <c r="AQX719" s="5"/>
      <c r="AQY719" s="5"/>
      <c r="AQZ719" s="5"/>
      <c r="ARA719" s="5"/>
      <c r="ARB719" s="5"/>
      <c r="ARC719" s="5"/>
      <c r="ARD719" s="5"/>
      <c r="ARE719" s="5"/>
      <c r="ARF719" s="5"/>
      <c r="ARG719" s="5"/>
      <c r="ARH719" s="5"/>
      <c r="ARI719" s="5"/>
      <c r="ARJ719" s="5"/>
      <c r="ARK719" s="5"/>
      <c r="ARL719" s="5"/>
      <c r="ARM719" s="5"/>
      <c r="ARN719" s="5"/>
      <c r="ARO719" s="5"/>
      <c r="ARP719" s="5"/>
      <c r="ARQ719" s="5"/>
      <c r="ARR719" s="5"/>
      <c r="ARS719" s="5"/>
      <c r="ART719" s="5"/>
      <c r="ARU719" s="5"/>
      <c r="ARV719" s="5"/>
      <c r="ARW719" s="5"/>
      <c r="ARX719" s="5"/>
      <c r="ARY719" s="5"/>
      <c r="ARZ719" s="5"/>
      <c r="ASA719" s="5"/>
      <c r="ASB719" s="5"/>
      <c r="ASC719" s="5"/>
      <c r="ASD719" s="5"/>
      <c r="ASE719" s="5"/>
      <c r="ASF719" s="5"/>
      <c r="ASG719" s="5"/>
      <c r="ASH719" s="5"/>
      <c r="ASI719" s="5"/>
      <c r="ASJ719" s="5"/>
      <c r="ASK719" s="5"/>
      <c r="ASL719" s="5"/>
      <c r="ASM719" s="5"/>
      <c r="ASN719" s="5"/>
      <c r="ASO719" s="5"/>
      <c r="ASP719" s="5"/>
      <c r="ASQ719" s="5"/>
      <c r="ASR719" s="5"/>
      <c r="ASS719" s="5"/>
      <c r="AST719" s="5"/>
      <c r="ASU719" s="5"/>
      <c r="ASV719" s="5"/>
      <c r="ASW719" s="5"/>
      <c r="ASX719" s="5"/>
      <c r="ASY719" s="5"/>
      <c r="ASZ719" s="5"/>
      <c r="ATA719" s="5"/>
      <c r="ATB719" s="5"/>
      <c r="ATC719" s="5"/>
      <c r="ATD719" s="5"/>
      <c r="ATE719" s="5"/>
      <c r="ATF719" s="5"/>
      <c r="ATG719" s="5"/>
      <c r="ATH719" s="5"/>
      <c r="ATI719" s="5"/>
      <c r="ATJ719" s="5"/>
      <c r="ATK719" s="5"/>
      <c r="ATL719" s="5"/>
      <c r="ATM719" s="5"/>
      <c r="ATN719" s="5"/>
      <c r="ATO719" s="5"/>
      <c r="ATP719" s="5"/>
      <c r="ATQ719" s="5"/>
      <c r="ATR719" s="5"/>
      <c r="ATS719" s="5"/>
      <c r="ATT719" s="5"/>
      <c r="ATU719" s="5"/>
      <c r="ATV719" s="5"/>
      <c r="ATW719" s="5"/>
      <c r="ATX719" s="5"/>
    </row>
    <row r="720" spans="1:1220" s="67" customFormat="1" ht="12.75" customHeight="1" x14ac:dyDescent="0.35">
      <c r="A720" s="76" t="s">
        <v>229</v>
      </c>
      <c r="B720" s="99" t="s">
        <v>278</v>
      </c>
      <c r="C720" s="76" t="s">
        <v>2620</v>
      </c>
      <c r="D720" s="142" t="s">
        <v>2620</v>
      </c>
      <c r="E720" s="76"/>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c r="DS720" s="5"/>
      <c r="DT720" s="5"/>
      <c r="DU720" s="5"/>
      <c r="DV720" s="5"/>
      <c r="DW720" s="5"/>
      <c r="DX720" s="5"/>
      <c r="DY720" s="5"/>
      <c r="DZ720" s="5"/>
      <c r="EA720" s="5"/>
      <c r="EB720" s="5"/>
      <c r="EC720" s="5"/>
      <c r="ED720" s="5"/>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s="5"/>
      <c r="FG720" s="5"/>
      <c r="FH720" s="5"/>
      <c r="FI720" s="5"/>
      <c r="FJ720" s="5"/>
      <c r="FK720" s="5"/>
      <c r="FL720" s="5"/>
      <c r="FM720" s="5"/>
      <c r="FN720" s="5"/>
      <c r="FO720" s="5"/>
      <c r="FP720" s="5"/>
      <c r="FQ720" s="5"/>
      <c r="FR720" s="5"/>
      <c r="FS720" s="5"/>
      <c r="FT720" s="5"/>
      <c r="FU720" s="5"/>
      <c r="FV720" s="5"/>
      <c r="FW720" s="5"/>
      <c r="FX720" s="5"/>
      <c r="FY720" s="5"/>
      <c r="FZ720" s="5"/>
      <c r="GA720" s="5"/>
      <c r="GB720" s="5"/>
      <c r="GC720" s="5"/>
      <c r="GD720" s="5"/>
      <c r="GE720" s="5"/>
      <c r="GF720" s="5"/>
      <c r="GG720" s="5"/>
      <c r="GH720" s="5"/>
      <c r="GI720" s="5"/>
      <c r="GJ720" s="5"/>
      <c r="GK720" s="5"/>
      <c r="GL720" s="5"/>
      <c r="GM720" s="5"/>
      <c r="GN720" s="5"/>
      <c r="GO720" s="5"/>
      <c r="GP720" s="5"/>
      <c r="GQ720" s="5"/>
      <c r="GR720" s="5"/>
      <c r="GS720" s="5"/>
      <c r="GT720" s="5"/>
      <c r="GU720" s="5"/>
      <c r="GV720" s="5"/>
      <c r="GW720" s="5"/>
      <c r="GX720" s="5"/>
      <c r="GY720" s="5"/>
      <c r="GZ720" s="5"/>
      <c r="HA720" s="5"/>
      <c r="HB720" s="5"/>
      <c r="HC720" s="5"/>
      <c r="HD720" s="5"/>
      <c r="HE720" s="5"/>
      <c r="HF720" s="5"/>
      <c r="HG720" s="5"/>
      <c r="HH720" s="5"/>
      <c r="HI720" s="5"/>
      <c r="HJ720" s="5"/>
      <c r="HK720" s="5"/>
      <c r="HL720" s="5"/>
      <c r="HM720" s="5"/>
      <c r="HN720" s="5"/>
      <c r="HO720" s="5"/>
      <c r="HP720" s="5"/>
      <c r="HQ720" s="5"/>
      <c r="HR720" s="5"/>
      <c r="HS720" s="5"/>
      <c r="HT720" s="5"/>
      <c r="HU720" s="5"/>
      <c r="HV720" s="5"/>
      <c r="HW720" s="5"/>
      <c r="HX720" s="5"/>
      <c r="HY720" s="5"/>
      <c r="HZ720" s="5"/>
      <c r="IA720" s="5"/>
      <c r="IB720" s="5"/>
      <c r="IC720" s="5"/>
      <c r="ID720" s="5"/>
      <c r="IE720" s="5"/>
      <c r="IF720" s="5"/>
      <c r="IG720" s="5"/>
      <c r="IH720" s="5"/>
      <c r="II720" s="5"/>
      <c r="IJ720" s="5"/>
      <c r="IK720" s="5"/>
      <c r="IL720" s="5"/>
      <c r="IM720" s="5"/>
      <c r="IN720" s="5"/>
      <c r="IO720" s="5"/>
      <c r="IP720" s="5"/>
      <c r="IQ720" s="5"/>
      <c r="IR720" s="5"/>
      <c r="IS720" s="5"/>
      <c r="IT720" s="5"/>
      <c r="IU720" s="5"/>
      <c r="IV720" s="5"/>
      <c r="IW720" s="5"/>
      <c r="IX720" s="5"/>
      <c r="IY720" s="5"/>
      <c r="IZ720" s="5"/>
      <c r="JA720" s="5"/>
      <c r="JB720" s="5"/>
      <c r="JC720" s="5"/>
      <c r="JD720" s="5"/>
      <c r="JE720" s="5"/>
      <c r="JF720" s="5"/>
      <c r="JG720" s="5"/>
      <c r="JH720" s="5"/>
      <c r="JI720" s="5"/>
      <c r="JJ720" s="5"/>
      <c r="JK720" s="5"/>
      <c r="JL720" s="5"/>
      <c r="JM720" s="5"/>
      <c r="JN720" s="5"/>
      <c r="JO720" s="5"/>
      <c r="JP720" s="5"/>
      <c r="JQ720" s="5"/>
      <c r="JR720" s="5"/>
      <c r="JS720" s="5"/>
      <c r="JT720" s="5"/>
      <c r="JU720" s="5"/>
      <c r="JV720" s="5"/>
      <c r="JW720" s="5"/>
      <c r="JX720" s="5"/>
      <c r="JY720" s="5"/>
      <c r="JZ720" s="5"/>
      <c r="KA720" s="5"/>
      <c r="KB720" s="5"/>
      <c r="KC720" s="5"/>
      <c r="KD720" s="5"/>
      <c r="KE720" s="5"/>
      <c r="KF720" s="5"/>
      <c r="KG720" s="5"/>
      <c r="KH720" s="5"/>
      <c r="KI720" s="5"/>
      <c r="KJ720" s="5"/>
      <c r="KK720" s="5"/>
      <c r="KL720" s="5"/>
      <c r="KM720" s="5"/>
      <c r="KN720" s="5"/>
      <c r="KO720" s="5"/>
      <c r="KP720" s="5"/>
      <c r="KQ720" s="5"/>
      <c r="KR720" s="5"/>
      <c r="KS720" s="5"/>
      <c r="KT720" s="5"/>
      <c r="KU720" s="5"/>
      <c r="KV720" s="5"/>
      <c r="KW720" s="5"/>
      <c r="KX720" s="5"/>
      <c r="KY720" s="5"/>
      <c r="KZ720" s="5"/>
      <c r="LA720" s="5"/>
      <c r="LB720" s="5"/>
      <c r="LC720" s="5"/>
      <c r="LD720" s="5"/>
      <c r="LE720" s="5"/>
      <c r="LF720" s="5"/>
      <c r="LG720" s="5"/>
      <c r="LH720" s="5"/>
      <c r="LI720" s="5"/>
      <c r="LJ720" s="5"/>
      <c r="LK720" s="5"/>
      <c r="LL720" s="5"/>
      <c r="LM720" s="5"/>
      <c r="LN720" s="5"/>
      <c r="LO720" s="5"/>
      <c r="LP720" s="5"/>
      <c r="LQ720" s="5"/>
      <c r="LR720" s="5"/>
      <c r="LS720" s="5"/>
      <c r="LT720" s="5"/>
      <c r="LU720" s="5"/>
      <c r="LV720" s="5"/>
      <c r="LW720" s="5"/>
      <c r="LX720" s="5"/>
      <c r="LY720" s="5"/>
      <c r="LZ720" s="5"/>
      <c r="MA720" s="5"/>
      <c r="MB720" s="5"/>
      <c r="MC720" s="5"/>
      <c r="MD720" s="5"/>
      <c r="ME720" s="5"/>
      <c r="MF720" s="5"/>
      <c r="MG720" s="5"/>
      <c r="MH720" s="5"/>
      <c r="MI720" s="5"/>
      <c r="MJ720" s="5"/>
      <c r="MK720" s="5"/>
      <c r="ML720" s="5"/>
      <c r="MM720" s="5"/>
      <c r="MN720" s="5"/>
      <c r="MO720" s="5"/>
      <c r="MP720" s="5"/>
      <c r="MQ720" s="5"/>
      <c r="MR720" s="5"/>
      <c r="MS720" s="5"/>
      <c r="MT720" s="5"/>
      <c r="MU720" s="5"/>
      <c r="MV720" s="5"/>
      <c r="MW720" s="5"/>
      <c r="MX720" s="5"/>
      <c r="MY720" s="5"/>
      <c r="MZ720" s="5"/>
      <c r="NA720" s="5"/>
      <c r="NB720" s="5"/>
      <c r="NC720" s="5"/>
      <c r="ND720" s="5"/>
      <c r="NE720" s="5"/>
      <c r="NF720" s="5"/>
      <c r="NG720" s="5"/>
      <c r="NH720" s="5"/>
      <c r="NI720" s="5"/>
      <c r="NJ720" s="5"/>
      <c r="NK720" s="5"/>
      <c r="NL720" s="5"/>
      <c r="NM720" s="5"/>
      <c r="NN720" s="5"/>
      <c r="NO720" s="5"/>
      <c r="NP720" s="5"/>
      <c r="NQ720" s="5"/>
      <c r="NR720" s="5"/>
      <c r="NS720" s="5"/>
      <c r="NT720" s="5"/>
      <c r="NU720" s="5"/>
      <c r="NV720" s="5"/>
      <c r="NW720" s="5"/>
      <c r="NX720" s="5"/>
      <c r="NY720" s="5"/>
      <c r="NZ720" s="5"/>
      <c r="OA720" s="5"/>
      <c r="OB720" s="5"/>
      <c r="OC720" s="5"/>
      <c r="OD720" s="5"/>
      <c r="OE720" s="5"/>
      <c r="OF720" s="5"/>
      <c r="OG720" s="5"/>
      <c r="OH720" s="5"/>
      <c r="OI720" s="5"/>
      <c r="OJ720" s="5"/>
      <c r="OK720" s="5"/>
      <c r="OL720" s="5"/>
      <c r="OM720" s="5"/>
      <c r="ON720" s="5"/>
      <c r="OO720" s="5"/>
      <c r="OP720" s="5"/>
      <c r="OQ720" s="5"/>
      <c r="OR720" s="5"/>
      <c r="OS720" s="5"/>
      <c r="OT720" s="5"/>
      <c r="OU720" s="5"/>
      <c r="OV720" s="5"/>
      <c r="OW720" s="5"/>
      <c r="OX720" s="5"/>
      <c r="OY720" s="5"/>
      <c r="OZ720" s="5"/>
      <c r="PA720" s="5"/>
      <c r="PB720" s="5"/>
      <c r="PC720" s="5"/>
      <c r="PD720" s="5"/>
      <c r="PE720" s="5"/>
      <c r="PF720" s="5"/>
      <c r="PG720" s="5"/>
      <c r="PH720" s="5"/>
      <c r="PI720" s="5"/>
      <c r="PJ720" s="5"/>
      <c r="PK720" s="5"/>
      <c r="PL720" s="5"/>
      <c r="PM720" s="5"/>
      <c r="PN720" s="5"/>
      <c r="PO720" s="5"/>
      <c r="PP720" s="5"/>
      <c r="PQ720" s="5"/>
      <c r="PR720" s="5"/>
      <c r="PS720" s="5"/>
      <c r="PT720" s="5"/>
      <c r="PU720" s="5"/>
      <c r="PV720" s="5"/>
      <c r="PW720" s="5"/>
      <c r="PX720" s="5"/>
      <c r="PY720" s="5"/>
      <c r="PZ720" s="5"/>
      <c r="QA720" s="5"/>
      <c r="QB720" s="5"/>
      <c r="QC720" s="5"/>
      <c r="QD720" s="5"/>
      <c r="QE720" s="5"/>
      <c r="QF720" s="5"/>
      <c r="QG720" s="5"/>
      <c r="QH720" s="5"/>
      <c r="QI720" s="5"/>
      <c r="QJ720" s="5"/>
      <c r="QK720" s="5"/>
      <c r="QL720" s="5"/>
      <c r="QM720" s="5"/>
      <c r="QN720" s="5"/>
      <c r="QO720" s="5"/>
      <c r="QP720" s="5"/>
      <c r="QQ720" s="5"/>
      <c r="QR720" s="5"/>
      <c r="QS720" s="5"/>
      <c r="QT720" s="5"/>
      <c r="QU720" s="5"/>
      <c r="QV720" s="5"/>
      <c r="QW720" s="5"/>
      <c r="QX720" s="5"/>
      <c r="QY720" s="5"/>
      <c r="QZ720" s="5"/>
      <c r="RA720" s="5"/>
      <c r="RB720" s="5"/>
      <c r="RC720" s="5"/>
      <c r="RD720" s="5"/>
      <c r="RE720" s="5"/>
      <c r="RF720" s="5"/>
      <c r="RG720" s="5"/>
      <c r="RH720" s="5"/>
      <c r="RI720" s="5"/>
      <c r="RJ720" s="5"/>
      <c r="RK720" s="5"/>
      <c r="RL720" s="5"/>
      <c r="RM720" s="5"/>
      <c r="RN720" s="5"/>
      <c r="RO720" s="5"/>
      <c r="RP720" s="5"/>
      <c r="RQ720" s="5"/>
      <c r="RR720" s="5"/>
      <c r="RS720" s="5"/>
      <c r="RT720" s="5"/>
      <c r="RU720" s="5"/>
      <c r="RV720" s="5"/>
      <c r="RW720" s="5"/>
      <c r="RX720" s="5"/>
      <c r="RY720" s="5"/>
      <c r="RZ720" s="5"/>
      <c r="SA720" s="5"/>
      <c r="SB720" s="5"/>
      <c r="SC720" s="5"/>
      <c r="SD720" s="5"/>
      <c r="SE720" s="5"/>
      <c r="SF720" s="5"/>
      <c r="SG720" s="5"/>
      <c r="SH720" s="5"/>
      <c r="SI720" s="5"/>
      <c r="SJ720" s="5"/>
      <c r="SK720" s="5"/>
      <c r="SL720" s="5"/>
      <c r="SM720" s="5"/>
      <c r="SN720" s="5"/>
      <c r="SO720" s="5"/>
      <c r="SP720" s="5"/>
      <c r="SQ720" s="5"/>
      <c r="SR720" s="5"/>
      <c r="SS720" s="5"/>
      <c r="ST720" s="5"/>
      <c r="SU720" s="5"/>
      <c r="SV720" s="5"/>
      <c r="SW720" s="5"/>
      <c r="SX720" s="5"/>
      <c r="SY720" s="5"/>
      <c r="SZ720" s="5"/>
      <c r="TA720" s="5"/>
      <c r="TB720" s="5"/>
      <c r="TC720" s="5"/>
      <c r="TD720" s="5"/>
      <c r="TE720" s="5"/>
      <c r="TF720" s="5"/>
      <c r="TG720" s="5"/>
      <c r="TH720" s="5"/>
      <c r="TI720" s="5"/>
      <c r="TJ720" s="5"/>
      <c r="TK720" s="5"/>
      <c r="TL720" s="5"/>
      <c r="TM720" s="5"/>
      <c r="TN720" s="5"/>
      <c r="TO720" s="5"/>
      <c r="TP720" s="5"/>
      <c r="TQ720" s="5"/>
      <c r="TR720" s="5"/>
      <c r="TS720" s="5"/>
      <c r="TT720" s="5"/>
      <c r="TU720" s="5"/>
      <c r="TV720" s="5"/>
      <c r="TW720" s="5"/>
      <c r="TX720" s="5"/>
      <c r="TY720" s="5"/>
      <c r="TZ720" s="5"/>
      <c r="UA720" s="5"/>
      <c r="UB720" s="5"/>
      <c r="UC720" s="5"/>
      <c r="UD720" s="5"/>
      <c r="UE720" s="5"/>
      <c r="UF720" s="5"/>
      <c r="UG720" s="5"/>
      <c r="UH720" s="5"/>
      <c r="UI720" s="5"/>
      <c r="UJ720" s="5"/>
      <c r="UK720" s="5"/>
      <c r="UL720" s="5"/>
      <c r="UM720" s="5"/>
      <c r="UN720" s="5"/>
      <c r="UO720" s="5"/>
      <c r="UP720" s="5"/>
      <c r="UQ720" s="5"/>
      <c r="UR720" s="5"/>
      <c r="US720" s="5"/>
      <c r="UT720" s="5"/>
      <c r="UU720" s="5"/>
      <c r="UV720" s="5"/>
      <c r="UW720" s="5"/>
      <c r="UX720" s="5"/>
      <c r="UY720" s="5"/>
      <c r="UZ720" s="5"/>
      <c r="VA720" s="5"/>
      <c r="VB720" s="5"/>
      <c r="VC720" s="5"/>
      <c r="VD720" s="5"/>
      <c r="VE720" s="5"/>
      <c r="VF720" s="5"/>
      <c r="VG720" s="5"/>
      <c r="VH720" s="5"/>
      <c r="VI720" s="5"/>
      <c r="VJ720" s="5"/>
      <c r="VK720" s="5"/>
      <c r="VL720" s="5"/>
      <c r="VM720" s="5"/>
      <c r="VN720" s="5"/>
      <c r="VO720" s="5"/>
      <c r="VP720" s="5"/>
      <c r="VQ720" s="5"/>
      <c r="VR720" s="5"/>
      <c r="VS720" s="5"/>
      <c r="VT720" s="5"/>
      <c r="VU720" s="5"/>
      <c r="VV720" s="5"/>
      <c r="VW720" s="5"/>
      <c r="VX720" s="5"/>
      <c r="VY720" s="5"/>
      <c r="VZ720" s="5"/>
      <c r="WA720" s="5"/>
      <c r="WB720" s="5"/>
      <c r="WC720" s="5"/>
      <c r="WD720" s="5"/>
      <c r="WE720" s="5"/>
      <c r="WF720" s="5"/>
      <c r="WG720" s="5"/>
      <c r="WH720" s="5"/>
      <c r="WI720" s="5"/>
      <c r="WJ720" s="5"/>
      <c r="WK720" s="5"/>
      <c r="WL720" s="5"/>
      <c r="WM720" s="5"/>
      <c r="WN720" s="5"/>
      <c r="WO720" s="5"/>
      <c r="WP720" s="5"/>
      <c r="WQ720" s="5"/>
      <c r="WR720" s="5"/>
      <c r="WS720" s="5"/>
      <c r="WT720" s="5"/>
      <c r="WU720" s="5"/>
      <c r="WV720" s="5"/>
      <c r="WW720" s="5"/>
      <c r="WX720" s="5"/>
      <c r="WY720" s="5"/>
      <c r="WZ720" s="5"/>
      <c r="XA720" s="5"/>
      <c r="XB720" s="5"/>
      <c r="XC720" s="5"/>
      <c r="XD720" s="5"/>
      <c r="XE720" s="5"/>
      <c r="XF720" s="5"/>
      <c r="XG720" s="5"/>
      <c r="XH720" s="5"/>
      <c r="XI720" s="5"/>
      <c r="XJ720" s="5"/>
      <c r="XK720" s="5"/>
      <c r="XL720" s="5"/>
      <c r="XM720" s="5"/>
      <c r="XN720" s="5"/>
      <c r="XO720" s="5"/>
      <c r="XP720" s="5"/>
      <c r="XQ720" s="5"/>
      <c r="XR720" s="5"/>
      <c r="XS720" s="5"/>
      <c r="XT720" s="5"/>
      <c r="XU720" s="5"/>
      <c r="XV720" s="5"/>
      <c r="XW720" s="5"/>
      <c r="XX720" s="5"/>
      <c r="XY720" s="5"/>
      <c r="XZ720" s="5"/>
      <c r="YA720" s="5"/>
      <c r="YB720" s="5"/>
      <c r="YC720" s="5"/>
      <c r="YD720" s="5"/>
      <c r="YE720" s="5"/>
      <c r="YF720" s="5"/>
      <c r="YG720" s="5"/>
      <c r="YH720" s="5"/>
      <c r="YI720" s="5"/>
      <c r="YJ720" s="5"/>
      <c r="YK720" s="5"/>
      <c r="YL720" s="5"/>
      <c r="YM720" s="5"/>
      <c r="YN720" s="5"/>
      <c r="YO720" s="5"/>
      <c r="YP720" s="5"/>
      <c r="YQ720" s="5"/>
      <c r="YR720" s="5"/>
      <c r="YS720" s="5"/>
      <c r="YT720" s="5"/>
      <c r="YU720" s="5"/>
      <c r="YV720" s="5"/>
      <c r="YW720" s="5"/>
      <c r="YX720" s="5"/>
      <c r="YY720" s="5"/>
      <c r="YZ720" s="5"/>
      <c r="ZA720" s="5"/>
      <c r="ZB720" s="5"/>
      <c r="ZC720" s="5"/>
      <c r="ZD720" s="5"/>
      <c r="ZE720" s="5"/>
      <c r="ZF720" s="5"/>
      <c r="ZG720" s="5"/>
      <c r="ZH720" s="5"/>
      <c r="ZI720" s="5"/>
      <c r="ZJ720" s="5"/>
      <c r="ZK720" s="5"/>
      <c r="ZL720" s="5"/>
      <c r="ZM720" s="5"/>
      <c r="ZN720" s="5"/>
      <c r="ZO720" s="5"/>
      <c r="ZP720" s="5"/>
      <c r="ZQ720" s="5"/>
      <c r="ZR720" s="5"/>
      <c r="ZS720" s="5"/>
      <c r="ZT720" s="5"/>
      <c r="ZU720" s="5"/>
      <c r="ZV720" s="5"/>
      <c r="ZW720" s="5"/>
      <c r="ZX720" s="5"/>
      <c r="ZY720" s="5"/>
      <c r="ZZ720" s="5"/>
      <c r="AAA720" s="5"/>
      <c r="AAB720" s="5"/>
      <c r="AAC720" s="5"/>
      <c r="AAD720" s="5"/>
      <c r="AAE720" s="5"/>
      <c r="AAF720" s="5"/>
      <c r="AAG720" s="5"/>
      <c r="AAH720" s="5"/>
      <c r="AAI720" s="5"/>
      <c r="AAJ720" s="5"/>
      <c r="AAK720" s="5"/>
      <c r="AAL720" s="5"/>
      <c r="AAM720" s="5"/>
      <c r="AAN720" s="5"/>
      <c r="AAO720" s="5"/>
      <c r="AAP720" s="5"/>
      <c r="AAQ720" s="5"/>
      <c r="AAR720" s="5"/>
      <c r="AAS720" s="5"/>
      <c r="AAT720" s="5"/>
      <c r="AAU720" s="5"/>
      <c r="AAV720" s="5"/>
      <c r="AAW720" s="5"/>
      <c r="AAX720" s="5"/>
      <c r="AAY720" s="5"/>
      <c r="AAZ720" s="5"/>
      <c r="ABA720" s="5"/>
      <c r="ABB720" s="5"/>
      <c r="ABC720" s="5"/>
      <c r="ABD720" s="5"/>
      <c r="ABE720" s="5"/>
      <c r="ABF720" s="5"/>
      <c r="ABG720" s="5"/>
      <c r="ABH720" s="5"/>
      <c r="ABI720" s="5"/>
      <c r="ABJ720" s="5"/>
      <c r="ABK720" s="5"/>
      <c r="ABL720" s="5"/>
      <c r="ABM720" s="5"/>
      <c r="ABN720" s="5"/>
      <c r="ABO720" s="5"/>
      <c r="ABP720" s="5"/>
      <c r="ABQ720" s="5"/>
      <c r="ABR720" s="5"/>
      <c r="ABS720" s="5"/>
      <c r="ABT720" s="5"/>
      <c r="ABU720" s="5"/>
      <c r="ABV720" s="5"/>
      <c r="ABW720" s="5"/>
      <c r="ABX720" s="5"/>
      <c r="ABY720" s="5"/>
      <c r="ABZ720" s="5"/>
      <c r="ACA720" s="5"/>
      <c r="ACB720" s="5"/>
      <c r="ACC720" s="5"/>
      <c r="ACD720" s="5"/>
      <c r="ACE720" s="5"/>
      <c r="ACF720" s="5"/>
      <c r="ACG720" s="5"/>
      <c r="ACH720" s="5"/>
      <c r="ACI720" s="5"/>
      <c r="ACJ720" s="5"/>
      <c r="ACK720" s="5"/>
      <c r="ACL720" s="5"/>
      <c r="ACM720" s="5"/>
      <c r="ACN720" s="5"/>
      <c r="ACO720" s="5"/>
      <c r="ACP720" s="5"/>
      <c r="ACQ720" s="5"/>
      <c r="ACR720" s="5"/>
      <c r="ACS720" s="5"/>
      <c r="ACT720" s="5"/>
      <c r="ACU720" s="5"/>
      <c r="ACV720" s="5"/>
      <c r="ACW720" s="5"/>
      <c r="ACX720" s="5"/>
      <c r="ACY720" s="5"/>
      <c r="ACZ720" s="5"/>
      <c r="ADA720" s="5"/>
      <c r="ADB720" s="5"/>
      <c r="ADC720" s="5"/>
      <c r="ADD720" s="5"/>
      <c r="ADE720" s="5"/>
      <c r="ADF720" s="5"/>
      <c r="ADG720" s="5"/>
      <c r="ADH720" s="5"/>
      <c r="ADI720" s="5"/>
      <c r="ADJ720" s="5"/>
      <c r="ADK720" s="5"/>
      <c r="ADL720" s="5"/>
      <c r="ADM720" s="5"/>
      <c r="ADN720" s="5"/>
      <c r="ADO720" s="5"/>
      <c r="ADP720" s="5"/>
      <c r="ADQ720" s="5"/>
      <c r="ADR720" s="5"/>
      <c r="ADS720" s="5"/>
      <c r="ADT720" s="5"/>
      <c r="ADU720" s="5"/>
      <c r="ADV720" s="5"/>
      <c r="ADW720" s="5"/>
      <c r="ADX720" s="5"/>
      <c r="ADY720" s="5"/>
      <c r="ADZ720" s="5"/>
      <c r="AEA720" s="5"/>
      <c r="AEB720" s="5"/>
      <c r="AEC720" s="5"/>
      <c r="AED720" s="5"/>
      <c r="AEE720" s="5"/>
      <c r="AEF720" s="5"/>
      <c r="AEG720" s="5"/>
      <c r="AEH720" s="5"/>
      <c r="AEI720" s="5"/>
      <c r="AEJ720" s="5"/>
      <c r="AEK720" s="5"/>
      <c r="AEL720" s="5"/>
      <c r="AEM720" s="5"/>
      <c r="AEN720" s="5"/>
      <c r="AEO720" s="5"/>
      <c r="AEP720" s="5"/>
      <c r="AEQ720" s="5"/>
      <c r="AER720" s="5"/>
      <c r="AES720" s="5"/>
      <c r="AET720" s="5"/>
      <c r="AEU720" s="5"/>
      <c r="AEV720" s="5"/>
      <c r="AEW720" s="5"/>
      <c r="AEX720" s="5"/>
      <c r="AEY720" s="5"/>
      <c r="AEZ720" s="5"/>
      <c r="AFA720" s="5"/>
      <c r="AFB720" s="5"/>
      <c r="AFC720" s="5"/>
      <c r="AFD720" s="5"/>
      <c r="AFE720" s="5"/>
      <c r="AFF720" s="5"/>
      <c r="AFG720" s="5"/>
      <c r="AFH720" s="5"/>
      <c r="AFI720" s="5"/>
      <c r="AFJ720" s="5"/>
      <c r="AFK720" s="5"/>
      <c r="AFL720" s="5"/>
      <c r="AFM720" s="5"/>
      <c r="AFN720" s="5"/>
      <c r="AFO720" s="5"/>
      <c r="AFP720" s="5"/>
      <c r="AFQ720" s="5"/>
      <c r="AFR720" s="5"/>
      <c r="AFS720" s="5"/>
      <c r="AFT720" s="5"/>
      <c r="AFU720" s="5"/>
      <c r="AFV720" s="5"/>
      <c r="AFW720" s="5"/>
      <c r="AFX720" s="5"/>
      <c r="AFY720" s="5"/>
      <c r="AFZ720" s="5"/>
      <c r="AGA720" s="5"/>
      <c r="AGB720" s="5"/>
      <c r="AGC720" s="5"/>
      <c r="AGD720" s="5"/>
      <c r="AGE720" s="5"/>
      <c r="AGF720" s="5"/>
      <c r="AGG720" s="5"/>
      <c r="AGH720" s="5"/>
      <c r="AGI720" s="5"/>
      <c r="AGJ720" s="5"/>
      <c r="AGK720" s="5"/>
      <c r="AGL720" s="5"/>
      <c r="AGM720" s="5"/>
      <c r="AGN720" s="5"/>
      <c r="AGO720" s="5"/>
      <c r="AGP720" s="5"/>
      <c r="AGQ720" s="5"/>
      <c r="AGR720" s="5"/>
      <c r="AGS720" s="5"/>
      <c r="AGT720" s="5"/>
      <c r="AGU720" s="5"/>
      <c r="AGV720" s="5"/>
      <c r="AGW720" s="5"/>
      <c r="AGX720" s="5"/>
      <c r="AGY720" s="5"/>
      <c r="AGZ720" s="5"/>
      <c r="AHA720" s="5"/>
      <c r="AHB720" s="5"/>
      <c r="AHC720" s="5"/>
      <c r="AHD720" s="5"/>
      <c r="AHE720" s="5"/>
      <c r="AHF720" s="5"/>
      <c r="AHG720" s="5"/>
      <c r="AHH720" s="5"/>
      <c r="AHI720" s="5"/>
      <c r="AHJ720" s="5"/>
      <c r="AHK720" s="5"/>
      <c r="AHL720" s="5"/>
      <c r="AHM720" s="5"/>
      <c r="AHN720" s="5"/>
      <c r="AHO720" s="5"/>
      <c r="AHP720" s="5"/>
      <c r="AHQ720" s="5"/>
      <c r="AHR720" s="5"/>
      <c r="AHS720" s="5"/>
      <c r="AHT720" s="5"/>
      <c r="AHU720" s="5"/>
      <c r="AHV720" s="5"/>
      <c r="AHW720" s="5"/>
      <c r="AHX720" s="5"/>
      <c r="AHY720" s="5"/>
      <c r="AHZ720" s="5"/>
      <c r="AIA720" s="5"/>
      <c r="AIB720" s="5"/>
      <c r="AIC720" s="5"/>
      <c r="AID720" s="5"/>
      <c r="AIE720" s="5"/>
      <c r="AIF720" s="5"/>
      <c r="AIG720" s="5"/>
      <c r="AIH720" s="5"/>
      <c r="AII720" s="5"/>
      <c r="AIJ720" s="5"/>
      <c r="AIK720" s="5"/>
      <c r="AIL720" s="5"/>
      <c r="AIM720" s="5"/>
      <c r="AIN720" s="5"/>
      <c r="AIO720" s="5"/>
      <c r="AIP720" s="5"/>
      <c r="AIQ720" s="5"/>
      <c r="AIR720" s="5"/>
      <c r="AIS720" s="5"/>
      <c r="AIT720" s="5"/>
      <c r="AIU720" s="5"/>
      <c r="AIV720" s="5"/>
      <c r="AIW720" s="5"/>
      <c r="AIX720" s="5"/>
      <c r="AIY720" s="5"/>
      <c r="AIZ720" s="5"/>
      <c r="AJA720" s="5"/>
      <c r="AJB720" s="5"/>
      <c r="AJC720" s="5"/>
      <c r="AJD720" s="5"/>
      <c r="AJE720" s="5"/>
      <c r="AJF720" s="5"/>
      <c r="AJG720" s="5"/>
      <c r="AJH720" s="5"/>
      <c r="AJI720" s="5"/>
      <c r="AJJ720" s="5"/>
      <c r="AJK720" s="5"/>
      <c r="AJL720" s="5"/>
      <c r="AJM720" s="5"/>
      <c r="AJN720" s="5"/>
      <c r="AJO720" s="5"/>
      <c r="AJP720" s="5"/>
      <c r="AJQ720" s="5"/>
      <c r="AJR720" s="5"/>
      <c r="AJS720" s="5"/>
      <c r="AJT720" s="5"/>
      <c r="AJU720" s="5"/>
      <c r="AJV720" s="5"/>
      <c r="AJW720" s="5"/>
      <c r="AJX720" s="5"/>
      <c r="AJY720" s="5"/>
      <c r="AJZ720" s="5"/>
      <c r="AKA720" s="5"/>
      <c r="AKB720" s="5"/>
      <c r="AKC720" s="5"/>
      <c r="AKD720" s="5"/>
      <c r="AKE720" s="5"/>
      <c r="AKF720" s="5"/>
      <c r="AKG720" s="5"/>
      <c r="AKH720" s="5"/>
      <c r="AKI720" s="5"/>
      <c r="AKJ720" s="5"/>
      <c r="AKK720" s="5"/>
      <c r="AKL720" s="5"/>
      <c r="AKM720" s="5"/>
      <c r="AKN720" s="5"/>
      <c r="AKO720" s="5"/>
      <c r="AKP720" s="5"/>
      <c r="AKQ720" s="5"/>
      <c r="AKR720" s="5"/>
      <c r="AKS720" s="5"/>
      <c r="AKT720" s="5"/>
      <c r="AKU720" s="5"/>
      <c r="AKV720" s="5"/>
      <c r="AKW720" s="5"/>
      <c r="AKX720" s="5"/>
      <c r="AKY720" s="5"/>
      <c r="AKZ720" s="5"/>
      <c r="ALA720" s="5"/>
      <c r="ALB720" s="5"/>
      <c r="ALC720" s="5"/>
      <c r="ALD720" s="5"/>
      <c r="ALE720" s="5"/>
      <c r="ALF720" s="5"/>
      <c r="ALG720" s="5"/>
      <c r="ALH720" s="5"/>
      <c r="ALI720" s="5"/>
      <c r="ALJ720" s="5"/>
      <c r="ALK720" s="5"/>
      <c r="ALL720" s="5"/>
      <c r="ALM720" s="5"/>
      <c r="ALN720" s="5"/>
      <c r="ALO720" s="5"/>
      <c r="ALP720" s="5"/>
      <c r="ALQ720" s="5"/>
      <c r="ALR720" s="5"/>
      <c r="ALS720" s="5"/>
      <c r="ALT720" s="5"/>
      <c r="ALU720" s="5"/>
      <c r="ALV720" s="5"/>
      <c r="ALW720" s="5"/>
      <c r="ALX720" s="5"/>
      <c r="ALY720" s="5"/>
      <c r="ALZ720" s="5"/>
      <c r="AMA720" s="5"/>
      <c r="AMB720" s="5"/>
      <c r="AMC720" s="5"/>
      <c r="AMD720" s="5"/>
      <c r="AME720" s="5"/>
      <c r="AMF720" s="5"/>
      <c r="AMG720" s="5"/>
      <c r="AMH720" s="5"/>
      <c r="AMI720" s="5"/>
      <c r="AMJ720" s="5"/>
      <c r="AMK720" s="5"/>
      <c r="AML720" s="5"/>
      <c r="AMM720" s="5"/>
      <c r="AMN720" s="5"/>
      <c r="AMO720" s="5"/>
      <c r="AMP720" s="5"/>
      <c r="AMQ720" s="5"/>
      <c r="AMR720" s="5"/>
      <c r="AMS720" s="5"/>
      <c r="AMT720" s="5"/>
      <c r="AMU720" s="5"/>
      <c r="AMV720" s="5"/>
      <c r="AMW720" s="5"/>
      <c r="AMX720" s="5"/>
      <c r="AMY720" s="5"/>
      <c r="AMZ720" s="5"/>
      <c r="ANA720" s="5"/>
      <c r="ANB720" s="5"/>
      <c r="ANC720" s="5"/>
      <c r="AND720" s="5"/>
      <c r="ANE720" s="5"/>
      <c r="ANF720" s="5"/>
      <c r="ANG720" s="5"/>
      <c r="ANH720" s="5"/>
      <c r="ANI720" s="5"/>
      <c r="ANJ720" s="5"/>
      <c r="ANK720" s="5"/>
      <c r="ANL720" s="5"/>
      <c r="ANM720" s="5"/>
      <c r="ANN720" s="5"/>
      <c r="ANO720" s="5"/>
      <c r="ANP720" s="5"/>
      <c r="ANQ720" s="5"/>
      <c r="ANR720" s="5"/>
      <c r="ANS720" s="5"/>
      <c r="ANT720" s="5"/>
      <c r="ANU720" s="5"/>
      <c r="ANV720" s="5"/>
      <c r="ANW720" s="5"/>
      <c r="ANX720" s="5"/>
      <c r="ANY720" s="5"/>
      <c r="ANZ720" s="5"/>
      <c r="AOA720" s="5"/>
      <c r="AOB720" s="5"/>
      <c r="AOC720" s="5"/>
      <c r="AOD720" s="5"/>
      <c r="AOE720" s="5"/>
      <c r="AOF720" s="5"/>
      <c r="AOG720" s="5"/>
      <c r="AOH720" s="5"/>
      <c r="AOI720" s="5"/>
      <c r="AOJ720" s="5"/>
      <c r="AOK720" s="5"/>
      <c r="AOL720" s="5"/>
      <c r="AOM720" s="5"/>
      <c r="AON720" s="5"/>
      <c r="AOO720" s="5"/>
      <c r="AOP720" s="5"/>
      <c r="AOQ720" s="5"/>
      <c r="AOR720" s="5"/>
      <c r="AOS720" s="5"/>
      <c r="AOT720" s="5"/>
      <c r="AOU720" s="5"/>
      <c r="AOV720" s="5"/>
      <c r="AOW720" s="5"/>
      <c r="AOX720" s="5"/>
      <c r="AOY720" s="5"/>
      <c r="AOZ720" s="5"/>
      <c r="APA720" s="5"/>
      <c r="APB720" s="5"/>
      <c r="APC720" s="5"/>
      <c r="APD720" s="5"/>
      <c r="APE720" s="5"/>
      <c r="APF720" s="5"/>
      <c r="APG720" s="5"/>
      <c r="APH720" s="5"/>
      <c r="API720" s="5"/>
      <c r="APJ720" s="5"/>
      <c r="APK720" s="5"/>
      <c r="APL720" s="5"/>
      <c r="APM720" s="5"/>
      <c r="APN720" s="5"/>
      <c r="APO720" s="5"/>
      <c r="APP720" s="5"/>
      <c r="APQ720" s="5"/>
      <c r="APR720" s="5"/>
      <c r="APS720" s="5"/>
      <c r="APT720" s="5"/>
      <c r="APU720" s="5"/>
      <c r="APV720" s="5"/>
      <c r="APW720" s="5"/>
      <c r="APX720" s="5"/>
      <c r="APY720" s="5"/>
      <c r="APZ720" s="5"/>
      <c r="AQA720" s="5"/>
      <c r="AQB720" s="5"/>
      <c r="AQC720" s="5"/>
      <c r="AQD720" s="5"/>
      <c r="AQE720" s="5"/>
      <c r="AQF720" s="5"/>
      <c r="AQG720" s="5"/>
      <c r="AQH720" s="5"/>
      <c r="AQI720" s="5"/>
      <c r="AQJ720" s="5"/>
      <c r="AQK720" s="5"/>
      <c r="AQL720" s="5"/>
      <c r="AQM720" s="5"/>
      <c r="AQN720" s="5"/>
      <c r="AQO720" s="5"/>
      <c r="AQP720" s="5"/>
      <c r="AQQ720" s="5"/>
      <c r="AQR720" s="5"/>
      <c r="AQS720" s="5"/>
      <c r="AQT720" s="5"/>
      <c r="AQU720" s="5"/>
      <c r="AQV720" s="5"/>
      <c r="AQW720" s="5"/>
      <c r="AQX720" s="5"/>
      <c r="AQY720" s="5"/>
      <c r="AQZ720" s="5"/>
      <c r="ARA720" s="5"/>
      <c r="ARB720" s="5"/>
      <c r="ARC720" s="5"/>
      <c r="ARD720" s="5"/>
      <c r="ARE720" s="5"/>
      <c r="ARF720" s="5"/>
      <c r="ARG720" s="5"/>
      <c r="ARH720" s="5"/>
      <c r="ARI720" s="5"/>
      <c r="ARJ720" s="5"/>
      <c r="ARK720" s="5"/>
      <c r="ARL720" s="5"/>
      <c r="ARM720" s="5"/>
      <c r="ARN720" s="5"/>
      <c r="ARO720" s="5"/>
      <c r="ARP720" s="5"/>
      <c r="ARQ720" s="5"/>
      <c r="ARR720" s="5"/>
      <c r="ARS720" s="5"/>
      <c r="ART720" s="5"/>
      <c r="ARU720" s="5"/>
      <c r="ARV720" s="5"/>
      <c r="ARW720" s="5"/>
      <c r="ARX720" s="5"/>
      <c r="ARY720" s="5"/>
      <c r="ARZ720" s="5"/>
      <c r="ASA720" s="5"/>
      <c r="ASB720" s="5"/>
      <c r="ASC720" s="5"/>
      <c r="ASD720" s="5"/>
      <c r="ASE720" s="5"/>
      <c r="ASF720" s="5"/>
      <c r="ASG720" s="5"/>
      <c r="ASH720" s="5"/>
      <c r="ASI720" s="5"/>
      <c r="ASJ720" s="5"/>
      <c r="ASK720" s="5"/>
      <c r="ASL720" s="5"/>
      <c r="ASM720" s="5"/>
      <c r="ASN720" s="5"/>
      <c r="ASO720" s="5"/>
      <c r="ASP720" s="5"/>
      <c r="ASQ720" s="5"/>
      <c r="ASR720" s="5"/>
      <c r="ASS720" s="5"/>
      <c r="AST720" s="5"/>
      <c r="ASU720" s="5"/>
      <c r="ASV720" s="5"/>
      <c r="ASW720" s="5"/>
      <c r="ASX720" s="5"/>
      <c r="ASY720" s="5"/>
      <c r="ASZ720" s="5"/>
      <c r="ATA720" s="5"/>
      <c r="ATB720" s="5"/>
      <c r="ATC720" s="5"/>
      <c r="ATD720" s="5"/>
      <c r="ATE720" s="5"/>
      <c r="ATF720" s="5"/>
      <c r="ATG720" s="5"/>
      <c r="ATH720" s="5"/>
      <c r="ATI720" s="5"/>
      <c r="ATJ720" s="5"/>
      <c r="ATK720" s="5"/>
      <c r="ATL720" s="5"/>
      <c r="ATM720" s="5"/>
      <c r="ATN720" s="5"/>
      <c r="ATO720" s="5"/>
      <c r="ATP720" s="5"/>
      <c r="ATQ720" s="5"/>
      <c r="ATR720" s="5"/>
      <c r="ATS720" s="5"/>
      <c r="ATT720" s="5"/>
      <c r="ATU720" s="5"/>
      <c r="ATV720" s="5"/>
      <c r="ATW720" s="5"/>
      <c r="ATX720" s="5"/>
    </row>
    <row r="721" spans="1:1220" s="67" customFormat="1" ht="12.75" customHeight="1" x14ac:dyDescent="0.35">
      <c r="A721" s="76" t="s">
        <v>229</v>
      </c>
      <c r="B721" s="99" t="s">
        <v>284</v>
      </c>
      <c r="C721" s="76" t="s">
        <v>2621</v>
      </c>
      <c r="D721" s="142" t="s">
        <v>2621</v>
      </c>
      <c r="E721" s="76"/>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c r="DS721" s="5"/>
      <c r="DT721" s="5"/>
      <c r="DU721" s="5"/>
      <c r="DV721" s="5"/>
      <c r="DW721" s="5"/>
      <c r="DX721" s="5"/>
      <c r="DY721" s="5"/>
      <c r="DZ721" s="5"/>
      <c r="EA721" s="5"/>
      <c r="EB721" s="5"/>
      <c r="EC721" s="5"/>
      <c r="ED721" s="5"/>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s="5"/>
      <c r="FG721" s="5"/>
      <c r="FH721" s="5"/>
      <c r="FI721" s="5"/>
      <c r="FJ721" s="5"/>
      <c r="FK721" s="5"/>
      <c r="FL721" s="5"/>
      <c r="FM721" s="5"/>
      <c r="FN721" s="5"/>
      <c r="FO721" s="5"/>
      <c r="FP721" s="5"/>
      <c r="FQ721" s="5"/>
      <c r="FR721" s="5"/>
      <c r="FS721" s="5"/>
      <c r="FT721" s="5"/>
      <c r="FU721" s="5"/>
      <c r="FV721" s="5"/>
      <c r="FW721" s="5"/>
      <c r="FX721" s="5"/>
      <c r="FY721" s="5"/>
      <c r="FZ721" s="5"/>
      <c r="GA721" s="5"/>
      <c r="GB721" s="5"/>
      <c r="GC721" s="5"/>
      <c r="GD721" s="5"/>
      <c r="GE721" s="5"/>
      <c r="GF721" s="5"/>
      <c r="GG721" s="5"/>
      <c r="GH721" s="5"/>
      <c r="GI721" s="5"/>
      <c r="GJ721" s="5"/>
      <c r="GK721" s="5"/>
      <c r="GL721" s="5"/>
      <c r="GM721" s="5"/>
      <c r="GN721" s="5"/>
      <c r="GO721" s="5"/>
      <c r="GP721" s="5"/>
      <c r="GQ721" s="5"/>
      <c r="GR721" s="5"/>
      <c r="GS721" s="5"/>
      <c r="GT721" s="5"/>
      <c r="GU721" s="5"/>
      <c r="GV721" s="5"/>
      <c r="GW721" s="5"/>
      <c r="GX721" s="5"/>
      <c r="GY721" s="5"/>
      <c r="GZ721" s="5"/>
      <c r="HA721" s="5"/>
      <c r="HB721" s="5"/>
      <c r="HC721" s="5"/>
      <c r="HD721" s="5"/>
      <c r="HE721" s="5"/>
      <c r="HF721" s="5"/>
      <c r="HG721" s="5"/>
      <c r="HH721" s="5"/>
      <c r="HI721" s="5"/>
      <c r="HJ721" s="5"/>
      <c r="HK721" s="5"/>
      <c r="HL721" s="5"/>
      <c r="HM721" s="5"/>
      <c r="HN721" s="5"/>
      <c r="HO721" s="5"/>
      <c r="HP721" s="5"/>
      <c r="HQ721" s="5"/>
      <c r="HR721" s="5"/>
      <c r="HS721" s="5"/>
      <c r="HT721" s="5"/>
      <c r="HU721" s="5"/>
      <c r="HV721" s="5"/>
      <c r="HW721" s="5"/>
      <c r="HX721" s="5"/>
      <c r="HY721" s="5"/>
      <c r="HZ721" s="5"/>
      <c r="IA721" s="5"/>
      <c r="IB721" s="5"/>
      <c r="IC721" s="5"/>
      <c r="ID721" s="5"/>
      <c r="IE721" s="5"/>
      <c r="IF721" s="5"/>
      <c r="IG721" s="5"/>
      <c r="IH721" s="5"/>
      <c r="II721" s="5"/>
      <c r="IJ721" s="5"/>
      <c r="IK721" s="5"/>
      <c r="IL721" s="5"/>
      <c r="IM721" s="5"/>
      <c r="IN721" s="5"/>
      <c r="IO721" s="5"/>
      <c r="IP721" s="5"/>
      <c r="IQ721" s="5"/>
      <c r="IR721" s="5"/>
      <c r="IS721" s="5"/>
      <c r="IT721" s="5"/>
      <c r="IU721" s="5"/>
      <c r="IV721" s="5"/>
      <c r="IW721" s="5"/>
      <c r="IX721" s="5"/>
      <c r="IY721" s="5"/>
      <c r="IZ721" s="5"/>
      <c r="JA721" s="5"/>
      <c r="JB721" s="5"/>
      <c r="JC721" s="5"/>
      <c r="JD721" s="5"/>
      <c r="JE721" s="5"/>
      <c r="JF721" s="5"/>
      <c r="JG721" s="5"/>
      <c r="JH721" s="5"/>
      <c r="JI721" s="5"/>
      <c r="JJ721" s="5"/>
      <c r="JK721" s="5"/>
      <c r="JL721" s="5"/>
      <c r="JM721" s="5"/>
      <c r="JN721" s="5"/>
      <c r="JO721" s="5"/>
      <c r="JP721" s="5"/>
      <c r="JQ721" s="5"/>
      <c r="JR721" s="5"/>
      <c r="JS721" s="5"/>
      <c r="JT721" s="5"/>
      <c r="JU721" s="5"/>
      <c r="JV721" s="5"/>
      <c r="JW721" s="5"/>
      <c r="JX721" s="5"/>
      <c r="JY721" s="5"/>
      <c r="JZ721" s="5"/>
      <c r="KA721" s="5"/>
      <c r="KB721" s="5"/>
      <c r="KC721" s="5"/>
      <c r="KD721" s="5"/>
      <c r="KE721" s="5"/>
      <c r="KF721" s="5"/>
      <c r="KG721" s="5"/>
      <c r="KH721" s="5"/>
      <c r="KI721" s="5"/>
      <c r="KJ721" s="5"/>
      <c r="KK721" s="5"/>
      <c r="KL721" s="5"/>
      <c r="KM721" s="5"/>
      <c r="KN721" s="5"/>
      <c r="KO721" s="5"/>
      <c r="KP721" s="5"/>
      <c r="KQ721" s="5"/>
      <c r="KR721" s="5"/>
      <c r="KS721" s="5"/>
      <c r="KT721" s="5"/>
      <c r="KU721" s="5"/>
      <c r="KV721" s="5"/>
      <c r="KW721" s="5"/>
      <c r="KX721" s="5"/>
      <c r="KY721" s="5"/>
      <c r="KZ721" s="5"/>
      <c r="LA721" s="5"/>
      <c r="LB721" s="5"/>
      <c r="LC721" s="5"/>
      <c r="LD721" s="5"/>
      <c r="LE721" s="5"/>
      <c r="LF721" s="5"/>
      <c r="LG721" s="5"/>
      <c r="LH721" s="5"/>
      <c r="LI721" s="5"/>
      <c r="LJ721" s="5"/>
      <c r="LK721" s="5"/>
      <c r="LL721" s="5"/>
      <c r="LM721" s="5"/>
      <c r="LN721" s="5"/>
      <c r="LO721" s="5"/>
      <c r="LP721" s="5"/>
      <c r="LQ721" s="5"/>
      <c r="LR721" s="5"/>
      <c r="LS721" s="5"/>
      <c r="LT721" s="5"/>
      <c r="LU721" s="5"/>
      <c r="LV721" s="5"/>
      <c r="LW721" s="5"/>
      <c r="LX721" s="5"/>
      <c r="LY721" s="5"/>
      <c r="LZ721" s="5"/>
      <c r="MA721" s="5"/>
      <c r="MB721" s="5"/>
      <c r="MC721" s="5"/>
      <c r="MD721" s="5"/>
      <c r="ME721" s="5"/>
      <c r="MF721" s="5"/>
      <c r="MG721" s="5"/>
      <c r="MH721" s="5"/>
      <c r="MI721" s="5"/>
      <c r="MJ721" s="5"/>
      <c r="MK721" s="5"/>
      <c r="ML721" s="5"/>
      <c r="MM721" s="5"/>
      <c r="MN721" s="5"/>
      <c r="MO721" s="5"/>
      <c r="MP721" s="5"/>
      <c r="MQ721" s="5"/>
      <c r="MR721" s="5"/>
      <c r="MS721" s="5"/>
      <c r="MT721" s="5"/>
      <c r="MU721" s="5"/>
      <c r="MV721" s="5"/>
      <c r="MW721" s="5"/>
      <c r="MX721" s="5"/>
      <c r="MY721" s="5"/>
      <c r="MZ721" s="5"/>
      <c r="NA721" s="5"/>
      <c r="NB721" s="5"/>
      <c r="NC721" s="5"/>
      <c r="ND721" s="5"/>
      <c r="NE721" s="5"/>
      <c r="NF721" s="5"/>
      <c r="NG721" s="5"/>
      <c r="NH721" s="5"/>
      <c r="NI721" s="5"/>
      <c r="NJ721" s="5"/>
      <c r="NK721" s="5"/>
      <c r="NL721" s="5"/>
      <c r="NM721" s="5"/>
      <c r="NN721" s="5"/>
      <c r="NO721" s="5"/>
      <c r="NP721" s="5"/>
      <c r="NQ721" s="5"/>
      <c r="NR721" s="5"/>
      <c r="NS721" s="5"/>
      <c r="NT721" s="5"/>
      <c r="NU721" s="5"/>
      <c r="NV721" s="5"/>
      <c r="NW721" s="5"/>
      <c r="NX721" s="5"/>
      <c r="NY721" s="5"/>
      <c r="NZ721" s="5"/>
      <c r="OA721" s="5"/>
      <c r="OB721" s="5"/>
      <c r="OC721" s="5"/>
      <c r="OD721" s="5"/>
      <c r="OE721" s="5"/>
      <c r="OF721" s="5"/>
      <c r="OG721" s="5"/>
      <c r="OH721" s="5"/>
      <c r="OI721" s="5"/>
      <c r="OJ721" s="5"/>
      <c r="OK721" s="5"/>
      <c r="OL721" s="5"/>
      <c r="OM721" s="5"/>
      <c r="ON721" s="5"/>
      <c r="OO721" s="5"/>
      <c r="OP721" s="5"/>
      <c r="OQ721" s="5"/>
      <c r="OR721" s="5"/>
      <c r="OS721" s="5"/>
      <c r="OT721" s="5"/>
      <c r="OU721" s="5"/>
      <c r="OV721" s="5"/>
      <c r="OW721" s="5"/>
      <c r="OX721" s="5"/>
      <c r="OY721" s="5"/>
      <c r="OZ721" s="5"/>
      <c r="PA721" s="5"/>
      <c r="PB721" s="5"/>
      <c r="PC721" s="5"/>
      <c r="PD721" s="5"/>
      <c r="PE721" s="5"/>
      <c r="PF721" s="5"/>
      <c r="PG721" s="5"/>
      <c r="PH721" s="5"/>
      <c r="PI721" s="5"/>
      <c r="PJ721" s="5"/>
      <c r="PK721" s="5"/>
      <c r="PL721" s="5"/>
      <c r="PM721" s="5"/>
      <c r="PN721" s="5"/>
      <c r="PO721" s="5"/>
      <c r="PP721" s="5"/>
      <c r="PQ721" s="5"/>
      <c r="PR721" s="5"/>
      <c r="PS721" s="5"/>
      <c r="PT721" s="5"/>
      <c r="PU721" s="5"/>
      <c r="PV721" s="5"/>
      <c r="PW721" s="5"/>
      <c r="PX721" s="5"/>
      <c r="PY721" s="5"/>
      <c r="PZ721" s="5"/>
      <c r="QA721" s="5"/>
      <c r="QB721" s="5"/>
      <c r="QC721" s="5"/>
      <c r="QD721" s="5"/>
      <c r="QE721" s="5"/>
      <c r="QF721" s="5"/>
      <c r="QG721" s="5"/>
      <c r="QH721" s="5"/>
      <c r="QI721" s="5"/>
      <c r="QJ721" s="5"/>
      <c r="QK721" s="5"/>
      <c r="QL721" s="5"/>
      <c r="QM721" s="5"/>
      <c r="QN721" s="5"/>
      <c r="QO721" s="5"/>
      <c r="QP721" s="5"/>
      <c r="QQ721" s="5"/>
      <c r="QR721" s="5"/>
      <c r="QS721" s="5"/>
      <c r="QT721" s="5"/>
      <c r="QU721" s="5"/>
      <c r="QV721" s="5"/>
      <c r="QW721" s="5"/>
      <c r="QX721" s="5"/>
      <c r="QY721" s="5"/>
      <c r="QZ721" s="5"/>
      <c r="RA721" s="5"/>
      <c r="RB721" s="5"/>
      <c r="RC721" s="5"/>
      <c r="RD721" s="5"/>
      <c r="RE721" s="5"/>
      <c r="RF721" s="5"/>
      <c r="RG721" s="5"/>
      <c r="RH721" s="5"/>
      <c r="RI721" s="5"/>
      <c r="RJ721" s="5"/>
      <c r="RK721" s="5"/>
      <c r="RL721" s="5"/>
      <c r="RM721" s="5"/>
      <c r="RN721" s="5"/>
      <c r="RO721" s="5"/>
      <c r="RP721" s="5"/>
      <c r="RQ721" s="5"/>
      <c r="RR721" s="5"/>
      <c r="RS721" s="5"/>
      <c r="RT721" s="5"/>
      <c r="RU721" s="5"/>
      <c r="RV721" s="5"/>
      <c r="RW721" s="5"/>
      <c r="RX721" s="5"/>
      <c r="RY721" s="5"/>
      <c r="RZ721" s="5"/>
      <c r="SA721" s="5"/>
      <c r="SB721" s="5"/>
      <c r="SC721" s="5"/>
      <c r="SD721" s="5"/>
      <c r="SE721" s="5"/>
      <c r="SF721" s="5"/>
      <c r="SG721" s="5"/>
      <c r="SH721" s="5"/>
      <c r="SI721" s="5"/>
      <c r="SJ721" s="5"/>
      <c r="SK721" s="5"/>
      <c r="SL721" s="5"/>
      <c r="SM721" s="5"/>
      <c r="SN721" s="5"/>
      <c r="SO721" s="5"/>
      <c r="SP721" s="5"/>
      <c r="SQ721" s="5"/>
      <c r="SR721" s="5"/>
      <c r="SS721" s="5"/>
      <c r="ST721" s="5"/>
      <c r="SU721" s="5"/>
      <c r="SV721" s="5"/>
      <c r="SW721" s="5"/>
      <c r="SX721" s="5"/>
      <c r="SY721" s="5"/>
      <c r="SZ721" s="5"/>
      <c r="TA721" s="5"/>
      <c r="TB721" s="5"/>
      <c r="TC721" s="5"/>
      <c r="TD721" s="5"/>
      <c r="TE721" s="5"/>
      <c r="TF721" s="5"/>
      <c r="TG721" s="5"/>
      <c r="TH721" s="5"/>
      <c r="TI721" s="5"/>
      <c r="TJ721" s="5"/>
      <c r="TK721" s="5"/>
      <c r="TL721" s="5"/>
      <c r="TM721" s="5"/>
      <c r="TN721" s="5"/>
      <c r="TO721" s="5"/>
      <c r="TP721" s="5"/>
      <c r="TQ721" s="5"/>
      <c r="TR721" s="5"/>
      <c r="TS721" s="5"/>
      <c r="TT721" s="5"/>
      <c r="TU721" s="5"/>
      <c r="TV721" s="5"/>
      <c r="TW721" s="5"/>
      <c r="TX721" s="5"/>
      <c r="TY721" s="5"/>
      <c r="TZ721" s="5"/>
      <c r="UA721" s="5"/>
      <c r="UB721" s="5"/>
      <c r="UC721" s="5"/>
      <c r="UD721" s="5"/>
      <c r="UE721" s="5"/>
      <c r="UF721" s="5"/>
      <c r="UG721" s="5"/>
      <c r="UH721" s="5"/>
      <c r="UI721" s="5"/>
      <c r="UJ721" s="5"/>
      <c r="UK721" s="5"/>
      <c r="UL721" s="5"/>
      <c r="UM721" s="5"/>
      <c r="UN721" s="5"/>
      <c r="UO721" s="5"/>
      <c r="UP721" s="5"/>
      <c r="UQ721" s="5"/>
      <c r="UR721" s="5"/>
      <c r="US721" s="5"/>
      <c r="UT721" s="5"/>
      <c r="UU721" s="5"/>
      <c r="UV721" s="5"/>
      <c r="UW721" s="5"/>
      <c r="UX721" s="5"/>
      <c r="UY721" s="5"/>
      <c r="UZ721" s="5"/>
      <c r="VA721" s="5"/>
      <c r="VB721" s="5"/>
      <c r="VC721" s="5"/>
      <c r="VD721" s="5"/>
      <c r="VE721" s="5"/>
      <c r="VF721" s="5"/>
      <c r="VG721" s="5"/>
      <c r="VH721" s="5"/>
      <c r="VI721" s="5"/>
      <c r="VJ721" s="5"/>
      <c r="VK721" s="5"/>
      <c r="VL721" s="5"/>
      <c r="VM721" s="5"/>
      <c r="VN721" s="5"/>
      <c r="VO721" s="5"/>
      <c r="VP721" s="5"/>
      <c r="VQ721" s="5"/>
      <c r="VR721" s="5"/>
      <c r="VS721" s="5"/>
      <c r="VT721" s="5"/>
      <c r="VU721" s="5"/>
      <c r="VV721" s="5"/>
      <c r="VW721" s="5"/>
      <c r="VX721" s="5"/>
      <c r="VY721" s="5"/>
      <c r="VZ721" s="5"/>
      <c r="WA721" s="5"/>
      <c r="WB721" s="5"/>
      <c r="WC721" s="5"/>
      <c r="WD721" s="5"/>
      <c r="WE721" s="5"/>
      <c r="WF721" s="5"/>
      <c r="WG721" s="5"/>
      <c r="WH721" s="5"/>
      <c r="WI721" s="5"/>
      <c r="WJ721" s="5"/>
      <c r="WK721" s="5"/>
      <c r="WL721" s="5"/>
      <c r="WM721" s="5"/>
      <c r="WN721" s="5"/>
      <c r="WO721" s="5"/>
      <c r="WP721" s="5"/>
      <c r="WQ721" s="5"/>
      <c r="WR721" s="5"/>
      <c r="WS721" s="5"/>
      <c r="WT721" s="5"/>
      <c r="WU721" s="5"/>
      <c r="WV721" s="5"/>
      <c r="WW721" s="5"/>
      <c r="WX721" s="5"/>
      <c r="WY721" s="5"/>
      <c r="WZ721" s="5"/>
      <c r="XA721" s="5"/>
      <c r="XB721" s="5"/>
      <c r="XC721" s="5"/>
      <c r="XD721" s="5"/>
      <c r="XE721" s="5"/>
      <c r="XF721" s="5"/>
      <c r="XG721" s="5"/>
      <c r="XH721" s="5"/>
      <c r="XI721" s="5"/>
      <c r="XJ721" s="5"/>
      <c r="XK721" s="5"/>
      <c r="XL721" s="5"/>
      <c r="XM721" s="5"/>
      <c r="XN721" s="5"/>
      <c r="XO721" s="5"/>
      <c r="XP721" s="5"/>
      <c r="XQ721" s="5"/>
      <c r="XR721" s="5"/>
      <c r="XS721" s="5"/>
      <c r="XT721" s="5"/>
      <c r="XU721" s="5"/>
      <c r="XV721" s="5"/>
      <c r="XW721" s="5"/>
      <c r="XX721" s="5"/>
      <c r="XY721" s="5"/>
      <c r="XZ721" s="5"/>
      <c r="YA721" s="5"/>
      <c r="YB721" s="5"/>
      <c r="YC721" s="5"/>
      <c r="YD721" s="5"/>
      <c r="YE721" s="5"/>
      <c r="YF721" s="5"/>
      <c r="YG721" s="5"/>
      <c r="YH721" s="5"/>
      <c r="YI721" s="5"/>
      <c r="YJ721" s="5"/>
      <c r="YK721" s="5"/>
      <c r="YL721" s="5"/>
      <c r="YM721" s="5"/>
      <c r="YN721" s="5"/>
      <c r="YO721" s="5"/>
      <c r="YP721" s="5"/>
      <c r="YQ721" s="5"/>
      <c r="YR721" s="5"/>
      <c r="YS721" s="5"/>
      <c r="YT721" s="5"/>
      <c r="YU721" s="5"/>
      <c r="YV721" s="5"/>
      <c r="YW721" s="5"/>
      <c r="YX721" s="5"/>
      <c r="YY721" s="5"/>
      <c r="YZ721" s="5"/>
      <c r="ZA721" s="5"/>
      <c r="ZB721" s="5"/>
      <c r="ZC721" s="5"/>
      <c r="ZD721" s="5"/>
      <c r="ZE721" s="5"/>
      <c r="ZF721" s="5"/>
      <c r="ZG721" s="5"/>
      <c r="ZH721" s="5"/>
      <c r="ZI721" s="5"/>
      <c r="ZJ721" s="5"/>
      <c r="ZK721" s="5"/>
      <c r="ZL721" s="5"/>
      <c r="ZM721" s="5"/>
      <c r="ZN721" s="5"/>
      <c r="ZO721" s="5"/>
      <c r="ZP721" s="5"/>
      <c r="ZQ721" s="5"/>
      <c r="ZR721" s="5"/>
      <c r="ZS721" s="5"/>
      <c r="ZT721" s="5"/>
      <c r="ZU721" s="5"/>
      <c r="ZV721" s="5"/>
      <c r="ZW721" s="5"/>
      <c r="ZX721" s="5"/>
      <c r="ZY721" s="5"/>
      <c r="ZZ721" s="5"/>
      <c r="AAA721" s="5"/>
      <c r="AAB721" s="5"/>
      <c r="AAC721" s="5"/>
      <c r="AAD721" s="5"/>
      <c r="AAE721" s="5"/>
      <c r="AAF721" s="5"/>
      <c r="AAG721" s="5"/>
      <c r="AAH721" s="5"/>
      <c r="AAI721" s="5"/>
      <c r="AAJ721" s="5"/>
      <c r="AAK721" s="5"/>
      <c r="AAL721" s="5"/>
      <c r="AAM721" s="5"/>
      <c r="AAN721" s="5"/>
      <c r="AAO721" s="5"/>
      <c r="AAP721" s="5"/>
      <c r="AAQ721" s="5"/>
      <c r="AAR721" s="5"/>
      <c r="AAS721" s="5"/>
      <c r="AAT721" s="5"/>
      <c r="AAU721" s="5"/>
      <c r="AAV721" s="5"/>
      <c r="AAW721" s="5"/>
      <c r="AAX721" s="5"/>
      <c r="AAY721" s="5"/>
      <c r="AAZ721" s="5"/>
      <c r="ABA721" s="5"/>
      <c r="ABB721" s="5"/>
      <c r="ABC721" s="5"/>
      <c r="ABD721" s="5"/>
      <c r="ABE721" s="5"/>
      <c r="ABF721" s="5"/>
      <c r="ABG721" s="5"/>
      <c r="ABH721" s="5"/>
      <c r="ABI721" s="5"/>
      <c r="ABJ721" s="5"/>
      <c r="ABK721" s="5"/>
      <c r="ABL721" s="5"/>
      <c r="ABM721" s="5"/>
      <c r="ABN721" s="5"/>
      <c r="ABO721" s="5"/>
      <c r="ABP721" s="5"/>
      <c r="ABQ721" s="5"/>
      <c r="ABR721" s="5"/>
      <c r="ABS721" s="5"/>
      <c r="ABT721" s="5"/>
      <c r="ABU721" s="5"/>
      <c r="ABV721" s="5"/>
      <c r="ABW721" s="5"/>
      <c r="ABX721" s="5"/>
      <c r="ABY721" s="5"/>
      <c r="ABZ721" s="5"/>
      <c r="ACA721" s="5"/>
      <c r="ACB721" s="5"/>
      <c r="ACC721" s="5"/>
      <c r="ACD721" s="5"/>
      <c r="ACE721" s="5"/>
      <c r="ACF721" s="5"/>
      <c r="ACG721" s="5"/>
      <c r="ACH721" s="5"/>
      <c r="ACI721" s="5"/>
      <c r="ACJ721" s="5"/>
      <c r="ACK721" s="5"/>
      <c r="ACL721" s="5"/>
      <c r="ACM721" s="5"/>
      <c r="ACN721" s="5"/>
      <c r="ACO721" s="5"/>
      <c r="ACP721" s="5"/>
      <c r="ACQ721" s="5"/>
      <c r="ACR721" s="5"/>
      <c r="ACS721" s="5"/>
      <c r="ACT721" s="5"/>
      <c r="ACU721" s="5"/>
      <c r="ACV721" s="5"/>
      <c r="ACW721" s="5"/>
      <c r="ACX721" s="5"/>
      <c r="ACY721" s="5"/>
      <c r="ACZ721" s="5"/>
      <c r="ADA721" s="5"/>
      <c r="ADB721" s="5"/>
      <c r="ADC721" s="5"/>
      <c r="ADD721" s="5"/>
      <c r="ADE721" s="5"/>
      <c r="ADF721" s="5"/>
      <c r="ADG721" s="5"/>
      <c r="ADH721" s="5"/>
      <c r="ADI721" s="5"/>
      <c r="ADJ721" s="5"/>
      <c r="ADK721" s="5"/>
      <c r="ADL721" s="5"/>
      <c r="ADM721" s="5"/>
      <c r="ADN721" s="5"/>
      <c r="ADO721" s="5"/>
      <c r="ADP721" s="5"/>
      <c r="ADQ721" s="5"/>
      <c r="ADR721" s="5"/>
      <c r="ADS721" s="5"/>
      <c r="ADT721" s="5"/>
      <c r="ADU721" s="5"/>
      <c r="ADV721" s="5"/>
      <c r="ADW721" s="5"/>
      <c r="ADX721" s="5"/>
      <c r="ADY721" s="5"/>
      <c r="ADZ721" s="5"/>
      <c r="AEA721" s="5"/>
      <c r="AEB721" s="5"/>
      <c r="AEC721" s="5"/>
      <c r="AED721" s="5"/>
      <c r="AEE721" s="5"/>
      <c r="AEF721" s="5"/>
      <c r="AEG721" s="5"/>
      <c r="AEH721" s="5"/>
      <c r="AEI721" s="5"/>
      <c r="AEJ721" s="5"/>
      <c r="AEK721" s="5"/>
      <c r="AEL721" s="5"/>
      <c r="AEM721" s="5"/>
      <c r="AEN721" s="5"/>
      <c r="AEO721" s="5"/>
      <c r="AEP721" s="5"/>
      <c r="AEQ721" s="5"/>
      <c r="AER721" s="5"/>
      <c r="AES721" s="5"/>
      <c r="AET721" s="5"/>
      <c r="AEU721" s="5"/>
      <c r="AEV721" s="5"/>
      <c r="AEW721" s="5"/>
      <c r="AEX721" s="5"/>
      <c r="AEY721" s="5"/>
      <c r="AEZ721" s="5"/>
      <c r="AFA721" s="5"/>
      <c r="AFB721" s="5"/>
      <c r="AFC721" s="5"/>
      <c r="AFD721" s="5"/>
      <c r="AFE721" s="5"/>
      <c r="AFF721" s="5"/>
      <c r="AFG721" s="5"/>
      <c r="AFH721" s="5"/>
      <c r="AFI721" s="5"/>
      <c r="AFJ721" s="5"/>
      <c r="AFK721" s="5"/>
      <c r="AFL721" s="5"/>
      <c r="AFM721" s="5"/>
      <c r="AFN721" s="5"/>
      <c r="AFO721" s="5"/>
      <c r="AFP721" s="5"/>
      <c r="AFQ721" s="5"/>
      <c r="AFR721" s="5"/>
      <c r="AFS721" s="5"/>
      <c r="AFT721" s="5"/>
      <c r="AFU721" s="5"/>
      <c r="AFV721" s="5"/>
      <c r="AFW721" s="5"/>
      <c r="AFX721" s="5"/>
      <c r="AFY721" s="5"/>
      <c r="AFZ721" s="5"/>
      <c r="AGA721" s="5"/>
      <c r="AGB721" s="5"/>
      <c r="AGC721" s="5"/>
      <c r="AGD721" s="5"/>
      <c r="AGE721" s="5"/>
      <c r="AGF721" s="5"/>
      <c r="AGG721" s="5"/>
      <c r="AGH721" s="5"/>
      <c r="AGI721" s="5"/>
      <c r="AGJ721" s="5"/>
      <c r="AGK721" s="5"/>
      <c r="AGL721" s="5"/>
      <c r="AGM721" s="5"/>
      <c r="AGN721" s="5"/>
      <c r="AGO721" s="5"/>
      <c r="AGP721" s="5"/>
      <c r="AGQ721" s="5"/>
      <c r="AGR721" s="5"/>
      <c r="AGS721" s="5"/>
      <c r="AGT721" s="5"/>
      <c r="AGU721" s="5"/>
      <c r="AGV721" s="5"/>
      <c r="AGW721" s="5"/>
      <c r="AGX721" s="5"/>
      <c r="AGY721" s="5"/>
      <c r="AGZ721" s="5"/>
      <c r="AHA721" s="5"/>
      <c r="AHB721" s="5"/>
      <c r="AHC721" s="5"/>
      <c r="AHD721" s="5"/>
      <c r="AHE721" s="5"/>
      <c r="AHF721" s="5"/>
      <c r="AHG721" s="5"/>
      <c r="AHH721" s="5"/>
      <c r="AHI721" s="5"/>
      <c r="AHJ721" s="5"/>
      <c r="AHK721" s="5"/>
      <c r="AHL721" s="5"/>
      <c r="AHM721" s="5"/>
      <c r="AHN721" s="5"/>
      <c r="AHO721" s="5"/>
      <c r="AHP721" s="5"/>
      <c r="AHQ721" s="5"/>
      <c r="AHR721" s="5"/>
      <c r="AHS721" s="5"/>
      <c r="AHT721" s="5"/>
      <c r="AHU721" s="5"/>
      <c r="AHV721" s="5"/>
      <c r="AHW721" s="5"/>
      <c r="AHX721" s="5"/>
      <c r="AHY721" s="5"/>
      <c r="AHZ721" s="5"/>
      <c r="AIA721" s="5"/>
      <c r="AIB721" s="5"/>
      <c r="AIC721" s="5"/>
      <c r="AID721" s="5"/>
      <c r="AIE721" s="5"/>
      <c r="AIF721" s="5"/>
      <c r="AIG721" s="5"/>
      <c r="AIH721" s="5"/>
      <c r="AII721" s="5"/>
      <c r="AIJ721" s="5"/>
      <c r="AIK721" s="5"/>
      <c r="AIL721" s="5"/>
      <c r="AIM721" s="5"/>
      <c r="AIN721" s="5"/>
      <c r="AIO721" s="5"/>
      <c r="AIP721" s="5"/>
      <c r="AIQ721" s="5"/>
      <c r="AIR721" s="5"/>
      <c r="AIS721" s="5"/>
      <c r="AIT721" s="5"/>
      <c r="AIU721" s="5"/>
      <c r="AIV721" s="5"/>
      <c r="AIW721" s="5"/>
      <c r="AIX721" s="5"/>
      <c r="AIY721" s="5"/>
      <c r="AIZ721" s="5"/>
      <c r="AJA721" s="5"/>
      <c r="AJB721" s="5"/>
      <c r="AJC721" s="5"/>
      <c r="AJD721" s="5"/>
      <c r="AJE721" s="5"/>
      <c r="AJF721" s="5"/>
      <c r="AJG721" s="5"/>
      <c r="AJH721" s="5"/>
      <c r="AJI721" s="5"/>
      <c r="AJJ721" s="5"/>
      <c r="AJK721" s="5"/>
      <c r="AJL721" s="5"/>
      <c r="AJM721" s="5"/>
      <c r="AJN721" s="5"/>
      <c r="AJO721" s="5"/>
      <c r="AJP721" s="5"/>
      <c r="AJQ721" s="5"/>
      <c r="AJR721" s="5"/>
      <c r="AJS721" s="5"/>
      <c r="AJT721" s="5"/>
      <c r="AJU721" s="5"/>
      <c r="AJV721" s="5"/>
      <c r="AJW721" s="5"/>
      <c r="AJX721" s="5"/>
      <c r="AJY721" s="5"/>
      <c r="AJZ721" s="5"/>
      <c r="AKA721" s="5"/>
      <c r="AKB721" s="5"/>
      <c r="AKC721" s="5"/>
      <c r="AKD721" s="5"/>
      <c r="AKE721" s="5"/>
      <c r="AKF721" s="5"/>
      <c r="AKG721" s="5"/>
      <c r="AKH721" s="5"/>
      <c r="AKI721" s="5"/>
      <c r="AKJ721" s="5"/>
      <c r="AKK721" s="5"/>
      <c r="AKL721" s="5"/>
      <c r="AKM721" s="5"/>
      <c r="AKN721" s="5"/>
      <c r="AKO721" s="5"/>
      <c r="AKP721" s="5"/>
      <c r="AKQ721" s="5"/>
      <c r="AKR721" s="5"/>
      <c r="AKS721" s="5"/>
      <c r="AKT721" s="5"/>
      <c r="AKU721" s="5"/>
      <c r="AKV721" s="5"/>
      <c r="AKW721" s="5"/>
      <c r="AKX721" s="5"/>
      <c r="AKY721" s="5"/>
      <c r="AKZ721" s="5"/>
      <c r="ALA721" s="5"/>
      <c r="ALB721" s="5"/>
      <c r="ALC721" s="5"/>
      <c r="ALD721" s="5"/>
      <c r="ALE721" s="5"/>
      <c r="ALF721" s="5"/>
      <c r="ALG721" s="5"/>
      <c r="ALH721" s="5"/>
      <c r="ALI721" s="5"/>
      <c r="ALJ721" s="5"/>
      <c r="ALK721" s="5"/>
      <c r="ALL721" s="5"/>
      <c r="ALM721" s="5"/>
      <c r="ALN721" s="5"/>
      <c r="ALO721" s="5"/>
      <c r="ALP721" s="5"/>
      <c r="ALQ721" s="5"/>
      <c r="ALR721" s="5"/>
      <c r="ALS721" s="5"/>
      <c r="ALT721" s="5"/>
      <c r="ALU721" s="5"/>
      <c r="ALV721" s="5"/>
      <c r="ALW721" s="5"/>
      <c r="ALX721" s="5"/>
      <c r="ALY721" s="5"/>
      <c r="ALZ721" s="5"/>
      <c r="AMA721" s="5"/>
      <c r="AMB721" s="5"/>
      <c r="AMC721" s="5"/>
      <c r="AMD721" s="5"/>
      <c r="AME721" s="5"/>
      <c r="AMF721" s="5"/>
      <c r="AMG721" s="5"/>
      <c r="AMH721" s="5"/>
      <c r="AMI721" s="5"/>
      <c r="AMJ721" s="5"/>
      <c r="AMK721" s="5"/>
      <c r="AML721" s="5"/>
      <c r="AMM721" s="5"/>
      <c r="AMN721" s="5"/>
      <c r="AMO721" s="5"/>
      <c r="AMP721" s="5"/>
      <c r="AMQ721" s="5"/>
      <c r="AMR721" s="5"/>
      <c r="AMS721" s="5"/>
      <c r="AMT721" s="5"/>
      <c r="AMU721" s="5"/>
      <c r="AMV721" s="5"/>
      <c r="AMW721" s="5"/>
      <c r="AMX721" s="5"/>
      <c r="AMY721" s="5"/>
      <c r="AMZ721" s="5"/>
      <c r="ANA721" s="5"/>
      <c r="ANB721" s="5"/>
      <c r="ANC721" s="5"/>
      <c r="AND721" s="5"/>
      <c r="ANE721" s="5"/>
      <c r="ANF721" s="5"/>
      <c r="ANG721" s="5"/>
      <c r="ANH721" s="5"/>
      <c r="ANI721" s="5"/>
      <c r="ANJ721" s="5"/>
      <c r="ANK721" s="5"/>
      <c r="ANL721" s="5"/>
      <c r="ANM721" s="5"/>
      <c r="ANN721" s="5"/>
      <c r="ANO721" s="5"/>
      <c r="ANP721" s="5"/>
      <c r="ANQ721" s="5"/>
      <c r="ANR721" s="5"/>
      <c r="ANS721" s="5"/>
      <c r="ANT721" s="5"/>
      <c r="ANU721" s="5"/>
      <c r="ANV721" s="5"/>
      <c r="ANW721" s="5"/>
      <c r="ANX721" s="5"/>
      <c r="ANY721" s="5"/>
      <c r="ANZ721" s="5"/>
      <c r="AOA721" s="5"/>
      <c r="AOB721" s="5"/>
      <c r="AOC721" s="5"/>
      <c r="AOD721" s="5"/>
      <c r="AOE721" s="5"/>
      <c r="AOF721" s="5"/>
      <c r="AOG721" s="5"/>
      <c r="AOH721" s="5"/>
      <c r="AOI721" s="5"/>
      <c r="AOJ721" s="5"/>
      <c r="AOK721" s="5"/>
      <c r="AOL721" s="5"/>
      <c r="AOM721" s="5"/>
      <c r="AON721" s="5"/>
      <c r="AOO721" s="5"/>
      <c r="AOP721" s="5"/>
      <c r="AOQ721" s="5"/>
      <c r="AOR721" s="5"/>
      <c r="AOS721" s="5"/>
      <c r="AOT721" s="5"/>
      <c r="AOU721" s="5"/>
      <c r="AOV721" s="5"/>
      <c r="AOW721" s="5"/>
      <c r="AOX721" s="5"/>
      <c r="AOY721" s="5"/>
      <c r="AOZ721" s="5"/>
      <c r="APA721" s="5"/>
      <c r="APB721" s="5"/>
      <c r="APC721" s="5"/>
      <c r="APD721" s="5"/>
      <c r="APE721" s="5"/>
      <c r="APF721" s="5"/>
      <c r="APG721" s="5"/>
      <c r="APH721" s="5"/>
      <c r="API721" s="5"/>
      <c r="APJ721" s="5"/>
      <c r="APK721" s="5"/>
      <c r="APL721" s="5"/>
      <c r="APM721" s="5"/>
      <c r="APN721" s="5"/>
      <c r="APO721" s="5"/>
      <c r="APP721" s="5"/>
      <c r="APQ721" s="5"/>
      <c r="APR721" s="5"/>
      <c r="APS721" s="5"/>
      <c r="APT721" s="5"/>
      <c r="APU721" s="5"/>
      <c r="APV721" s="5"/>
      <c r="APW721" s="5"/>
      <c r="APX721" s="5"/>
      <c r="APY721" s="5"/>
      <c r="APZ721" s="5"/>
      <c r="AQA721" s="5"/>
      <c r="AQB721" s="5"/>
      <c r="AQC721" s="5"/>
      <c r="AQD721" s="5"/>
      <c r="AQE721" s="5"/>
      <c r="AQF721" s="5"/>
      <c r="AQG721" s="5"/>
      <c r="AQH721" s="5"/>
      <c r="AQI721" s="5"/>
      <c r="AQJ721" s="5"/>
      <c r="AQK721" s="5"/>
      <c r="AQL721" s="5"/>
      <c r="AQM721" s="5"/>
      <c r="AQN721" s="5"/>
      <c r="AQO721" s="5"/>
      <c r="AQP721" s="5"/>
      <c r="AQQ721" s="5"/>
      <c r="AQR721" s="5"/>
      <c r="AQS721" s="5"/>
      <c r="AQT721" s="5"/>
      <c r="AQU721" s="5"/>
      <c r="AQV721" s="5"/>
      <c r="AQW721" s="5"/>
      <c r="AQX721" s="5"/>
      <c r="AQY721" s="5"/>
      <c r="AQZ721" s="5"/>
      <c r="ARA721" s="5"/>
      <c r="ARB721" s="5"/>
      <c r="ARC721" s="5"/>
      <c r="ARD721" s="5"/>
      <c r="ARE721" s="5"/>
      <c r="ARF721" s="5"/>
      <c r="ARG721" s="5"/>
      <c r="ARH721" s="5"/>
      <c r="ARI721" s="5"/>
      <c r="ARJ721" s="5"/>
      <c r="ARK721" s="5"/>
      <c r="ARL721" s="5"/>
      <c r="ARM721" s="5"/>
      <c r="ARN721" s="5"/>
      <c r="ARO721" s="5"/>
      <c r="ARP721" s="5"/>
      <c r="ARQ721" s="5"/>
      <c r="ARR721" s="5"/>
      <c r="ARS721" s="5"/>
      <c r="ART721" s="5"/>
      <c r="ARU721" s="5"/>
      <c r="ARV721" s="5"/>
      <c r="ARW721" s="5"/>
      <c r="ARX721" s="5"/>
      <c r="ARY721" s="5"/>
      <c r="ARZ721" s="5"/>
      <c r="ASA721" s="5"/>
      <c r="ASB721" s="5"/>
      <c r="ASC721" s="5"/>
      <c r="ASD721" s="5"/>
      <c r="ASE721" s="5"/>
      <c r="ASF721" s="5"/>
      <c r="ASG721" s="5"/>
      <c r="ASH721" s="5"/>
      <c r="ASI721" s="5"/>
      <c r="ASJ721" s="5"/>
      <c r="ASK721" s="5"/>
      <c r="ASL721" s="5"/>
      <c r="ASM721" s="5"/>
      <c r="ASN721" s="5"/>
      <c r="ASO721" s="5"/>
      <c r="ASP721" s="5"/>
      <c r="ASQ721" s="5"/>
      <c r="ASR721" s="5"/>
      <c r="ASS721" s="5"/>
      <c r="AST721" s="5"/>
      <c r="ASU721" s="5"/>
      <c r="ASV721" s="5"/>
      <c r="ASW721" s="5"/>
      <c r="ASX721" s="5"/>
      <c r="ASY721" s="5"/>
      <c r="ASZ721" s="5"/>
      <c r="ATA721" s="5"/>
      <c r="ATB721" s="5"/>
      <c r="ATC721" s="5"/>
      <c r="ATD721" s="5"/>
      <c r="ATE721" s="5"/>
      <c r="ATF721" s="5"/>
      <c r="ATG721" s="5"/>
      <c r="ATH721" s="5"/>
      <c r="ATI721" s="5"/>
      <c r="ATJ721" s="5"/>
      <c r="ATK721" s="5"/>
      <c r="ATL721" s="5"/>
      <c r="ATM721" s="5"/>
      <c r="ATN721" s="5"/>
      <c r="ATO721" s="5"/>
      <c r="ATP721" s="5"/>
      <c r="ATQ721" s="5"/>
      <c r="ATR721" s="5"/>
      <c r="ATS721" s="5"/>
      <c r="ATT721" s="5"/>
      <c r="ATU721" s="5"/>
      <c r="ATV721" s="5"/>
      <c r="ATW721" s="5"/>
      <c r="ATX721" s="5"/>
    </row>
    <row r="722" spans="1:1220" s="67" customFormat="1" ht="12.75" customHeight="1" x14ac:dyDescent="0.35">
      <c r="A722" s="76" t="s">
        <v>229</v>
      </c>
      <c r="B722" s="99" t="s">
        <v>289</v>
      </c>
      <c r="C722" s="76" t="s">
        <v>2622</v>
      </c>
      <c r="D722" s="142" t="s">
        <v>2622</v>
      </c>
      <c r="E722" s="76"/>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c r="DS722" s="5"/>
      <c r="DT722" s="5"/>
      <c r="DU722" s="5"/>
      <c r="DV722" s="5"/>
      <c r="DW722" s="5"/>
      <c r="DX722" s="5"/>
      <c r="DY722" s="5"/>
      <c r="DZ722" s="5"/>
      <c r="EA722" s="5"/>
      <c r="EB722" s="5"/>
      <c r="EC722" s="5"/>
      <c r="ED722" s="5"/>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s="5"/>
      <c r="FG722" s="5"/>
      <c r="FH722" s="5"/>
      <c r="FI722" s="5"/>
      <c r="FJ722" s="5"/>
      <c r="FK722" s="5"/>
      <c r="FL722" s="5"/>
      <c r="FM722" s="5"/>
      <c r="FN722" s="5"/>
      <c r="FO722" s="5"/>
      <c r="FP722" s="5"/>
      <c r="FQ722" s="5"/>
      <c r="FR722" s="5"/>
      <c r="FS722" s="5"/>
      <c r="FT722" s="5"/>
      <c r="FU722" s="5"/>
      <c r="FV722" s="5"/>
      <c r="FW722" s="5"/>
      <c r="FX722" s="5"/>
      <c r="FY722" s="5"/>
      <c r="FZ722" s="5"/>
      <c r="GA722" s="5"/>
      <c r="GB722" s="5"/>
      <c r="GC722" s="5"/>
      <c r="GD722" s="5"/>
      <c r="GE722" s="5"/>
      <c r="GF722" s="5"/>
      <c r="GG722" s="5"/>
      <c r="GH722" s="5"/>
      <c r="GI722" s="5"/>
      <c r="GJ722" s="5"/>
      <c r="GK722" s="5"/>
      <c r="GL722" s="5"/>
      <c r="GM722" s="5"/>
      <c r="GN722" s="5"/>
      <c r="GO722" s="5"/>
      <c r="GP722" s="5"/>
      <c r="GQ722" s="5"/>
      <c r="GR722" s="5"/>
      <c r="GS722" s="5"/>
      <c r="GT722" s="5"/>
      <c r="GU722" s="5"/>
      <c r="GV722" s="5"/>
      <c r="GW722" s="5"/>
      <c r="GX722" s="5"/>
      <c r="GY722" s="5"/>
      <c r="GZ722" s="5"/>
      <c r="HA722" s="5"/>
      <c r="HB722" s="5"/>
      <c r="HC722" s="5"/>
      <c r="HD722" s="5"/>
      <c r="HE722" s="5"/>
      <c r="HF722" s="5"/>
      <c r="HG722" s="5"/>
      <c r="HH722" s="5"/>
      <c r="HI722" s="5"/>
      <c r="HJ722" s="5"/>
      <c r="HK722" s="5"/>
      <c r="HL722" s="5"/>
      <c r="HM722" s="5"/>
      <c r="HN722" s="5"/>
      <c r="HO722" s="5"/>
      <c r="HP722" s="5"/>
      <c r="HQ722" s="5"/>
      <c r="HR722" s="5"/>
      <c r="HS722" s="5"/>
      <c r="HT722" s="5"/>
      <c r="HU722" s="5"/>
      <c r="HV722" s="5"/>
      <c r="HW722" s="5"/>
      <c r="HX722" s="5"/>
      <c r="HY722" s="5"/>
      <c r="HZ722" s="5"/>
      <c r="IA722" s="5"/>
      <c r="IB722" s="5"/>
      <c r="IC722" s="5"/>
      <c r="ID722" s="5"/>
      <c r="IE722" s="5"/>
      <c r="IF722" s="5"/>
      <c r="IG722" s="5"/>
      <c r="IH722" s="5"/>
      <c r="II722" s="5"/>
      <c r="IJ722" s="5"/>
      <c r="IK722" s="5"/>
      <c r="IL722" s="5"/>
      <c r="IM722" s="5"/>
      <c r="IN722" s="5"/>
      <c r="IO722" s="5"/>
      <c r="IP722" s="5"/>
      <c r="IQ722" s="5"/>
      <c r="IR722" s="5"/>
      <c r="IS722" s="5"/>
      <c r="IT722" s="5"/>
      <c r="IU722" s="5"/>
      <c r="IV722" s="5"/>
      <c r="IW722" s="5"/>
      <c r="IX722" s="5"/>
      <c r="IY722" s="5"/>
      <c r="IZ722" s="5"/>
      <c r="JA722" s="5"/>
      <c r="JB722" s="5"/>
      <c r="JC722" s="5"/>
      <c r="JD722" s="5"/>
      <c r="JE722" s="5"/>
      <c r="JF722" s="5"/>
      <c r="JG722" s="5"/>
      <c r="JH722" s="5"/>
      <c r="JI722" s="5"/>
      <c r="JJ722" s="5"/>
      <c r="JK722" s="5"/>
      <c r="JL722" s="5"/>
      <c r="JM722" s="5"/>
      <c r="JN722" s="5"/>
      <c r="JO722" s="5"/>
      <c r="JP722" s="5"/>
      <c r="JQ722" s="5"/>
      <c r="JR722" s="5"/>
      <c r="JS722" s="5"/>
      <c r="JT722" s="5"/>
      <c r="JU722" s="5"/>
      <c r="JV722" s="5"/>
      <c r="JW722" s="5"/>
      <c r="JX722" s="5"/>
      <c r="JY722" s="5"/>
      <c r="JZ722" s="5"/>
      <c r="KA722" s="5"/>
      <c r="KB722" s="5"/>
      <c r="KC722" s="5"/>
      <c r="KD722" s="5"/>
      <c r="KE722" s="5"/>
      <c r="KF722" s="5"/>
      <c r="KG722" s="5"/>
      <c r="KH722" s="5"/>
      <c r="KI722" s="5"/>
      <c r="KJ722" s="5"/>
      <c r="KK722" s="5"/>
      <c r="KL722" s="5"/>
      <c r="KM722" s="5"/>
      <c r="KN722" s="5"/>
      <c r="KO722" s="5"/>
      <c r="KP722" s="5"/>
      <c r="KQ722" s="5"/>
      <c r="KR722" s="5"/>
      <c r="KS722" s="5"/>
      <c r="KT722" s="5"/>
      <c r="KU722" s="5"/>
      <c r="KV722" s="5"/>
      <c r="KW722" s="5"/>
      <c r="KX722" s="5"/>
      <c r="KY722" s="5"/>
      <c r="KZ722" s="5"/>
      <c r="LA722" s="5"/>
      <c r="LB722" s="5"/>
      <c r="LC722" s="5"/>
      <c r="LD722" s="5"/>
      <c r="LE722" s="5"/>
      <c r="LF722" s="5"/>
      <c r="LG722" s="5"/>
      <c r="LH722" s="5"/>
      <c r="LI722" s="5"/>
      <c r="LJ722" s="5"/>
      <c r="LK722" s="5"/>
      <c r="LL722" s="5"/>
      <c r="LM722" s="5"/>
      <c r="LN722" s="5"/>
      <c r="LO722" s="5"/>
      <c r="LP722" s="5"/>
      <c r="LQ722" s="5"/>
      <c r="LR722" s="5"/>
      <c r="LS722" s="5"/>
      <c r="LT722" s="5"/>
      <c r="LU722" s="5"/>
      <c r="LV722" s="5"/>
      <c r="LW722" s="5"/>
      <c r="LX722" s="5"/>
      <c r="LY722" s="5"/>
      <c r="LZ722" s="5"/>
      <c r="MA722" s="5"/>
      <c r="MB722" s="5"/>
      <c r="MC722" s="5"/>
      <c r="MD722" s="5"/>
      <c r="ME722" s="5"/>
      <c r="MF722" s="5"/>
      <c r="MG722" s="5"/>
      <c r="MH722" s="5"/>
      <c r="MI722" s="5"/>
      <c r="MJ722" s="5"/>
      <c r="MK722" s="5"/>
      <c r="ML722" s="5"/>
      <c r="MM722" s="5"/>
      <c r="MN722" s="5"/>
      <c r="MO722" s="5"/>
      <c r="MP722" s="5"/>
      <c r="MQ722" s="5"/>
      <c r="MR722" s="5"/>
      <c r="MS722" s="5"/>
      <c r="MT722" s="5"/>
      <c r="MU722" s="5"/>
      <c r="MV722" s="5"/>
      <c r="MW722" s="5"/>
      <c r="MX722" s="5"/>
      <c r="MY722" s="5"/>
      <c r="MZ722" s="5"/>
      <c r="NA722" s="5"/>
      <c r="NB722" s="5"/>
      <c r="NC722" s="5"/>
      <c r="ND722" s="5"/>
      <c r="NE722" s="5"/>
      <c r="NF722" s="5"/>
      <c r="NG722" s="5"/>
      <c r="NH722" s="5"/>
      <c r="NI722" s="5"/>
      <c r="NJ722" s="5"/>
      <c r="NK722" s="5"/>
      <c r="NL722" s="5"/>
      <c r="NM722" s="5"/>
      <c r="NN722" s="5"/>
      <c r="NO722" s="5"/>
      <c r="NP722" s="5"/>
      <c r="NQ722" s="5"/>
      <c r="NR722" s="5"/>
      <c r="NS722" s="5"/>
      <c r="NT722" s="5"/>
      <c r="NU722" s="5"/>
      <c r="NV722" s="5"/>
      <c r="NW722" s="5"/>
      <c r="NX722" s="5"/>
      <c r="NY722" s="5"/>
      <c r="NZ722" s="5"/>
      <c r="OA722" s="5"/>
      <c r="OB722" s="5"/>
      <c r="OC722" s="5"/>
      <c r="OD722" s="5"/>
      <c r="OE722" s="5"/>
      <c r="OF722" s="5"/>
      <c r="OG722" s="5"/>
      <c r="OH722" s="5"/>
      <c r="OI722" s="5"/>
      <c r="OJ722" s="5"/>
      <c r="OK722" s="5"/>
      <c r="OL722" s="5"/>
      <c r="OM722" s="5"/>
      <c r="ON722" s="5"/>
      <c r="OO722" s="5"/>
      <c r="OP722" s="5"/>
      <c r="OQ722" s="5"/>
      <c r="OR722" s="5"/>
      <c r="OS722" s="5"/>
      <c r="OT722" s="5"/>
      <c r="OU722" s="5"/>
      <c r="OV722" s="5"/>
      <c r="OW722" s="5"/>
      <c r="OX722" s="5"/>
      <c r="OY722" s="5"/>
      <c r="OZ722" s="5"/>
      <c r="PA722" s="5"/>
      <c r="PB722" s="5"/>
      <c r="PC722" s="5"/>
      <c r="PD722" s="5"/>
      <c r="PE722" s="5"/>
      <c r="PF722" s="5"/>
      <c r="PG722" s="5"/>
      <c r="PH722" s="5"/>
      <c r="PI722" s="5"/>
      <c r="PJ722" s="5"/>
      <c r="PK722" s="5"/>
      <c r="PL722" s="5"/>
      <c r="PM722" s="5"/>
      <c r="PN722" s="5"/>
      <c r="PO722" s="5"/>
      <c r="PP722" s="5"/>
      <c r="PQ722" s="5"/>
      <c r="PR722" s="5"/>
      <c r="PS722" s="5"/>
      <c r="PT722" s="5"/>
      <c r="PU722" s="5"/>
      <c r="PV722" s="5"/>
      <c r="PW722" s="5"/>
      <c r="PX722" s="5"/>
      <c r="PY722" s="5"/>
      <c r="PZ722" s="5"/>
      <c r="QA722" s="5"/>
      <c r="QB722" s="5"/>
      <c r="QC722" s="5"/>
      <c r="QD722" s="5"/>
      <c r="QE722" s="5"/>
      <c r="QF722" s="5"/>
      <c r="QG722" s="5"/>
      <c r="QH722" s="5"/>
      <c r="QI722" s="5"/>
      <c r="QJ722" s="5"/>
      <c r="QK722" s="5"/>
      <c r="QL722" s="5"/>
      <c r="QM722" s="5"/>
      <c r="QN722" s="5"/>
      <c r="QO722" s="5"/>
      <c r="QP722" s="5"/>
      <c r="QQ722" s="5"/>
      <c r="QR722" s="5"/>
      <c r="QS722" s="5"/>
      <c r="QT722" s="5"/>
      <c r="QU722" s="5"/>
      <c r="QV722" s="5"/>
      <c r="QW722" s="5"/>
      <c r="QX722" s="5"/>
      <c r="QY722" s="5"/>
      <c r="QZ722" s="5"/>
      <c r="RA722" s="5"/>
      <c r="RB722" s="5"/>
      <c r="RC722" s="5"/>
      <c r="RD722" s="5"/>
      <c r="RE722" s="5"/>
      <c r="RF722" s="5"/>
      <c r="RG722" s="5"/>
      <c r="RH722" s="5"/>
      <c r="RI722" s="5"/>
      <c r="RJ722" s="5"/>
      <c r="RK722" s="5"/>
      <c r="RL722" s="5"/>
      <c r="RM722" s="5"/>
      <c r="RN722" s="5"/>
      <c r="RO722" s="5"/>
      <c r="RP722" s="5"/>
      <c r="RQ722" s="5"/>
      <c r="RR722" s="5"/>
      <c r="RS722" s="5"/>
      <c r="RT722" s="5"/>
      <c r="RU722" s="5"/>
      <c r="RV722" s="5"/>
      <c r="RW722" s="5"/>
      <c r="RX722" s="5"/>
      <c r="RY722" s="5"/>
      <c r="RZ722" s="5"/>
      <c r="SA722" s="5"/>
      <c r="SB722" s="5"/>
      <c r="SC722" s="5"/>
      <c r="SD722" s="5"/>
      <c r="SE722" s="5"/>
      <c r="SF722" s="5"/>
      <c r="SG722" s="5"/>
      <c r="SH722" s="5"/>
      <c r="SI722" s="5"/>
      <c r="SJ722" s="5"/>
      <c r="SK722" s="5"/>
      <c r="SL722" s="5"/>
      <c r="SM722" s="5"/>
      <c r="SN722" s="5"/>
      <c r="SO722" s="5"/>
      <c r="SP722" s="5"/>
      <c r="SQ722" s="5"/>
      <c r="SR722" s="5"/>
      <c r="SS722" s="5"/>
      <c r="ST722" s="5"/>
      <c r="SU722" s="5"/>
      <c r="SV722" s="5"/>
      <c r="SW722" s="5"/>
      <c r="SX722" s="5"/>
      <c r="SY722" s="5"/>
      <c r="SZ722" s="5"/>
      <c r="TA722" s="5"/>
      <c r="TB722" s="5"/>
      <c r="TC722" s="5"/>
      <c r="TD722" s="5"/>
      <c r="TE722" s="5"/>
      <c r="TF722" s="5"/>
      <c r="TG722" s="5"/>
      <c r="TH722" s="5"/>
      <c r="TI722" s="5"/>
      <c r="TJ722" s="5"/>
      <c r="TK722" s="5"/>
      <c r="TL722" s="5"/>
      <c r="TM722" s="5"/>
      <c r="TN722" s="5"/>
      <c r="TO722" s="5"/>
      <c r="TP722" s="5"/>
      <c r="TQ722" s="5"/>
      <c r="TR722" s="5"/>
      <c r="TS722" s="5"/>
      <c r="TT722" s="5"/>
      <c r="TU722" s="5"/>
      <c r="TV722" s="5"/>
      <c r="TW722" s="5"/>
      <c r="TX722" s="5"/>
      <c r="TY722" s="5"/>
      <c r="TZ722" s="5"/>
      <c r="UA722" s="5"/>
      <c r="UB722" s="5"/>
      <c r="UC722" s="5"/>
      <c r="UD722" s="5"/>
      <c r="UE722" s="5"/>
      <c r="UF722" s="5"/>
      <c r="UG722" s="5"/>
      <c r="UH722" s="5"/>
      <c r="UI722" s="5"/>
      <c r="UJ722" s="5"/>
      <c r="UK722" s="5"/>
      <c r="UL722" s="5"/>
      <c r="UM722" s="5"/>
      <c r="UN722" s="5"/>
      <c r="UO722" s="5"/>
      <c r="UP722" s="5"/>
      <c r="UQ722" s="5"/>
      <c r="UR722" s="5"/>
      <c r="US722" s="5"/>
      <c r="UT722" s="5"/>
      <c r="UU722" s="5"/>
      <c r="UV722" s="5"/>
      <c r="UW722" s="5"/>
      <c r="UX722" s="5"/>
      <c r="UY722" s="5"/>
      <c r="UZ722" s="5"/>
      <c r="VA722" s="5"/>
      <c r="VB722" s="5"/>
      <c r="VC722" s="5"/>
      <c r="VD722" s="5"/>
      <c r="VE722" s="5"/>
      <c r="VF722" s="5"/>
      <c r="VG722" s="5"/>
      <c r="VH722" s="5"/>
      <c r="VI722" s="5"/>
      <c r="VJ722" s="5"/>
      <c r="VK722" s="5"/>
      <c r="VL722" s="5"/>
      <c r="VM722" s="5"/>
      <c r="VN722" s="5"/>
      <c r="VO722" s="5"/>
      <c r="VP722" s="5"/>
      <c r="VQ722" s="5"/>
      <c r="VR722" s="5"/>
      <c r="VS722" s="5"/>
      <c r="VT722" s="5"/>
      <c r="VU722" s="5"/>
      <c r="VV722" s="5"/>
      <c r="VW722" s="5"/>
      <c r="VX722" s="5"/>
      <c r="VY722" s="5"/>
      <c r="VZ722" s="5"/>
      <c r="WA722" s="5"/>
      <c r="WB722" s="5"/>
      <c r="WC722" s="5"/>
      <c r="WD722" s="5"/>
      <c r="WE722" s="5"/>
      <c r="WF722" s="5"/>
      <c r="WG722" s="5"/>
      <c r="WH722" s="5"/>
      <c r="WI722" s="5"/>
      <c r="WJ722" s="5"/>
      <c r="WK722" s="5"/>
      <c r="WL722" s="5"/>
      <c r="WM722" s="5"/>
      <c r="WN722" s="5"/>
      <c r="WO722" s="5"/>
      <c r="WP722" s="5"/>
      <c r="WQ722" s="5"/>
      <c r="WR722" s="5"/>
      <c r="WS722" s="5"/>
      <c r="WT722" s="5"/>
      <c r="WU722" s="5"/>
      <c r="WV722" s="5"/>
      <c r="WW722" s="5"/>
      <c r="WX722" s="5"/>
      <c r="WY722" s="5"/>
      <c r="WZ722" s="5"/>
      <c r="XA722" s="5"/>
      <c r="XB722" s="5"/>
      <c r="XC722" s="5"/>
      <c r="XD722" s="5"/>
      <c r="XE722" s="5"/>
      <c r="XF722" s="5"/>
      <c r="XG722" s="5"/>
      <c r="XH722" s="5"/>
      <c r="XI722" s="5"/>
      <c r="XJ722" s="5"/>
      <c r="XK722" s="5"/>
      <c r="XL722" s="5"/>
      <c r="XM722" s="5"/>
      <c r="XN722" s="5"/>
      <c r="XO722" s="5"/>
      <c r="XP722" s="5"/>
      <c r="XQ722" s="5"/>
      <c r="XR722" s="5"/>
      <c r="XS722" s="5"/>
      <c r="XT722" s="5"/>
      <c r="XU722" s="5"/>
      <c r="XV722" s="5"/>
      <c r="XW722" s="5"/>
      <c r="XX722" s="5"/>
      <c r="XY722" s="5"/>
      <c r="XZ722" s="5"/>
      <c r="YA722" s="5"/>
      <c r="YB722" s="5"/>
      <c r="YC722" s="5"/>
      <c r="YD722" s="5"/>
      <c r="YE722" s="5"/>
      <c r="YF722" s="5"/>
      <c r="YG722" s="5"/>
      <c r="YH722" s="5"/>
      <c r="YI722" s="5"/>
      <c r="YJ722" s="5"/>
      <c r="YK722" s="5"/>
      <c r="YL722" s="5"/>
      <c r="YM722" s="5"/>
      <c r="YN722" s="5"/>
      <c r="YO722" s="5"/>
      <c r="YP722" s="5"/>
      <c r="YQ722" s="5"/>
      <c r="YR722" s="5"/>
      <c r="YS722" s="5"/>
      <c r="YT722" s="5"/>
      <c r="YU722" s="5"/>
      <c r="YV722" s="5"/>
      <c r="YW722" s="5"/>
      <c r="YX722" s="5"/>
      <c r="YY722" s="5"/>
      <c r="YZ722" s="5"/>
      <c r="ZA722" s="5"/>
      <c r="ZB722" s="5"/>
      <c r="ZC722" s="5"/>
      <c r="ZD722" s="5"/>
      <c r="ZE722" s="5"/>
      <c r="ZF722" s="5"/>
      <c r="ZG722" s="5"/>
      <c r="ZH722" s="5"/>
      <c r="ZI722" s="5"/>
      <c r="ZJ722" s="5"/>
      <c r="ZK722" s="5"/>
      <c r="ZL722" s="5"/>
      <c r="ZM722" s="5"/>
      <c r="ZN722" s="5"/>
      <c r="ZO722" s="5"/>
      <c r="ZP722" s="5"/>
      <c r="ZQ722" s="5"/>
      <c r="ZR722" s="5"/>
      <c r="ZS722" s="5"/>
      <c r="ZT722" s="5"/>
      <c r="ZU722" s="5"/>
      <c r="ZV722" s="5"/>
      <c r="ZW722" s="5"/>
      <c r="ZX722" s="5"/>
      <c r="ZY722" s="5"/>
      <c r="ZZ722" s="5"/>
      <c r="AAA722" s="5"/>
      <c r="AAB722" s="5"/>
      <c r="AAC722" s="5"/>
      <c r="AAD722" s="5"/>
      <c r="AAE722" s="5"/>
      <c r="AAF722" s="5"/>
      <c r="AAG722" s="5"/>
      <c r="AAH722" s="5"/>
      <c r="AAI722" s="5"/>
      <c r="AAJ722" s="5"/>
      <c r="AAK722" s="5"/>
      <c r="AAL722" s="5"/>
      <c r="AAM722" s="5"/>
      <c r="AAN722" s="5"/>
      <c r="AAO722" s="5"/>
      <c r="AAP722" s="5"/>
      <c r="AAQ722" s="5"/>
      <c r="AAR722" s="5"/>
      <c r="AAS722" s="5"/>
      <c r="AAT722" s="5"/>
      <c r="AAU722" s="5"/>
      <c r="AAV722" s="5"/>
      <c r="AAW722" s="5"/>
      <c r="AAX722" s="5"/>
      <c r="AAY722" s="5"/>
      <c r="AAZ722" s="5"/>
      <c r="ABA722" s="5"/>
      <c r="ABB722" s="5"/>
      <c r="ABC722" s="5"/>
      <c r="ABD722" s="5"/>
      <c r="ABE722" s="5"/>
      <c r="ABF722" s="5"/>
      <c r="ABG722" s="5"/>
      <c r="ABH722" s="5"/>
      <c r="ABI722" s="5"/>
      <c r="ABJ722" s="5"/>
      <c r="ABK722" s="5"/>
      <c r="ABL722" s="5"/>
      <c r="ABM722" s="5"/>
      <c r="ABN722" s="5"/>
      <c r="ABO722" s="5"/>
      <c r="ABP722" s="5"/>
      <c r="ABQ722" s="5"/>
      <c r="ABR722" s="5"/>
      <c r="ABS722" s="5"/>
      <c r="ABT722" s="5"/>
      <c r="ABU722" s="5"/>
      <c r="ABV722" s="5"/>
      <c r="ABW722" s="5"/>
      <c r="ABX722" s="5"/>
      <c r="ABY722" s="5"/>
      <c r="ABZ722" s="5"/>
      <c r="ACA722" s="5"/>
      <c r="ACB722" s="5"/>
      <c r="ACC722" s="5"/>
      <c r="ACD722" s="5"/>
      <c r="ACE722" s="5"/>
      <c r="ACF722" s="5"/>
      <c r="ACG722" s="5"/>
      <c r="ACH722" s="5"/>
      <c r="ACI722" s="5"/>
      <c r="ACJ722" s="5"/>
      <c r="ACK722" s="5"/>
      <c r="ACL722" s="5"/>
      <c r="ACM722" s="5"/>
      <c r="ACN722" s="5"/>
      <c r="ACO722" s="5"/>
      <c r="ACP722" s="5"/>
      <c r="ACQ722" s="5"/>
      <c r="ACR722" s="5"/>
      <c r="ACS722" s="5"/>
      <c r="ACT722" s="5"/>
      <c r="ACU722" s="5"/>
      <c r="ACV722" s="5"/>
      <c r="ACW722" s="5"/>
      <c r="ACX722" s="5"/>
      <c r="ACY722" s="5"/>
      <c r="ACZ722" s="5"/>
      <c r="ADA722" s="5"/>
      <c r="ADB722" s="5"/>
      <c r="ADC722" s="5"/>
      <c r="ADD722" s="5"/>
      <c r="ADE722" s="5"/>
      <c r="ADF722" s="5"/>
      <c r="ADG722" s="5"/>
      <c r="ADH722" s="5"/>
      <c r="ADI722" s="5"/>
      <c r="ADJ722" s="5"/>
      <c r="ADK722" s="5"/>
      <c r="ADL722" s="5"/>
      <c r="ADM722" s="5"/>
      <c r="ADN722" s="5"/>
      <c r="ADO722" s="5"/>
      <c r="ADP722" s="5"/>
      <c r="ADQ722" s="5"/>
      <c r="ADR722" s="5"/>
      <c r="ADS722" s="5"/>
      <c r="ADT722" s="5"/>
      <c r="ADU722" s="5"/>
      <c r="ADV722" s="5"/>
      <c r="ADW722" s="5"/>
      <c r="ADX722" s="5"/>
      <c r="ADY722" s="5"/>
      <c r="ADZ722" s="5"/>
      <c r="AEA722" s="5"/>
      <c r="AEB722" s="5"/>
      <c r="AEC722" s="5"/>
      <c r="AED722" s="5"/>
      <c r="AEE722" s="5"/>
      <c r="AEF722" s="5"/>
      <c r="AEG722" s="5"/>
      <c r="AEH722" s="5"/>
      <c r="AEI722" s="5"/>
      <c r="AEJ722" s="5"/>
      <c r="AEK722" s="5"/>
      <c r="AEL722" s="5"/>
      <c r="AEM722" s="5"/>
      <c r="AEN722" s="5"/>
      <c r="AEO722" s="5"/>
      <c r="AEP722" s="5"/>
      <c r="AEQ722" s="5"/>
      <c r="AER722" s="5"/>
      <c r="AES722" s="5"/>
      <c r="AET722" s="5"/>
      <c r="AEU722" s="5"/>
      <c r="AEV722" s="5"/>
      <c r="AEW722" s="5"/>
      <c r="AEX722" s="5"/>
      <c r="AEY722" s="5"/>
      <c r="AEZ722" s="5"/>
      <c r="AFA722" s="5"/>
      <c r="AFB722" s="5"/>
      <c r="AFC722" s="5"/>
      <c r="AFD722" s="5"/>
      <c r="AFE722" s="5"/>
      <c r="AFF722" s="5"/>
      <c r="AFG722" s="5"/>
      <c r="AFH722" s="5"/>
      <c r="AFI722" s="5"/>
      <c r="AFJ722" s="5"/>
      <c r="AFK722" s="5"/>
      <c r="AFL722" s="5"/>
      <c r="AFM722" s="5"/>
      <c r="AFN722" s="5"/>
      <c r="AFO722" s="5"/>
      <c r="AFP722" s="5"/>
      <c r="AFQ722" s="5"/>
      <c r="AFR722" s="5"/>
      <c r="AFS722" s="5"/>
      <c r="AFT722" s="5"/>
      <c r="AFU722" s="5"/>
      <c r="AFV722" s="5"/>
      <c r="AFW722" s="5"/>
      <c r="AFX722" s="5"/>
      <c r="AFY722" s="5"/>
      <c r="AFZ722" s="5"/>
      <c r="AGA722" s="5"/>
      <c r="AGB722" s="5"/>
      <c r="AGC722" s="5"/>
      <c r="AGD722" s="5"/>
      <c r="AGE722" s="5"/>
      <c r="AGF722" s="5"/>
      <c r="AGG722" s="5"/>
      <c r="AGH722" s="5"/>
      <c r="AGI722" s="5"/>
      <c r="AGJ722" s="5"/>
      <c r="AGK722" s="5"/>
      <c r="AGL722" s="5"/>
      <c r="AGM722" s="5"/>
      <c r="AGN722" s="5"/>
      <c r="AGO722" s="5"/>
      <c r="AGP722" s="5"/>
      <c r="AGQ722" s="5"/>
      <c r="AGR722" s="5"/>
      <c r="AGS722" s="5"/>
      <c r="AGT722" s="5"/>
      <c r="AGU722" s="5"/>
      <c r="AGV722" s="5"/>
      <c r="AGW722" s="5"/>
      <c r="AGX722" s="5"/>
      <c r="AGY722" s="5"/>
      <c r="AGZ722" s="5"/>
      <c r="AHA722" s="5"/>
      <c r="AHB722" s="5"/>
      <c r="AHC722" s="5"/>
      <c r="AHD722" s="5"/>
      <c r="AHE722" s="5"/>
      <c r="AHF722" s="5"/>
      <c r="AHG722" s="5"/>
      <c r="AHH722" s="5"/>
      <c r="AHI722" s="5"/>
      <c r="AHJ722" s="5"/>
      <c r="AHK722" s="5"/>
      <c r="AHL722" s="5"/>
      <c r="AHM722" s="5"/>
      <c r="AHN722" s="5"/>
      <c r="AHO722" s="5"/>
      <c r="AHP722" s="5"/>
      <c r="AHQ722" s="5"/>
      <c r="AHR722" s="5"/>
      <c r="AHS722" s="5"/>
      <c r="AHT722" s="5"/>
      <c r="AHU722" s="5"/>
      <c r="AHV722" s="5"/>
      <c r="AHW722" s="5"/>
      <c r="AHX722" s="5"/>
      <c r="AHY722" s="5"/>
      <c r="AHZ722" s="5"/>
      <c r="AIA722" s="5"/>
      <c r="AIB722" s="5"/>
      <c r="AIC722" s="5"/>
      <c r="AID722" s="5"/>
      <c r="AIE722" s="5"/>
      <c r="AIF722" s="5"/>
      <c r="AIG722" s="5"/>
      <c r="AIH722" s="5"/>
      <c r="AII722" s="5"/>
      <c r="AIJ722" s="5"/>
      <c r="AIK722" s="5"/>
      <c r="AIL722" s="5"/>
      <c r="AIM722" s="5"/>
      <c r="AIN722" s="5"/>
      <c r="AIO722" s="5"/>
      <c r="AIP722" s="5"/>
      <c r="AIQ722" s="5"/>
      <c r="AIR722" s="5"/>
      <c r="AIS722" s="5"/>
      <c r="AIT722" s="5"/>
      <c r="AIU722" s="5"/>
      <c r="AIV722" s="5"/>
      <c r="AIW722" s="5"/>
      <c r="AIX722" s="5"/>
      <c r="AIY722" s="5"/>
      <c r="AIZ722" s="5"/>
      <c r="AJA722" s="5"/>
      <c r="AJB722" s="5"/>
      <c r="AJC722" s="5"/>
      <c r="AJD722" s="5"/>
      <c r="AJE722" s="5"/>
      <c r="AJF722" s="5"/>
      <c r="AJG722" s="5"/>
      <c r="AJH722" s="5"/>
      <c r="AJI722" s="5"/>
      <c r="AJJ722" s="5"/>
      <c r="AJK722" s="5"/>
      <c r="AJL722" s="5"/>
      <c r="AJM722" s="5"/>
      <c r="AJN722" s="5"/>
      <c r="AJO722" s="5"/>
      <c r="AJP722" s="5"/>
      <c r="AJQ722" s="5"/>
      <c r="AJR722" s="5"/>
      <c r="AJS722" s="5"/>
      <c r="AJT722" s="5"/>
      <c r="AJU722" s="5"/>
      <c r="AJV722" s="5"/>
      <c r="AJW722" s="5"/>
      <c r="AJX722" s="5"/>
      <c r="AJY722" s="5"/>
      <c r="AJZ722" s="5"/>
      <c r="AKA722" s="5"/>
      <c r="AKB722" s="5"/>
      <c r="AKC722" s="5"/>
      <c r="AKD722" s="5"/>
      <c r="AKE722" s="5"/>
      <c r="AKF722" s="5"/>
      <c r="AKG722" s="5"/>
      <c r="AKH722" s="5"/>
      <c r="AKI722" s="5"/>
      <c r="AKJ722" s="5"/>
      <c r="AKK722" s="5"/>
      <c r="AKL722" s="5"/>
      <c r="AKM722" s="5"/>
      <c r="AKN722" s="5"/>
      <c r="AKO722" s="5"/>
      <c r="AKP722" s="5"/>
      <c r="AKQ722" s="5"/>
      <c r="AKR722" s="5"/>
      <c r="AKS722" s="5"/>
      <c r="AKT722" s="5"/>
      <c r="AKU722" s="5"/>
      <c r="AKV722" s="5"/>
      <c r="AKW722" s="5"/>
      <c r="AKX722" s="5"/>
      <c r="AKY722" s="5"/>
      <c r="AKZ722" s="5"/>
      <c r="ALA722" s="5"/>
      <c r="ALB722" s="5"/>
      <c r="ALC722" s="5"/>
      <c r="ALD722" s="5"/>
      <c r="ALE722" s="5"/>
      <c r="ALF722" s="5"/>
      <c r="ALG722" s="5"/>
      <c r="ALH722" s="5"/>
      <c r="ALI722" s="5"/>
      <c r="ALJ722" s="5"/>
      <c r="ALK722" s="5"/>
      <c r="ALL722" s="5"/>
      <c r="ALM722" s="5"/>
      <c r="ALN722" s="5"/>
      <c r="ALO722" s="5"/>
      <c r="ALP722" s="5"/>
      <c r="ALQ722" s="5"/>
      <c r="ALR722" s="5"/>
      <c r="ALS722" s="5"/>
      <c r="ALT722" s="5"/>
      <c r="ALU722" s="5"/>
      <c r="ALV722" s="5"/>
      <c r="ALW722" s="5"/>
      <c r="ALX722" s="5"/>
      <c r="ALY722" s="5"/>
      <c r="ALZ722" s="5"/>
      <c r="AMA722" s="5"/>
      <c r="AMB722" s="5"/>
      <c r="AMC722" s="5"/>
      <c r="AMD722" s="5"/>
      <c r="AME722" s="5"/>
      <c r="AMF722" s="5"/>
      <c r="AMG722" s="5"/>
      <c r="AMH722" s="5"/>
      <c r="AMI722" s="5"/>
      <c r="AMJ722" s="5"/>
      <c r="AMK722" s="5"/>
      <c r="AML722" s="5"/>
      <c r="AMM722" s="5"/>
      <c r="AMN722" s="5"/>
      <c r="AMO722" s="5"/>
      <c r="AMP722" s="5"/>
      <c r="AMQ722" s="5"/>
      <c r="AMR722" s="5"/>
      <c r="AMS722" s="5"/>
      <c r="AMT722" s="5"/>
      <c r="AMU722" s="5"/>
      <c r="AMV722" s="5"/>
      <c r="AMW722" s="5"/>
      <c r="AMX722" s="5"/>
      <c r="AMY722" s="5"/>
      <c r="AMZ722" s="5"/>
      <c r="ANA722" s="5"/>
      <c r="ANB722" s="5"/>
      <c r="ANC722" s="5"/>
      <c r="AND722" s="5"/>
      <c r="ANE722" s="5"/>
      <c r="ANF722" s="5"/>
      <c r="ANG722" s="5"/>
      <c r="ANH722" s="5"/>
      <c r="ANI722" s="5"/>
      <c r="ANJ722" s="5"/>
      <c r="ANK722" s="5"/>
      <c r="ANL722" s="5"/>
      <c r="ANM722" s="5"/>
      <c r="ANN722" s="5"/>
      <c r="ANO722" s="5"/>
      <c r="ANP722" s="5"/>
      <c r="ANQ722" s="5"/>
      <c r="ANR722" s="5"/>
      <c r="ANS722" s="5"/>
      <c r="ANT722" s="5"/>
      <c r="ANU722" s="5"/>
      <c r="ANV722" s="5"/>
      <c r="ANW722" s="5"/>
      <c r="ANX722" s="5"/>
      <c r="ANY722" s="5"/>
      <c r="ANZ722" s="5"/>
      <c r="AOA722" s="5"/>
      <c r="AOB722" s="5"/>
      <c r="AOC722" s="5"/>
      <c r="AOD722" s="5"/>
      <c r="AOE722" s="5"/>
      <c r="AOF722" s="5"/>
      <c r="AOG722" s="5"/>
      <c r="AOH722" s="5"/>
      <c r="AOI722" s="5"/>
      <c r="AOJ722" s="5"/>
      <c r="AOK722" s="5"/>
      <c r="AOL722" s="5"/>
      <c r="AOM722" s="5"/>
      <c r="AON722" s="5"/>
      <c r="AOO722" s="5"/>
      <c r="AOP722" s="5"/>
      <c r="AOQ722" s="5"/>
      <c r="AOR722" s="5"/>
      <c r="AOS722" s="5"/>
      <c r="AOT722" s="5"/>
      <c r="AOU722" s="5"/>
      <c r="AOV722" s="5"/>
      <c r="AOW722" s="5"/>
      <c r="AOX722" s="5"/>
      <c r="AOY722" s="5"/>
      <c r="AOZ722" s="5"/>
      <c r="APA722" s="5"/>
      <c r="APB722" s="5"/>
      <c r="APC722" s="5"/>
      <c r="APD722" s="5"/>
      <c r="APE722" s="5"/>
      <c r="APF722" s="5"/>
      <c r="APG722" s="5"/>
      <c r="APH722" s="5"/>
      <c r="API722" s="5"/>
      <c r="APJ722" s="5"/>
      <c r="APK722" s="5"/>
      <c r="APL722" s="5"/>
      <c r="APM722" s="5"/>
      <c r="APN722" s="5"/>
      <c r="APO722" s="5"/>
      <c r="APP722" s="5"/>
      <c r="APQ722" s="5"/>
      <c r="APR722" s="5"/>
      <c r="APS722" s="5"/>
      <c r="APT722" s="5"/>
      <c r="APU722" s="5"/>
      <c r="APV722" s="5"/>
      <c r="APW722" s="5"/>
      <c r="APX722" s="5"/>
      <c r="APY722" s="5"/>
      <c r="APZ722" s="5"/>
      <c r="AQA722" s="5"/>
      <c r="AQB722" s="5"/>
      <c r="AQC722" s="5"/>
      <c r="AQD722" s="5"/>
      <c r="AQE722" s="5"/>
      <c r="AQF722" s="5"/>
      <c r="AQG722" s="5"/>
      <c r="AQH722" s="5"/>
      <c r="AQI722" s="5"/>
      <c r="AQJ722" s="5"/>
      <c r="AQK722" s="5"/>
      <c r="AQL722" s="5"/>
      <c r="AQM722" s="5"/>
      <c r="AQN722" s="5"/>
      <c r="AQO722" s="5"/>
      <c r="AQP722" s="5"/>
      <c r="AQQ722" s="5"/>
      <c r="AQR722" s="5"/>
      <c r="AQS722" s="5"/>
      <c r="AQT722" s="5"/>
      <c r="AQU722" s="5"/>
      <c r="AQV722" s="5"/>
      <c r="AQW722" s="5"/>
      <c r="AQX722" s="5"/>
      <c r="AQY722" s="5"/>
      <c r="AQZ722" s="5"/>
      <c r="ARA722" s="5"/>
      <c r="ARB722" s="5"/>
      <c r="ARC722" s="5"/>
      <c r="ARD722" s="5"/>
      <c r="ARE722" s="5"/>
      <c r="ARF722" s="5"/>
      <c r="ARG722" s="5"/>
      <c r="ARH722" s="5"/>
      <c r="ARI722" s="5"/>
      <c r="ARJ722" s="5"/>
      <c r="ARK722" s="5"/>
      <c r="ARL722" s="5"/>
      <c r="ARM722" s="5"/>
      <c r="ARN722" s="5"/>
      <c r="ARO722" s="5"/>
      <c r="ARP722" s="5"/>
      <c r="ARQ722" s="5"/>
      <c r="ARR722" s="5"/>
      <c r="ARS722" s="5"/>
      <c r="ART722" s="5"/>
      <c r="ARU722" s="5"/>
      <c r="ARV722" s="5"/>
      <c r="ARW722" s="5"/>
      <c r="ARX722" s="5"/>
      <c r="ARY722" s="5"/>
      <c r="ARZ722" s="5"/>
      <c r="ASA722" s="5"/>
      <c r="ASB722" s="5"/>
      <c r="ASC722" s="5"/>
      <c r="ASD722" s="5"/>
      <c r="ASE722" s="5"/>
      <c r="ASF722" s="5"/>
      <c r="ASG722" s="5"/>
      <c r="ASH722" s="5"/>
      <c r="ASI722" s="5"/>
      <c r="ASJ722" s="5"/>
      <c r="ASK722" s="5"/>
      <c r="ASL722" s="5"/>
      <c r="ASM722" s="5"/>
      <c r="ASN722" s="5"/>
      <c r="ASO722" s="5"/>
      <c r="ASP722" s="5"/>
      <c r="ASQ722" s="5"/>
      <c r="ASR722" s="5"/>
      <c r="ASS722" s="5"/>
      <c r="AST722" s="5"/>
      <c r="ASU722" s="5"/>
      <c r="ASV722" s="5"/>
      <c r="ASW722" s="5"/>
      <c r="ASX722" s="5"/>
      <c r="ASY722" s="5"/>
      <c r="ASZ722" s="5"/>
      <c r="ATA722" s="5"/>
      <c r="ATB722" s="5"/>
      <c r="ATC722" s="5"/>
      <c r="ATD722" s="5"/>
      <c r="ATE722" s="5"/>
      <c r="ATF722" s="5"/>
      <c r="ATG722" s="5"/>
      <c r="ATH722" s="5"/>
      <c r="ATI722" s="5"/>
      <c r="ATJ722" s="5"/>
      <c r="ATK722" s="5"/>
      <c r="ATL722" s="5"/>
      <c r="ATM722" s="5"/>
      <c r="ATN722" s="5"/>
      <c r="ATO722" s="5"/>
      <c r="ATP722" s="5"/>
      <c r="ATQ722" s="5"/>
      <c r="ATR722" s="5"/>
      <c r="ATS722" s="5"/>
      <c r="ATT722" s="5"/>
      <c r="ATU722" s="5"/>
      <c r="ATV722" s="5"/>
      <c r="ATW722" s="5"/>
      <c r="ATX722" s="5"/>
    </row>
    <row r="723" spans="1:1220" s="67" customFormat="1" ht="12.75" customHeight="1" x14ac:dyDescent="0.35">
      <c r="A723" s="76" t="s">
        <v>229</v>
      </c>
      <c r="B723" s="99" t="s">
        <v>295</v>
      </c>
      <c r="C723" s="76" t="s">
        <v>2623</v>
      </c>
      <c r="D723" s="142" t="s">
        <v>2623</v>
      </c>
      <c r="E723" s="76"/>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c r="DS723" s="5"/>
      <c r="DT723" s="5"/>
      <c r="DU723" s="5"/>
      <c r="DV723" s="5"/>
      <c r="DW723" s="5"/>
      <c r="DX723" s="5"/>
      <c r="DY723" s="5"/>
      <c r="DZ723" s="5"/>
      <c r="EA723" s="5"/>
      <c r="EB723" s="5"/>
      <c r="EC723" s="5"/>
      <c r="ED723" s="5"/>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s="5"/>
      <c r="FG723" s="5"/>
      <c r="FH723" s="5"/>
      <c r="FI723" s="5"/>
      <c r="FJ723" s="5"/>
      <c r="FK723" s="5"/>
      <c r="FL723" s="5"/>
      <c r="FM723" s="5"/>
      <c r="FN723" s="5"/>
      <c r="FO723" s="5"/>
      <c r="FP723" s="5"/>
      <c r="FQ723" s="5"/>
      <c r="FR723" s="5"/>
      <c r="FS723" s="5"/>
      <c r="FT723" s="5"/>
      <c r="FU723" s="5"/>
      <c r="FV723" s="5"/>
      <c r="FW723" s="5"/>
      <c r="FX723" s="5"/>
      <c r="FY723" s="5"/>
      <c r="FZ723" s="5"/>
      <c r="GA723" s="5"/>
      <c r="GB723" s="5"/>
      <c r="GC723" s="5"/>
      <c r="GD723" s="5"/>
      <c r="GE723" s="5"/>
      <c r="GF723" s="5"/>
      <c r="GG723" s="5"/>
      <c r="GH723" s="5"/>
      <c r="GI723" s="5"/>
      <c r="GJ723" s="5"/>
      <c r="GK723" s="5"/>
      <c r="GL723" s="5"/>
      <c r="GM723" s="5"/>
      <c r="GN723" s="5"/>
      <c r="GO723" s="5"/>
      <c r="GP723" s="5"/>
      <c r="GQ723" s="5"/>
      <c r="GR723" s="5"/>
      <c r="GS723" s="5"/>
      <c r="GT723" s="5"/>
      <c r="GU723" s="5"/>
      <c r="GV723" s="5"/>
      <c r="GW723" s="5"/>
      <c r="GX723" s="5"/>
      <c r="GY723" s="5"/>
      <c r="GZ723" s="5"/>
      <c r="HA723" s="5"/>
      <c r="HB723" s="5"/>
      <c r="HC723" s="5"/>
      <c r="HD723" s="5"/>
      <c r="HE723" s="5"/>
      <c r="HF723" s="5"/>
      <c r="HG723" s="5"/>
      <c r="HH723" s="5"/>
      <c r="HI723" s="5"/>
      <c r="HJ723" s="5"/>
      <c r="HK723" s="5"/>
      <c r="HL723" s="5"/>
      <c r="HM723" s="5"/>
      <c r="HN723" s="5"/>
      <c r="HO723" s="5"/>
      <c r="HP723" s="5"/>
      <c r="HQ723" s="5"/>
      <c r="HR723" s="5"/>
      <c r="HS723" s="5"/>
      <c r="HT723" s="5"/>
      <c r="HU723" s="5"/>
      <c r="HV723" s="5"/>
      <c r="HW723" s="5"/>
      <c r="HX723" s="5"/>
      <c r="HY723" s="5"/>
      <c r="HZ723" s="5"/>
      <c r="IA723" s="5"/>
      <c r="IB723" s="5"/>
      <c r="IC723" s="5"/>
      <c r="ID723" s="5"/>
      <c r="IE723" s="5"/>
      <c r="IF723" s="5"/>
      <c r="IG723" s="5"/>
      <c r="IH723" s="5"/>
      <c r="II723" s="5"/>
      <c r="IJ723" s="5"/>
      <c r="IK723" s="5"/>
      <c r="IL723" s="5"/>
      <c r="IM723" s="5"/>
      <c r="IN723" s="5"/>
      <c r="IO723" s="5"/>
      <c r="IP723" s="5"/>
      <c r="IQ723" s="5"/>
      <c r="IR723" s="5"/>
      <c r="IS723" s="5"/>
      <c r="IT723" s="5"/>
      <c r="IU723" s="5"/>
      <c r="IV723" s="5"/>
      <c r="IW723" s="5"/>
      <c r="IX723" s="5"/>
      <c r="IY723" s="5"/>
      <c r="IZ723" s="5"/>
      <c r="JA723" s="5"/>
      <c r="JB723" s="5"/>
      <c r="JC723" s="5"/>
      <c r="JD723" s="5"/>
      <c r="JE723" s="5"/>
      <c r="JF723" s="5"/>
      <c r="JG723" s="5"/>
      <c r="JH723" s="5"/>
      <c r="JI723" s="5"/>
      <c r="JJ723" s="5"/>
      <c r="JK723" s="5"/>
      <c r="JL723" s="5"/>
      <c r="JM723" s="5"/>
      <c r="JN723" s="5"/>
      <c r="JO723" s="5"/>
      <c r="JP723" s="5"/>
      <c r="JQ723" s="5"/>
      <c r="JR723" s="5"/>
      <c r="JS723" s="5"/>
      <c r="JT723" s="5"/>
      <c r="JU723" s="5"/>
      <c r="JV723" s="5"/>
      <c r="JW723" s="5"/>
      <c r="JX723" s="5"/>
      <c r="JY723" s="5"/>
      <c r="JZ723" s="5"/>
      <c r="KA723" s="5"/>
      <c r="KB723" s="5"/>
      <c r="KC723" s="5"/>
      <c r="KD723" s="5"/>
      <c r="KE723" s="5"/>
      <c r="KF723" s="5"/>
      <c r="KG723" s="5"/>
      <c r="KH723" s="5"/>
      <c r="KI723" s="5"/>
      <c r="KJ723" s="5"/>
      <c r="KK723" s="5"/>
      <c r="KL723" s="5"/>
      <c r="KM723" s="5"/>
      <c r="KN723" s="5"/>
      <c r="KO723" s="5"/>
      <c r="KP723" s="5"/>
      <c r="KQ723" s="5"/>
      <c r="KR723" s="5"/>
      <c r="KS723" s="5"/>
      <c r="KT723" s="5"/>
      <c r="KU723" s="5"/>
      <c r="KV723" s="5"/>
      <c r="KW723" s="5"/>
      <c r="KX723" s="5"/>
      <c r="KY723" s="5"/>
      <c r="KZ723" s="5"/>
      <c r="LA723" s="5"/>
      <c r="LB723" s="5"/>
      <c r="LC723" s="5"/>
      <c r="LD723" s="5"/>
      <c r="LE723" s="5"/>
      <c r="LF723" s="5"/>
      <c r="LG723" s="5"/>
      <c r="LH723" s="5"/>
      <c r="LI723" s="5"/>
      <c r="LJ723" s="5"/>
      <c r="LK723" s="5"/>
      <c r="LL723" s="5"/>
      <c r="LM723" s="5"/>
      <c r="LN723" s="5"/>
      <c r="LO723" s="5"/>
      <c r="LP723" s="5"/>
      <c r="LQ723" s="5"/>
      <c r="LR723" s="5"/>
      <c r="LS723" s="5"/>
      <c r="LT723" s="5"/>
      <c r="LU723" s="5"/>
      <c r="LV723" s="5"/>
      <c r="LW723" s="5"/>
      <c r="LX723" s="5"/>
      <c r="LY723" s="5"/>
      <c r="LZ723" s="5"/>
      <c r="MA723" s="5"/>
      <c r="MB723" s="5"/>
      <c r="MC723" s="5"/>
      <c r="MD723" s="5"/>
      <c r="ME723" s="5"/>
      <c r="MF723" s="5"/>
      <c r="MG723" s="5"/>
      <c r="MH723" s="5"/>
      <c r="MI723" s="5"/>
      <c r="MJ723" s="5"/>
      <c r="MK723" s="5"/>
      <c r="ML723" s="5"/>
      <c r="MM723" s="5"/>
      <c r="MN723" s="5"/>
      <c r="MO723" s="5"/>
      <c r="MP723" s="5"/>
      <c r="MQ723" s="5"/>
      <c r="MR723" s="5"/>
      <c r="MS723" s="5"/>
      <c r="MT723" s="5"/>
      <c r="MU723" s="5"/>
      <c r="MV723" s="5"/>
      <c r="MW723" s="5"/>
      <c r="MX723" s="5"/>
      <c r="MY723" s="5"/>
      <c r="MZ723" s="5"/>
      <c r="NA723" s="5"/>
      <c r="NB723" s="5"/>
      <c r="NC723" s="5"/>
      <c r="ND723" s="5"/>
      <c r="NE723" s="5"/>
      <c r="NF723" s="5"/>
      <c r="NG723" s="5"/>
      <c r="NH723" s="5"/>
      <c r="NI723" s="5"/>
      <c r="NJ723" s="5"/>
      <c r="NK723" s="5"/>
      <c r="NL723" s="5"/>
      <c r="NM723" s="5"/>
      <c r="NN723" s="5"/>
      <c r="NO723" s="5"/>
      <c r="NP723" s="5"/>
      <c r="NQ723" s="5"/>
      <c r="NR723" s="5"/>
      <c r="NS723" s="5"/>
      <c r="NT723" s="5"/>
      <c r="NU723" s="5"/>
      <c r="NV723" s="5"/>
      <c r="NW723" s="5"/>
      <c r="NX723" s="5"/>
      <c r="NY723" s="5"/>
      <c r="NZ723" s="5"/>
      <c r="OA723" s="5"/>
      <c r="OB723" s="5"/>
      <c r="OC723" s="5"/>
      <c r="OD723" s="5"/>
      <c r="OE723" s="5"/>
      <c r="OF723" s="5"/>
      <c r="OG723" s="5"/>
      <c r="OH723" s="5"/>
      <c r="OI723" s="5"/>
      <c r="OJ723" s="5"/>
      <c r="OK723" s="5"/>
      <c r="OL723" s="5"/>
      <c r="OM723" s="5"/>
      <c r="ON723" s="5"/>
      <c r="OO723" s="5"/>
      <c r="OP723" s="5"/>
      <c r="OQ723" s="5"/>
      <c r="OR723" s="5"/>
      <c r="OS723" s="5"/>
      <c r="OT723" s="5"/>
      <c r="OU723" s="5"/>
      <c r="OV723" s="5"/>
      <c r="OW723" s="5"/>
      <c r="OX723" s="5"/>
      <c r="OY723" s="5"/>
      <c r="OZ723" s="5"/>
      <c r="PA723" s="5"/>
      <c r="PB723" s="5"/>
      <c r="PC723" s="5"/>
      <c r="PD723" s="5"/>
      <c r="PE723" s="5"/>
      <c r="PF723" s="5"/>
      <c r="PG723" s="5"/>
      <c r="PH723" s="5"/>
      <c r="PI723" s="5"/>
      <c r="PJ723" s="5"/>
      <c r="PK723" s="5"/>
      <c r="PL723" s="5"/>
      <c r="PM723" s="5"/>
      <c r="PN723" s="5"/>
      <c r="PO723" s="5"/>
      <c r="PP723" s="5"/>
      <c r="PQ723" s="5"/>
      <c r="PR723" s="5"/>
      <c r="PS723" s="5"/>
      <c r="PT723" s="5"/>
      <c r="PU723" s="5"/>
      <c r="PV723" s="5"/>
      <c r="PW723" s="5"/>
      <c r="PX723" s="5"/>
      <c r="PY723" s="5"/>
      <c r="PZ723" s="5"/>
      <c r="QA723" s="5"/>
      <c r="QB723" s="5"/>
      <c r="QC723" s="5"/>
      <c r="QD723" s="5"/>
      <c r="QE723" s="5"/>
      <c r="QF723" s="5"/>
      <c r="QG723" s="5"/>
      <c r="QH723" s="5"/>
      <c r="QI723" s="5"/>
      <c r="QJ723" s="5"/>
      <c r="QK723" s="5"/>
      <c r="QL723" s="5"/>
      <c r="QM723" s="5"/>
      <c r="QN723" s="5"/>
      <c r="QO723" s="5"/>
      <c r="QP723" s="5"/>
      <c r="QQ723" s="5"/>
      <c r="QR723" s="5"/>
      <c r="QS723" s="5"/>
      <c r="QT723" s="5"/>
      <c r="QU723" s="5"/>
      <c r="QV723" s="5"/>
      <c r="QW723" s="5"/>
      <c r="QX723" s="5"/>
      <c r="QY723" s="5"/>
      <c r="QZ723" s="5"/>
      <c r="RA723" s="5"/>
      <c r="RB723" s="5"/>
      <c r="RC723" s="5"/>
      <c r="RD723" s="5"/>
      <c r="RE723" s="5"/>
      <c r="RF723" s="5"/>
      <c r="RG723" s="5"/>
      <c r="RH723" s="5"/>
      <c r="RI723" s="5"/>
      <c r="RJ723" s="5"/>
      <c r="RK723" s="5"/>
      <c r="RL723" s="5"/>
      <c r="RM723" s="5"/>
      <c r="RN723" s="5"/>
      <c r="RO723" s="5"/>
      <c r="RP723" s="5"/>
      <c r="RQ723" s="5"/>
      <c r="RR723" s="5"/>
      <c r="RS723" s="5"/>
      <c r="RT723" s="5"/>
      <c r="RU723" s="5"/>
      <c r="RV723" s="5"/>
      <c r="RW723" s="5"/>
      <c r="RX723" s="5"/>
      <c r="RY723" s="5"/>
      <c r="RZ723" s="5"/>
      <c r="SA723" s="5"/>
      <c r="SB723" s="5"/>
      <c r="SC723" s="5"/>
      <c r="SD723" s="5"/>
      <c r="SE723" s="5"/>
      <c r="SF723" s="5"/>
      <c r="SG723" s="5"/>
      <c r="SH723" s="5"/>
      <c r="SI723" s="5"/>
      <c r="SJ723" s="5"/>
      <c r="SK723" s="5"/>
      <c r="SL723" s="5"/>
      <c r="SM723" s="5"/>
      <c r="SN723" s="5"/>
      <c r="SO723" s="5"/>
      <c r="SP723" s="5"/>
      <c r="SQ723" s="5"/>
      <c r="SR723" s="5"/>
      <c r="SS723" s="5"/>
      <c r="ST723" s="5"/>
      <c r="SU723" s="5"/>
      <c r="SV723" s="5"/>
      <c r="SW723" s="5"/>
      <c r="SX723" s="5"/>
      <c r="SY723" s="5"/>
      <c r="SZ723" s="5"/>
      <c r="TA723" s="5"/>
      <c r="TB723" s="5"/>
      <c r="TC723" s="5"/>
      <c r="TD723" s="5"/>
      <c r="TE723" s="5"/>
      <c r="TF723" s="5"/>
      <c r="TG723" s="5"/>
      <c r="TH723" s="5"/>
      <c r="TI723" s="5"/>
      <c r="TJ723" s="5"/>
      <c r="TK723" s="5"/>
      <c r="TL723" s="5"/>
      <c r="TM723" s="5"/>
      <c r="TN723" s="5"/>
      <c r="TO723" s="5"/>
      <c r="TP723" s="5"/>
      <c r="TQ723" s="5"/>
      <c r="TR723" s="5"/>
      <c r="TS723" s="5"/>
      <c r="TT723" s="5"/>
      <c r="TU723" s="5"/>
      <c r="TV723" s="5"/>
      <c r="TW723" s="5"/>
      <c r="TX723" s="5"/>
      <c r="TY723" s="5"/>
      <c r="TZ723" s="5"/>
      <c r="UA723" s="5"/>
      <c r="UB723" s="5"/>
      <c r="UC723" s="5"/>
      <c r="UD723" s="5"/>
      <c r="UE723" s="5"/>
      <c r="UF723" s="5"/>
      <c r="UG723" s="5"/>
      <c r="UH723" s="5"/>
      <c r="UI723" s="5"/>
      <c r="UJ723" s="5"/>
      <c r="UK723" s="5"/>
      <c r="UL723" s="5"/>
      <c r="UM723" s="5"/>
      <c r="UN723" s="5"/>
      <c r="UO723" s="5"/>
      <c r="UP723" s="5"/>
      <c r="UQ723" s="5"/>
      <c r="UR723" s="5"/>
      <c r="US723" s="5"/>
      <c r="UT723" s="5"/>
      <c r="UU723" s="5"/>
      <c r="UV723" s="5"/>
      <c r="UW723" s="5"/>
      <c r="UX723" s="5"/>
      <c r="UY723" s="5"/>
      <c r="UZ723" s="5"/>
      <c r="VA723" s="5"/>
      <c r="VB723" s="5"/>
      <c r="VC723" s="5"/>
      <c r="VD723" s="5"/>
      <c r="VE723" s="5"/>
      <c r="VF723" s="5"/>
      <c r="VG723" s="5"/>
      <c r="VH723" s="5"/>
      <c r="VI723" s="5"/>
      <c r="VJ723" s="5"/>
      <c r="VK723" s="5"/>
      <c r="VL723" s="5"/>
      <c r="VM723" s="5"/>
      <c r="VN723" s="5"/>
      <c r="VO723" s="5"/>
      <c r="VP723" s="5"/>
      <c r="VQ723" s="5"/>
      <c r="VR723" s="5"/>
      <c r="VS723" s="5"/>
      <c r="VT723" s="5"/>
      <c r="VU723" s="5"/>
      <c r="VV723" s="5"/>
      <c r="VW723" s="5"/>
      <c r="VX723" s="5"/>
      <c r="VY723" s="5"/>
      <c r="VZ723" s="5"/>
      <c r="WA723" s="5"/>
      <c r="WB723" s="5"/>
      <c r="WC723" s="5"/>
      <c r="WD723" s="5"/>
      <c r="WE723" s="5"/>
      <c r="WF723" s="5"/>
      <c r="WG723" s="5"/>
      <c r="WH723" s="5"/>
      <c r="WI723" s="5"/>
      <c r="WJ723" s="5"/>
      <c r="WK723" s="5"/>
      <c r="WL723" s="5"/>
      <c r="WM723" s="5"/>
      <c r="WN723" s="5"/>
      <c r="WO723" s="5"/>
      <c r="WP723" s="5"/>
      <c r="WQ723" s="5"/>
      <c r="WR723" s="5"/>
      <c r="WS723" s="5"/>
      <c r="WT723" s="5"/>
      <c r="WU723" s="5"/>
      <c r="WV723" s="5"/>
      <c r="WW723" s="5"/>
      <c r="WX723" s="5"/>
      <c r="WY723" s="5"/>
      <c r="WZ723" s="5"/>
      <c r="XA723" s="5"/>
      <c r="XB723" s="5"/>
      <c r="XC723" s="5"/>
      <c r="XD723" s="5"/>
      <c r="XE723" s="5"/>
      <c r="XF723" s="5"/>
      <c r="XG723" s="5"/>
      <c r="XH723" s="5"/>
      <c r="XI723" s="5"/>
      <c r="XJ723" s="5"/>
      <c r="XK723" s="5"/>
      <c r="XL723" s="5"/>
      <c r="XM723" s="5"/>
      <c r="XN723" s="5"/>
      <c r="XO723" s="5"/>
      <c r="XP723" s="5"/>
      <c r="XQ723" s="5"/>
      <c r="XR723" s="5"/>
      <c r="XS723" s="5"/>
      <c r="XT723" s="5"/>
      <c r="XU723" s="5"/>
      <c r="XV723" s="5"/>
      <c r="XW723" s="5"/>
      <c r="XX723" s="5"/>
      <c r="XY723" s="5"/>
      <c r="XZ723" s="5"/>
      <c r="YA723" s="5"/>
      <c r="YB723" s="5"/>
      <c r="YC723" s="5"/>
      <c r="YD723" s="5"/>
      <c r="YE723" s="5"/>
      <c r="YF723" s="5"/>
      <c r="YG723" s="5"/>
      <c r="YH723" s="5"/>
      <c r="YI723" s="5"/>
      <c r="YJ723" s="5"/>
      <c r="YK723" s="5"/>
      <c r="YL723" s="5"/>
      <c r="YM723" s="5"/>
      <c r="YN723" s="5"/>
      <c r="YO723" s="5"/>
      <c r="YP723" s="5"/>
      <c r="YQ723" s="5"/>
      <c r="YR723" s="5"/>
      <c r="YS723" s="5"/>
      <c r="YT723" s="5"/>
      <c r="YU723" s="5"/>
      <c r="YV723" s="5"/>
      <c r="YW723" s="5"/>
      <c r="YX723" s="5"/>
      <c r="YY723" s="5"/>
      <c r="YZ723" s="5"/>
      <c r="ZA723" s="5"/>
      <c r="ZB723" s="5"/>
      <c r="ZC723" s="5"/>
      <c r="ZD723" s="5"/>
      <c r="ZE723" s="5"/>
      <c r="ZF723" s="5"/>
      <c r="ZG723" s="5"/>
      <c r="ZH723" s="5"/>
      <c r="ZI723" s="5"/>
      <c r="ZJ723" s="5"/>
      <c r="ZK723" s="5"/>
      <c r="ZL723" s="5"/>
      <c r="ZM723" s="5"/>
      <c r="ZN723" s="5"/>
      <c r="ZO723" s="5"/>
      <c r="ZP723" s="5"/>
      <c r="ZQ723" s="5"/>
      <c r="ZR723" s="5"/>
      <c r="ZS723" s="5"/>
      <c r="ZT723" s="5"/>
      <c r="ZU723" s="5"/>
      <c r="ZV723" s="5"/>
      <c r="ZW723" s="5"/>
      <c r="ZX723" s="5"/>
      <c r="ZY723" s="5"/>
      <c r="ZZ723" s="5"/>
      <c r="AAA723" s="5"/>
      <c r="AAB723" s="5"/>
      <c r="AAC723" s="5"/>
      <c r="AAD723" s="5"/>
      <c r="AAE723" s="5"/>
      <c r="AAF723" s="5"/>
      <c r="AAG723" s="5"/>
      <c r="AAH723" s="5"/>
      <c r="AAI723" s="5"/>
      <c r="AAJ723" s="5"/>
      <c r="AAK723" s="5"/>
      <c r="AAL723" s="5"/>
      <c r="AAM723" s="5"/>
      <c r="AAN723" s="5"/>
      <c r="AAO723" s="5"/>
      <c r="AAP723" s="5"/>
      <c r="AAQ723" s="5"/>
      <c r="AAR723" s="5"/>
      <c r="AAS723" s="5"/>
      <c r="AAT723" s="5"/>
      <c r="AAU723" s="5"/>
      <c r="AAV723" s="5"/>
      <c r="AAW723" s="5"/>
      <c r="AAX723" s="5"/>
      <c r="AAY723" s="5"/>
      <c r="AAZ723" s="5"/>
      <c r="ABA723" s="5"/>
      <c r="ABB723" s="5"/>
      <c r="ABC723" s="5"/>
      <c r="ABD723" s="5"/>
      <c r="ABE723" s="5"/>
      <c r="ABF723" s="5"/>
      <c r="ABG723" s="5"/>
      <c r="ABH723" s="5"/>
      <c r="ABI723" s="5"/>
      <c r="ABJ723" s="5"/>
      <c r="ABK723" s="5"/>
      <c r="ABL723" s="5"/>
      <c r="ABM723" s="5"/>
      <c r="ABN723" s="5"/>
      <c r="ABO723" s="5"/>
      <c r="ABP723" s="5"/>
      <c r="ABQ723" s="5"/>
      <c r="ABR723" s="5"/>
      <c r="ABS723" s="5"/>
      <c r="ABT723" s="5"/>
      <c r="ABU723" s="5"/>
      <c r="ABV723" s="5"/>
      <c r="ABW723" s="5"/>
      <c r="ABX723" s="5"/>
      <c r="ABY723" s="5"/>
      <c r="ABZ723" s="5"/>
      <c r="ACA723" s="5"/>
      <c r="ACB723" s="5"/>
      <c r="ACC723" s="5"/>
      <c r="ACD723" s="5"/>
      <c r="ACE723" s="5"/>
      <c r="ACF723" s="5"/>
      <c r="ACG723" s="5"/>
      <c r="ACH723" s="5"/>
      <c r="ACI723" s="5"/>
      <c r="ACJ723" s="5"/>
      <c r="ACK723" s="5"/>
      <c r="ACL723" s="5"/>
      <c r="ACM723" s="5"/>
      <c r="ACN723" s="5"/>
      <c r="ACO723" s="5"/>
      <c r="ACP723" s="5"/>
      <c r="ACQ723" s="5"/>
      <c r="ACR723" s="5"/>
      <c r="ACS723" s="5"/>
      <c r="ACT723" s="5"/>
      <c r="ACU723" s="5"/>
      <c r="ACV723" s="5"/>
      <c r="ACW723" s="5"/>
      <c r="ACX723" s="5"/>
      <c r="ACY723" s="5"/>
      <c r="ACZ723" s="5"/>
      <c r="ADA723" s="5"/>
      <c r="ADB723" s="5"/>
      <c r="ADC723" s="5"/>
      <c r="ADD723" s="5"/>
      <c r="ADE723" s="5"/>
      <c r="ADF723" s="5"/>
      <c r="ADG723" s="5"/>
      <c r="ADH723" s="5"/>
      <c r="ADI723" s="5"/>
      <c r="ADJ723" s="5"/>
      <c r="ADK723" s="5"/>
      <c r="ADL723" s="5"/>
      <c r="ADM723" s="5"/>
      <c r="ADN723" s="5"/>
      <c r="ADO723" s="5"/>
      <c r="ADP723" s="5"/>
      <c r="ADQ723" s="5"/>
      <c r="ADR723" s="5"/>
      <c r="ADS723" s="5"/>
      <c r="ADT723" s="5"/>
      <c r="ADU723" s="5"/>
      <c r="ADV723" s="5"/>
      <c r="ADW723" s="5"/>
      <c r="ADX723" s="5"/>
      <c r="ADY723" s="5"/>
      <c r="ADZ723" s="5"/>
      <c r="AEA723" s="5"/>
      <c r="AEB723" s="5"/>
      <c r="AEC723" s="5"/>
      <c r="AED723" s="5"/>
      <c r="AEE723" s="5"/>
      <c r="AEF723" s="5"/>
      <c r="AEG723" s="5"/>
      <c r="AEH723" s="5"/>
      <c r="AEI723" s="5"/>
      <c r="AEJ723" s="5"/>
      <c r="AEK723" s="5"/>
      <c r="AEL723" s="5"/>
      <c r="AEM723" s="5"/>
      <c r="AEN723" s="5"/>
      <c r="AEO723" s="5"/>
      <c r="AEP723" s="5"/>
      <c r="AEQ723" s="5"/>
      <c r="AER723" s="5"/>
      <c r="AES723" s="5"/>
      <c r="AET723" s="5"/>
      <c r="AEU723" s="5"/>
      <c r="AEV723" s="5"/>
      <c r="AEW723" s="5"/>
      <c r="AEX723" s="5"/>
      <c r="AEY723" s="5"/>
      <c r="AEZ723" s="5"/>
      <c r="AFA723" s="5"/>
      <c r="AFB723" s="5"/>
      <c r="AFC723" s="5"/>
      <c r="AFD723" s="5"/>
      <c r="AFE723" s="5"/>
      <c r="AFF723" s="5"/>
      <c r="AFG723" s="5"/>
      <c r="AFH723" s="5"/>
      <c r="AFI723" s="5"/>
      <c r="AFJ723" s="5"/>
      <c r="AFK723" s="5"/>
      <c r="AFL723" s="5"/>
      <c r="AFM723" s="5"/>
      <c r="AFN723" s="5"/>
      <c r="AFO723" s="5"/>
      <c r="AFP723" s="5"/>
      <c r="AFQ723" s="5"/>
      <c r="AFR723" s="5"/>
      <c r="AFS723" s="5"/>
      <c r="AFT723" s="5"/>
      <c r="AFU723" s="5"/>
      <c r="AFV723" s="5"/>
      <c r="AFW723" s="5"/>
      <c r="AFX723" s="5"/>
      <c r="AFY723" s="5"/>
      <c r="AFZ723" s="5"/>
      <c r="AGA723" s="5"/>
      <c r="AGB723" s="5"/>
      <c r="AGC723" s="5"/>
      <c r="AGD723" s="5"/>
      <c r="AGE723" s="5"/>
      <c r="AGF723" s="5"/>
      <c r="AGG723" s="5"/>
      <c r="AGH723" s="5"/>
      <c r="AGI723" s="5"/>
      <c r="AGJ723" s="5"/>
      <c r="AGK723" s="5"/>
      <c r="AGL723" s="5"/>
      <c r="AGM723" s="5"/>
      <c r="AGN723" s="5"/>
      <c r="AGO723" s="5"/>
      <c r="AGP723" s="5"/>
      <c r="AGQ723" s="5"/>
      <c r="AGR723" s="5"/>
      <c r="AGS723" s="5"/>
      <c r="AGT723" s="5"/>
      <c r="AGU723" s="5"/>
      <c r="AGV723" s="5"/>
      <c r="AGW723" s="5"/>
      <c r="AGX723" s="5"/>
      <c r="AGY723" s="5"/>
      <c r="AGZ723" s="5"/>
      <c r="AHA723" s="5"/>
      <c r="AHB723" s="5"/>
      <c r="AHC723" s="5"/>
      <c r="AHD723" s="5"/>
      <c r="AHE723" s="5"/>
      <c r="AHF723" s="5"/>
      <c r="AHG723" s="5"/>
      <c r="AHH723" s="5"/>
      <c r="AHI723" s="5"/>
      <c r="AHJ723" s="5"/>
      <c r="AHK723" s="5"/>
      <c r="AHL723" s="5"/>
      <c r="AHM723" s="5"/>
      <c r="AHN723" s="5"/>
      <c r="AHO723" s="5"/>
      <c r="AHP723" s="5"/>
      <c r="AHQ723" s="5"/>
      <c r="AHR723" s="5"/>
      <c r="AHS723" s="5"/>
      <c r="AHT723" s="5"/>
      <c r="AHU723" s="5"/>
      <c r="AHV723" s="5"/>
      <c r="AHW723" s="5"/>
      <c r="AHX723" s="5"/>
      <c r="AHY723" s="5"/>
      <c r="AHZ723" s="5"/>
      <c r="AIA723" s="5"/>
      <c r="AIB723" s="5"/>
      <c r="AIC723" s="5"/>
      <c r="AID723" s="5"/>
      <c r="AIE723" s="5"/>
      <c r="AIF723" s="5"/>
      <c r="AIG723" s="5"/>
      <c r="AIH723" s="5"/>
      <c r="AII723" s="5"/>
      <c r="AIJ723" s="5"/>
      <c r="AIK723" s="5"/>
      <c r="AIL723" s="5"/>
      <c r="AIM723" s="5"/>
      <c r="AIN723" s="5"/>
      <c r="AIO723" s="5"/>
      <c r="AIP723" s="5"/>
      <c r="AIQ723" s="5"/>
      <c r="AIR723" s="5"/>
      <c r="AIS723" s="5"/>
      <c r="AIT723" s="5"/>
      <c r="AIU723" s="5"/>
      <c r="AIV723" s="5"/>
      <c r="AIW723" s="5"/>
      <c r="AIX723" s="5"/>
      <c r="AIY723" s="5"/>
      <c r="AIZ723" s="5"/>
      <c r="AJA723" s="5"/>
      <c r="AJB723" s="5"/>
      <c r="AJC723" s="5"/>
      <c r="AJD723" s="5"/>
      <c r="AJE723" s="5"/>
      <c r="AJF723" s="5"/>
      <c r="AJG723" s="5"/>
      <c r="AJH723" s="5"/>
      <c r="AJI723" s="5"/>
      <c r="AJJ723" s="5"/>
      <c r="AJK723" s="5"/>
      <c r="AJL723" s="5"/>
      <c r="AJM723" s="5"/>
      <c r="AJN723" s="5"/>
      <c r="AJO723" s="5"/>
      <c r="AJP723" s="5"/>
      <c r="AJQ723" s="5"/>
      <c r="AJR723" s="5"/>
      <c r="AJS723" s="5"/>
      <c r="AJT723" s="5"/>
      <c r="AJU723" s="5"/>
      <c r="AJV723" s="5"/>
      <c r="AJW723" s="5"/>
      <c r="AJX723" s="5"/>
      <c r="AJY723" s="5"/>
      <c r="AJZ723" s="5"/>
      <c r="AKA723" s="5"/>
      <c r="AKB723" s="5"/>
      <c r="AKC723" s="5"/>
      <c r="AKD723" s="5"/>
      <c r="AKE723" s="5"/>
      <c r="AKF723" s="5"/>
      <c r="AKG723" s="5"/>
      <c r="AKH723" s="5"/>
      <c r="AKI723" s="5"/>
      <c r="AKJ723" s="5"/>
      <c r="AKK723" s="5"/>
      <c r="AKL723" s="5"/>
      <c r="AKM723" s="5"/>
      <c r="AKN723" s="5"/>
      <c r="AKO723" s="5"/>
      <c r="AKP723" s="5"/>
      <c r="AKQ723" s="5"/>
      <c r="AKR723" s="5"/>
      <c r="AKS723" s="5"/>
      <c r="AKT723" s="5"/>
      <c r="AKU723" s="5"/>
      <c r="AKV723" s="5"/>
      <c r="AKW723" s="5"/>
      <c r="AKX723" s="5"/>
      <c r="AKY723" s="5"/>
      <c r="AKZ723" s="5"/>
      <c r="ALA723" s="5"/>
      <c r="ALB723" s="5"/>
      <c r="ALC723" s="5"/>
      <c r="ALD723" s="5"/>
      <c r="ALE723" s="5"/>
      <c r="ALF723" s="5"/>
      <c r="ALG723" s="5"/>
      <c r="ALH723" s="5"/>
      <c r="ALI723" s="5"/>
      <c r="ALJ723" s="5"/>
      <c r="ALK723" s="5"/>
      <c r="ALL723" s="5"/>
      <c r="ALM723" s="5"/>
      <c r="ALN723" s="5"/>
      <c r="ALO723" s="5"/>
      <c r="ALP723" s="5"/>
      <c r="ALQ723" s="5"/>
      <c r="ALR723" s="5"/>
      <c r="ALS723" s="5"/>
      <c r="ALT723" s="5"/>
      <c r="ALU723" s="5"/>
      <c r="ALV723" s="5"/>
      <c r="ALW723" s="5"/>
      <c r="ALX723" s="5"/>
      <c r="ALY723" s="5"/>
      <c r="ALZ723" s="5"/>
      <c r="AMA723" s="5"/>
      <c r="AMB723" s="5"/>
      <c r="AMC723" s="5"/>
      <c r="AMD723" s="5"/>
      <c r="AME723" s="5"/>
      <c r="AMF723" s="5"/>
      <c r="AMG723" s="5"/>
      <c r="AMH723" s="5"/>
      <c r="AMI723" s="5"/>
      <c r="AMJ723" s="5"/>
      <c r="AMK723" s="5"/>
      <c r="AML723" s="5"/>
      <c r="AMM723" s="5"/>
      <c r="AMN723" s="5"/>
      <c r="AMO723" s="5"/>
      <c r="AMP723" s="5"/>
      <c r="AMQ723" s="5"/>
      <c r="AMR723" s="5"/>
      <c r="AMS723" s="5"/>
      <c r="AMT723" s="5"/>
      <c r="AMU723" s="5"/>
      <c r="AMV723" s="5"/>
      <c r="AMW723" s="5"/>
      <c r="AMX723" s="5"/>
      <c r="AMY723" s="5"/>
      <c r="AMZ723" s="5"/>
      <c r="ANA723" s="5"/>
      <c r="ANB723" s="5"/>
      <c r="ANC723" s="5"/>
      <c r="AND723" s="5"/>
      <c r="ANE723" s="5"/>
      <c r="ANF723" s="5"/>
      <c r="ANG723" s="5"/>
      <c r="ANH723" s="5"/>
      <c r="ANI723" s="5"/>
      <c r="ANJ723" s="5"/>
      <c r="ANK723" s="5"/>
      <c r="ANL723" s="5"/>
      <c r="ANM723" s="5"/>
      <c r="ANN723" s="5"/>
      <c r="ANO723" s="5"/>
      <c r="ANP723" s="5"/>
      <c r="ANQ723" s="5"/>
      <c r="ANR723" s="5"/>
      <c r="ANS723" s="5"/>
      <c r="ANT723" s="5"/>
      <c r="ANU723" s="5"/>
      <c r="ANV723" s="5"/>
      <c r="ANW723" s="5"/>
      <c r="ANX723" s="5"/>
      <c r="ANY723" s="5"/>
      <c r="ANZ723" s="5"/>
      <c r="AOA723" s="5"/>
      <c r="AOB723" s="5"/>
      <c r="AOC723" s="5"/>
      <c r="AOD723" s="5"/>
      <c r="AOE723" s="5"/>
      <c r="AOF723" s="5"/>
      <c r="AOG723" s="5"/>
      <c r="AOH723" s="5"/>
      <c r="AOI723" s="5"/>
      <c r="AOJ723" s="5"/>
      <c r="AOK723" s="5"/>
      <c r="AOL723" s="5"/>
      <c r="AOM723" s="5"/>
      <c r="AON723" s="5"/>
      <c r="AOO723" s="5"/>
      <c r="AOP723" s="5"/>
      <c r="AOQ723" s="5"/>
      <c r="AOR723" s="5"/>
      <c r="AOS723" s="5"/>
      <c r="AOT723" s="5"/>
      <c r="AOU723" s="5"/>
      <c r="AOV723" s="5"/>
      <c r="AOW723" s="5"/>
      <c r="AOX723" s="5"/>
      <c r="AOY723" s="5"/>
      <c r="AOZ723" s="5"/>
      <c r="APA723" s="5"/>
      <c r="APB723" s="5"/>
      <c r="APC723" s="5"/>
      <c r="APD723" s="5"/>
      <c r="APE723" s="5"/>
      <c r="APF723" s="5"/>
      <c r="APG723" s="5"/>
      <c r="APH723" s="5"/>
      <c r="API723" s="5"/>
      <c r="APJ723" s="5"/>
      <c r="APK723" s="5"/>
      <c r="APL723" s="5"/>
      <c r="APM723" s="5"/>
      <c r="APN723" s="5"/>
      <c r="APO723" s="5"/>
      <c r="APP723" s="5"/>
      <c r="APQ723" s="5"/>
      <c r="APR723" s="5"/>
      <c r="APS723" s="5"/>
      <c r="APT723" s="5"/>
      <c r="APU723" s="5"/>
      <c r="APV723" s="5"/>
      <c r="APW723" s="5"/>
      <c r="APX723" s="5"/>
      <c r="APY723" s="5"/>
      <c r="APZ723" s="5"/>
      <c r="AQA723" s="5"/>
      <c r="AQB723" s="5"/>
      <c r="AQC723" s="5"/>
      <c r="AQD723" s="5"/>
      <c r="AQE723" s="5"/>
      <c r="AQF723" s="5"/>
      <c r="AQG723" s="5"/>
      <c r="AQH723" s="5"/>
      <c r="AQI723" s="5"/>
      <c r="AQJ723" s="5"/>
      <c r="AQK723" s="5"/>
      <c r="AQL723" s="5"/>
      <c r="AQM723" s="5"/>
      <c r="AQN723" s="5"/>
      <c r="AQO723" s="5"/>
      <c r="AQP723" s="5"/>
      <c r="AQQ723" s="5"/>
      <c r="AQR723" s="5"/>
      <c r="AQS723" s="5"/>
      <c r="AQT723" s="5"/>
      <c r="AQU723" s="5"/>
      <c r="AQV723" s="5"/>
      <c r="AQW723" s="5"/>
      <c r="AQX723" s="5"/>
      <c r="AQY723" s="5"/>
      <c r="AQZ723" s="5"/>
      <c r="ARA723" s="5"/>
      <c r="ARB723" s="5"/>
      <c r="ARC723" s="5"/>
      <c r="ARD723" s="5"/>
      <c r="ARE723" s="5"/>
      <c r="ARF723" s="5"/>
      <c r="ARG723" s="5"/>
      <c r="ARH723" s="5"/>
      <c r="ARI723" s="5"/>
      <c r="ARJ723" s="5"/>
      <c r="ARK723" s="5"/>
      <c r="ARL723" s="5"/>
      <c r="ARM723" s="5"/>
      <c r="ARN723" s="5"/>
      <c r="ARO723" s="5"/>
      <c r="ARP723" s="5"/>
      <c r="ARQ723" s="5"/>
      <c r="ARR723" s="5"/>
      <c r="ARS723" s="5"/>
      <c r="ART723" s="5"/>
      <c r="ARU723" s="5"/>
      <c r="ARV723" s="5"/>
      <c r="ARW723" s="5"/>
      <c r="ARX723" s="5"/>
      <c r="ARY723" s="5"/>
      <c r="ARZ723" s="5"/>
      <c r="ASA723" s="5"/>
      <c r="ASB723" s="5"/>
      <c r="ASC723" s="5"/>
      <c r="ASD723" s="5"/>
      <c r="ASE723" s="5"/>
      <c r="ASF723" s="5"/>
      <c r="ASG723" s="5"/>
      <c r="ASH723" s="5"/>
      <c r="ASI723" s="5"/>
      <c r="ASJ723" s="5"/>
      <c r="ASK723" s="5"/>
      <c r="ASL723" s="5"/>
      <c r="ASM723" s="5"/>
      <c r="ASN723" s="5"/>
      <c r="ASO723" s="5"/>
      <c r="ASP723" s="5"/>
      <c r="ASQ723" s="5"/>
      <c r="ASR723" s="5"/>
      <c r="ASS723" s="5"/>
      <c r="AST723" s="5"/>
      <c r="ASU723" s="5"/>
      <c r="ASV723" s="5"/>
      <c r="ASW723" s="5"/>
      <c r="ASX723" s="5"/>
      <c r="ASY723" s="5"/>
      <c r="ASZ723" s="5"/>
      <c r="ATA723" s="5"/>
      <c r="ATB723" s="5"/>
      <c r="ATC723" s="5"/>
      <c r="ATD723" s="5"/>
      <c r="ATE723" s="5"/>
      <c r="ATF723" s="5"/>
      <c r="ATG723" s="5"/>
      <c r="ATH723" s="5"/>
      <c r="ATI723" s="5"/>
      <c r="ATJ723" s="5"/>
      <c r="ATK723" s="5"/>
      <c r="ATL723" s="5"/>
      <c r="ATM723" s="5"/>
      <c r="ATN723" s="5"/>
      <c r="ATO723" s="5"/>
      <c r="ATP723" s="5"/>
      <c r="ATQ723" s="5"/>
      <c r="ATR723" s="5"/>
      <c r="ATS723" s="5"/>
      <c r="ATT723" s="5"/>
      <c r="ATU723" s="5"/>
      <c r="ATV723" s="5"/>
      <c r="ATW723" s="5"/>
      <c r="ATX723" s="5"/>
    </row>
    <row r="724" spans="1:1220" s="67" customFormat="1" ht="12.75" customHeight="1" x14ac:dyDescent="0.35">
      <c r="A724" s="76" t="s">
        <v>229</v>
      </c>
      <c r="B724" s="99" t="s">
        <v>300</v>
      </c>
      <c r="C724" s="76" t="s">
        <v>2624</v>
      </c>
      <c r="D724" s="142" t="s">
        <v>2624</v>
      </c>
      <c r="E724" s="76"/>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c r="DM724" s="5"/>
      <c r="DN724" s="5"/>
      <c r="DO724" s="5"/>
      <c r="DP724" s="5"/>
      <c r="DQ724" s="5"/>
      <c r="DR724" s="5"/>
      <c r="DS724" s="5"/>
      <c r="DT724" s="5"/>
      <c r="DU724" s="5"/>
      <c r="DV724" s="5"/>
      <c r="DW724" s="5"/>
      <c r="DX724" s="5"/>
      <c r="DY724" s="5"/>
      <c r="DZ724" s="5"/>
      <c r="EA724" s="5"/>
      <c r="EB724" s="5"/>
      <c r="EC724" s="5"/>
      <c r="ED724" s="5"/>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s="5"/>
      <c r="FG724" s="5"/>
      <c r="FH724" s="5"/>
      <c r="FI724" s="5"/>
      <c r="FJ724" s="5"/>
      <c r="FK724" s="5"/>
      <c r="FL724" s="5"/>
      <c r="FM724" s="5"/>
      <c r="FN724" s="5"/>
      <c r="FO724" s="5"/>
      <c r="FP724" s="5"/>
      <c r="FQ724" s="5"/>
      <c r="FR724" s="5"/>
      <c r="FS724" s="5"/>
      <c r="FT724" s="5"/>
      <c r="FU724" s="5"/>
      <c r="FV724" s="5"/>
      <c r="FW724" s="5"/>
      <c r="FX724" s="5"/>
      <c r="FY724" s="5"/>
      <c r="FZ724" s="5"/>
      <c r="GA724" s="5"/>
      <c r="GB724" s="5"/>
      <c r="GC724" s="5"/>
      <c r="GD724" s="5"/>
      <c r="GE724" s="5"/>
      <c r="GF724" s="5"/>
      <c r="GG724" s="5"/>
      <c r="GH724" s="5"/>
      <c r="GI724" s="5"/>
      <c r="GJ724" s="5"/>
      <c r="GK724" s="5"/>
      <c r="GL724" s="5"/>
      <c r="GM724" s="5"/>
      <c r="GN724" s="5"/>
      <c r="GO724" s="5"/>
      <c r="GP724" s="5"/>
      <c r="GQ724" s="5"/>
      <c r="GR724" s="5"/>
      <c r="GS724" s="5"/>
      <c r="GT724" s="5"/>
      <c r="GU724" s="5"/>
      <c r="GV724" s="5"/>
      <c r="GW724" s="5"/>
      <c r="GX724" s="5"/>
      <c r="GY724" s="5"/>
      <c r="GZ724" s="5"/>
      <c r="HA724" s="5"/>
      <c r="HB724" s="5"/>
      <c r="HC724" s="5"/>
      <c r="HD724" s="5"/>
      <c r="HE724" s="5"/>
      <c r="HF724" s="5"/>
      <c r="HG724" s="5"/>
      <c r="HH724" s="5"/>
      <c r="HI724" s="5"/>
      <c r="HJ724" s="5"/>
      <c r="HK724" s="5"/>
      <c r="HL724" s="5"/>
      <c r="HM724" s="5"/>
      <c r="HN724" s="5"/>
      <c r="HO724" s="5"/>
      <c r="HP724" s="5"/>
      <c r="HQ724" s="5"/>
      <c r="HR724" s="5"/>
      <c r="HS724" s="5"/>
      <c r="HT724" s="5"/>
      <c r="HU724" s="5"/>
      <c r="HV724" s="5"/>
      <c r="HW724" s="5"/>
      <c r="HX724" s="5"/>
      <c r="HY724" s="5"/>
      <c r="HZ724" s="5"/>
      <c r="IA724" s="5"/>
      <c r="IB724" s="5"/>
      <c r="IC724" s="5"/>
      <c r="ID724" s="5"/>
      <c r="IE724" s="5"/>
      <c r="IF724" s="5"/>
      <c r="IG724" s="5"/>
      <c r="IH724" s="5"/>
      <c r="II724" s="5"/>
      <c r="IJ724" s="5"/>
      <c r="IK724" s="5"/>
      <c r="IL724" s="5"/>
      <c r="IM724" s="5"/>
      <c r="IN724" s="5"/>
      <c r="IO724" s="5"/>
      <c r="IP724" s="5"/>
      <c r="IQ724" s="5"/>
      <c r="IR724" s="5"/>
      <c r="IS724" s="5"/>
      <c r="IT724" s="5"/>
      <c r="IU724" s="5"/>
      <c r="IV724" s="5"/>
      <c r="IW724" s="5"/>
      <c r="IX724" s="5"/>
      <c r="IY724" s="5"/>
      <c r="IZ724" s="5"/>
      <c r="JA724" s="5"/>
      <c r="JB724" s="5"/>
      <c r="JC724" s="5"/>
      <c r="JD724" s="5"/>
      <c r="JE724" s="5"/>
      <c r="JF724" s="5"/>
      <c r="JG724" s="5"/>
      <c r="JH724" s="5"/>
      <c r="JI724" s="5"/>
      <c r="JJ724" s="5"/>
      <c r="JK724" s="5"/>
      <c r="JL724" s="5"/>
      <c r="JM724" s="5"/>
      <c r="JN724" s="5"/>
      <c r="JO724" s="5"/>
      <c r="JP724" s="5"/>
      <c r="JQ724" s="5"/>
      <c r="JR724" s="5"/>
      <c r="JS724" s="5"/>
      <c r="JT724" s="5"/>
      <c r="JU724" s="5"/>
      <c r="JV724" s="5"/>
      <c r="JW724" s="5"/>
      <c r="JX724" s="5"/>
      <c r="JY724" s="5"/>
      <c r="JZ724" s="5"/>
      <c r="KA724" s="5"/>
      <c r="KB724" s="5"/>
      <c r="KC724" s="5"/>
      <c r="KD724" s="5"/>
      <c r="KE724" s="5"/>
      <c r="KF724" s="5"/>
      <c r="KG724" s="5"/>
      <c r="KH724" s="5"/>
      <c r="KI724" s="5"/>
      <c r="KJ724" s="5"/>
      <c r="KK724" s="5"/>
      <c r="KL724" s="5"/>
      <c r="KM724" s="5"/>
      <c r="KN724" s="5"/>
      <c r="KO724" s="5"/>
      <c r="KP724" s="5"/>
      <c r="KQ724" s="5"/>
      <c r="KR724" s="5"/>
      <c r="KS724" s="5"/>
      <c r="KT724" s="5"/>
      <c r="KU724" s="5"/>
      <c r="KV724" s="5"/>
      <c r="KW724" s="5"/>
      <c r="KX724" s="5"/>
      <c r="KY724" s="5"/>
      <c r="KZ724" s="5"/>
      <c r="LA724" s="5"/>
      <c r="LB724" s="5"/>
      <c r="LC724" s="5"/>
      <c r="LD724" s="5"/>
      <c r="LE724" s="5"/>
      <c r="LF724" s="5"/>
      <c r="LG724" s="5"/>
      <c r="LH724" s="5"/>
      <c r="LI724" s="5"/>
      <c r="LJ724" s="5"/>
      <c r="LK724" s="5"/>
      <c r="LL724" s="5"/>
      <c r="LM724" s="5"/>
      <c r="LN724" s="5"/>
      <c r="LO724" s="5"/>
      <c r="LP724" s="5"/>
      <c r="LQ724" s="5"/>
      <c r="LR724" s="5"/>
      <c r="LS724" s="5"/>
      <c r="LT724" s="5"/>
      <c r="LU724" s="5"/>
      <c r="LV724" s="5"/>
      <c r="LW724" s="5"/>
      <c r="LX724" s="5"/>
      <c r="LY724" s="5"/>
      <c r="LZ724" s="5"/>
      <c r="MA724" s="5"/>
      <c r="MB724" s="5"/>
      <c r="MC724" s="5"/>
      <c r="MD724" s="5"/>
      <c r="ME724" s="5"/>
      <c r="MF724" s="5"/>
      <c r="MG724" s="5"/>
      <c r="MH724" s="5"/>
      <c r="MI724" s="5"/>
      <c r="MJ724" s="5"/>
      <c r="MK724" s="5"/>
      <c r="ML724" s="5"/>
      <c r="MM724" s="5"/>
      <c r="MN724" s="5"/>
      <c r="MO724" s="5"/>
      <c r="MP724" s="5"/>
      <c r="MQ724" s="5"/>
      <c r="MR724" s="5"/>
      <c r="MS724" s="5"/>
      <c r="MT724" s="5"/>
      <c r="MU724" s="5"/>
      <c r="MV724" s="5"/>
      <c r="MW724" s="5"/>
      <c r="MX724" s="5"/>
      <c r="MY724" s="5"/>
      <c r="MZ724" s="5"/>
      <c r="NA724" s="5"/>
      <c r="NB724" s="5"/>
      <c r="NC724" s="5"/>
      <c r="ND724" s="5"/>
      <c r="NE724" s="5"/>
      <c r="NF724" s="5"/>
      <c r="NG724" s="5"/>
      <c r="NH724" s="5"/>
      <c r="NI724" s="5"/>
      <c r="NJ724" s="5"/>
      <c r="NK724" s="5"/>
      <c r="NL724" s="5"/>
      <c r="NM724" s="5"/>
      <c r="NN724" s="5"/>
      <c r="NO724" s="5"/>
      <c r="NP724" s="5"/>
      <c r="NQ724" s="5"/>
      <c r="NR724" s="5"/>
      <c r="NS724" s="5"/>
      <c r="NT724" s="5"/>
      <c r="NU724" s="5"/>
      <c r="NV724" s="5"/>
      <c r="NW724" s="5"/>
      <c r="NX724" s="5"/>
      <c r="NY724" s="5"/>
      <c r="NZ724" s="5"/>
      <c r="OA724" s="5"/>
      <c r="OB724" s="5"/>
      <c r="OC724" s="5"/>
      <c r="OD724" s="5"/>
      <c r="OE724" s="5"/>
      <c r="OF724" s="5"/>
      <c r="OG724" s="5"/>
      <c r="OH724" s="5"/>
      <c r="OI724" s="5"/>
      <c r="OJ724" s="5"/>
      <c r="OK724" s="5"/>
      <c r="OL724" s="5"/>
      <c r="OM724" s="5"/>
      <c r="ON724" s="5"/>
      <c r="OO724" s="5"/>
      <c r="OP724" s="5"/>
      <c r="OQ724" s="5"/>
      <c r="OR724" s="5"/>
      <c r="OS724" s="5"/>
      <c r="OT724" s="5"/>
      <c r="OU724" s="5"/>
      <c r="OV724" s="5"/>
      <c r="OW724" s="5"/>
      <c r="OX724" s="5"/>
      <c r="OY724" s="5"/>
      <c r="OZ724" s="5"/>
      <c r="PA724" s="5"/>
      <c r="PB724" s="5"/>
      <c r="PC724" s="5"/>
      <c r="PD724" s="5"/>
      <c r="PE724" s="5"/>
      <c r="PF724" s="5"/>
      <c r="PG724" s="5"/>
      <c r="PH724" s="5"/>
      <c r="PI724" s="5"/>
      <c r="PJ724" s="5"/>
      <c r="PK724" s="5"/>
      <c r="PL724" s="5"/>
      <c r="PM724" s="5"/>
      <c r="PN724" s="5"/>
      <c r="PO724" s="5"/>
      <c r="PP724" s="5"/>
      <c r="PQ724" s="5"/>
      <c r="PR724" s="5"/>
      <c r="PS724" s="5"/>
      <c r="PT724" s="5"/>
      <c r="PU724" s="5"/>
      <c r="PV724" s="5"/>
      <c r="PW724" s="5"/>
      <c r="PX724" s="5"/>
      <c r="PY724" s="5"/>
      <c r="PZ724" s="5"/>
      <c r="QA724" s="5"/>
      <c r="QB724" s="5"/>
      <c r="QC724" s="5"/>
      <c r="QD724" s="5"/>
      <c r="QE724" s="5"/>
      <c r="QF724" s="5"/>
      <c r="QG724" s="5"/>
      <c r="QH724" s="5"/>
      <c r="QI724" s="5"/>
      <c r="QJ724" s="5"/>
      <c r="QK724" s="5"/>
      <c r="QL724" s="5"/>
      <c r="QM724" s="5"/>
      <c r="QN724" s="5"/>
      <c r="QO724" s="5"/>
      <c r="QP724" s="5"/>
      <c r="QQ724" s="5"/>
      <c r="QR724" s="5"/>
      <c r="QS724" s="5"/>
      <c r="QT724" s="5"/>
      <c r="QU724" s="5"/>
      <c r="QV724" s="5"/>
      <c r="QW724" s="5"/>
      <c r="QX724" s="5"/>
      <c r="QY724" s="5"/>
      <c r="QZ724" s="5"/>
      <c r="RA724" s="5"/>
      <c r="RB724" s="5"/>
      <c r="RC724" s="5"/>
      <c r="RD724" s="5"/>
      <c r="RE724" s="5"/>
      <c r="RF724" s="5"/>
      <c r="RG724" s="5"/>
      <c r="RH724" s="5"/>
      <c r="RI724" s="5"/>
      <c r="RJ724" s="5"/>
      <c r="RK724" s="5"/>
      <c r="RL724" s="5"/>
      <c r="RM724" s="5"/>
      <c r="RN724" s="5"/>
      <c r="RO724" s="5"/>
      <c r="RP724" s="5"/>
      <c r="RQ724" s="5"/>
      <c r="RR724" s="5"/>
      <c r="RS724" s="5"/>
      <c r="RT724" s="5"/>
      <c r="RU724" s="5"/>
      <c r="RV724" s="5"/>
      <c r="RW724" s="5"/>
      <c r="RX724" s="5"/>
      <c r="RY724" s="5"/>
      <c r="RZ724" s="5"/>
      <c r="SA724" s="5"/>
      <c r="SB724" s="5"/>
      <c r="SC724" s="5"/>
      <c r="SD724" s="5"/>
      <c r="SE724" s="5"/>
      <c r="SF724" s="5"/>
      <c r="SG724" s="5"/>
      <c r="SH724" s="5"/>
      <c r="SI724" s="5"/>
      <c r="SJ724" s="5"/>
      <c r="SK724" s="5"/>
      <c r="SL724" s="5"/>
      <c r="SM724" s="5"/>
      <c r="SN724" s="5"/>
      <c r="SO724" s="5"/>
      <c r="SP724" s="5"/>
      <c r="SQ724" s="5"/>
      <c r="SR724" s="5"/>
      <c r="SS724" s="5"/>
      <c r="ST724" s="5"/>
      <c r="SU724" s="5"/>
      <c r="SV724" s="5"/>
      <c r="SW724" s="5"/>
      <c r="SX724" s="5"/>
      <c r="SY724" s="5"/>
      <c r="SZ724" s="5"/>
      <c r="TA724" s="5"/>
      <c r="TB724" s="5"/>
      <c r="TC724" s="5"/>
      <c r="TD724" s="5"/>
      <c r="TE724" s="5"/>
      <c r="TF724" s="5"/>
      <c r="TG724" s="5"/>
      <c r="TH724" s="5"/>
      <c r="TI724" s="5"/>
      <c r="TJ724" s="5"/>
      <c r="TK724" s="5"/>
      <c r="TL724" s="5"/>
      <c r="TM724" s="5"/>
      <c r="TN724" s="5"/>
      <c r="TO724" s="5"/>
      <c r="TP724" s="5"/>
      <c r="TQ724" s="5"/>
      <c r="TR724" s="5"/>
      <c r="TS724" s="5"/>
      <c r="TT724" s="5"/>
      <c r="TU724" s="5"/>
      <c r="TV724" s="5"/>
      <c r="TW724" s="5"/>
      <c r="TX724" s="5"/>
      <c r="TY724" s="5"/>
      <c r="TZ724" s="5"/>
      <c r="UA724" s="5"/>
      <c r="UB724" s="5"/>
      <c r="UC724" s="5"/>
      <c r="UD724" s="5"/>
      <c r="UE724" s="5"/>
      <c r="UF724" s="5"/>
      <c r="UG724" s="5"/>
      <c r="UH724" s="5"/>
      <c r="UI724" s="5"/>
      <c r="UJ724" s="5"/>
      <c r="UK724" s="5"/>
      <c r="UL724" s="5"/>
      <c r="UM724" s="5"/>
      <c r="UN724" s="5"/>
      <c r="UO724" s="5"/>
      <c r="UP724" s="5"/>
      <c r="UQ724" s="5"/>
      <c r="UR724" s="5"/>
      <c r="US724" s="5"/>
      <c r="UT724" s="5"/>
      <c r="UU724" s="5"/>
      <c r="UV724" s="5"/>
      <c r="UW724" s="5"/>
      <c r="UX724" s="5"/>
      <c r="UY724" s="5"/>
      <c r="UZ724" s="5"/>
      <c r="VA724" s="5"/>
      <c r="VB724" s="5"/>
      <c r="VC724" s="5"/>
      <c r="VD724" s="5"/>
      <c r="VE724" s="5"/>
      <c r="VF724" s="5"/>
      <c r="VG724" s="5"/>
      <c r="VH724" s="5"/>
      <c r="VI724" s="5"/>
      <c r="VJ724" s="5"/>
      <c r="VK724" s="5"/>
      <c r="VL724" s="5"/>
      <c r="VM724" s="5"/>
      <c r="VN724" s="5"/>
      <c r="VO724" s="5"/>
      <c r="VP724" s="5"/>
      <c r="VQ724" s="5"/>
      <c r="VR724" s="5"/>
      <c r="VS724" s="5"/>
      <c r="VT724" s="5"/>
      <c r="VU724" s="5"/>
      <c r="VV724" s="5"/>
      <c r="VW724" s="5"/>
      <c r="VX724" s="5"/>
      <c r="VY724" s="5"/>
      <c r="VZ724" s="5"/>
      <c r="WA724" s="5"/>
      <c r="WB724" s="5"/>
      <c r="WC724" s="5"/>
      <c r="WD724" s="5"/>
      <c r="WE724" s="5"/>
      <c r="WF724" s="5"/>
      <c r="WG724" s="5"/>
      <c r="WH724" s="5"/>
      <c r="WI724" s="5"/>
      <c r="WJ724" s="5"/>
      <c r="WK724" s="5"/>
      <c r="WL724" s="5"/>
      <c r="WM724" s="5"/>
      <c r="WN724" s="5"/>
      <c r="WO724" s="5"/>
      <c r="WP724" s="5"/>
      <c r="WQ724" s="5"/>
      <c r="WR724" s="5"/>
      <c r="WS724" s="5"/>
      <c r="WT724" s="5"/>
      <c r="WU724" s="5"/>
      <c r="WV724" s="5"/>
      <c r="WW724" s="5"/>
      <c r="WX724" s="5"/>
      <c r="WY724" s="5"/>
      <c r="WZ724" s="5"/>
      <c r="XA724" s="5"/>
      <c r="XB724" s="5"/>
      <c r="XC724" s="5"/>
      <c r="XD724" s="5"/>
      <c r="XE724" s="5"/>
      <c r="XF724" s="5"/>
      <c r="XG724" s="5"/>
      <c r="XH724" s="5"/>
      <c r="XI724" s="5"/>
      <c r="XJ724" s="5"/>
      <c r="XK724" s="5"/>
      <c r="XL724" s="5"/>
      <c r="XM724" s="5"/>
      <c r="XN724" s="5"/>
      <c r="XO724" s="5"/>
      <c r="XP724" s="5"/>
      <c r="XQ724" s="5"/>
      <c r="XR724" s="5"/>
      <c r="XS724" s="5"/>
      <c r="XT724" s="5"/>
      <c r="XU724" s="5"/>
      <c r="XV724" s="5"/>
      <c r="XW724" s="5"/>
      <c r="XX724" s="5"/>
      <c r="XY724" s="5"/>
      <c r="XZ724" s="5"/>
      <c r="YA724" s="5"/>
      <c r="YB724" s="5"/>
      <c r="YC724" s="5"/>
      <c r="YD724" s="5"/>
      <c r="YE724" s="5"/>
      <c r="YF724" s="5"/>
      <c r="YG724" s="5"/>
      <c r="YH724" s="5"/>
      <c r="YI724" s="5"/>
      <c r="YJ724" s="5"/>
      <c r="YK724" s="5"/>
      <c r="YL724" s="5"/>
      <c r="YM724" s="5"/>
      <c r="YN724" s="5"/>
      <c r="YO724" s="5"/>
      <c r="YP724" s="5"/>
      <c r="YQ724" s="5"/>
      <c r="YR724" s="5"/>
      <c r="YS724" s="5"/>
      <c r="YT724" s="5"/>
      <c r="YU724" s="5"/>
      <c r="YV724" s="5"/>
      <c r="YW724" s="5"/>
      <c r="YX724" s="5"/>
      <c r="YY724" s="5"/>
      <c r="YZ724" s="5"/>
      <c r="ZA724" s="5"/>
      <c r="ZB724" s="5"/>
      <c r="ZC724" s="5"/>
      <c r="ZD724" s="5"/>
      <c r="ZE724" s="5"/>
      <c r="ZF724" s="5"/>
      <c r="ZG724" s="5"/>
      <c r="ZH724" s="5"/>
      <c r="ZI724" s="5"/>
      <c r="ZJ724" s="5"/>
      <c r="ZK724" s="5"/>
      <c r="ZL724" s="5"/>
      <c r="ZM724" s="5"/>
      <c r="ZN724" s="5"/>
      <c r="ZO724" s="5"/>
      <c r="ZP724" s="5"/>
      <c r="ZQ724" s="5"/>
      <c r="ZR724" s="5"/>
      <c r="ZS724" s="5"/>
      <c r="ZT724" s="5"/>
      <c r="ZU724" s="5"/>
      <c r="ZV724" s="5"/>
      <c r="ZW724" s="5"/>
      <c r="ZX724" s="5"/>
      <c r="ZY724" s="5"/>
      <c r="ZZ724" s="5"/>
      <c r="AAA724" s="5"/>
      <c r="AAB724" s="5"/>
      <c r="AAC724" s="5"/>
      <c r="AAD724" s="5"/>
      <c r="AAE724" s="5"/>
      <c r="AAF724" s="5"/>
      <c r="AAG724" s="5"/>
      <c r="AAH724" s="5"/>
      <c r="AAI724" s="5"/>
      <c r="AAJ724" s="5"/>
      <c r="AAK724" s="5"/>
      <c r="AAL724" s="5"/>
      <c r="AAM724" s="5"/>
      <c r="AAN724" s="5"/>
      <c r="AAO724" s="5"/>
      <c r="AAP724" s="5"/>
      <c r="AAQ724" s="5"/>
      <c r="AAR724" s="5"/>
      <c r="AAS724" s="5"/>
      <c r="AAT724" s="5"/>
      <c r="AAU724" s="5"/>
      <c r="AAV724" s="5"/>
      <c r="AAW724" s="5"/>
      <c r="AAX724" s="5"/>
      <c r="AAY724" s="5"/>
      <c r="AAZ724" s="5"/>
      <c r="ABA724" s="5"/>
      <c r="ABB724" s="5"/>
      <c r="ABC724" s="5"/>
      <c r="ABD724" s="5"/>
      <c r="ABE724" s="5"/>
      <c r="ABF724" s="5"/>
      <c r="ABG724" s="5"/>
      <c r="ABH724" s="5"/>
      <c r="ABI724" s="5"/>
      <c r="ABJ724" s="5"/>
      <c r="ABK724" s="5"/>
      <c r="ABL724" s="5"/>
      <c r="ABM724" s="5"/>
      <c r="ABN724" s="5"/>
      <c r="ABO724" s="5"/>
      <c r="ABP724" s="5"/>
      <c r="ABQ724" s="5"/>
      <c r="ABR724" s="5"/>
      <c r="ABS724" s="5"/>
      <c r="ABT724" s="5"/>
      <c r="ABU724" s="5"/>
      <c r="ABV724" s="5"/>
      <c r="ABW724" s="5"/>
      <c r="ABX724" s="5"/>
      <c r="ABY724" s="5"/>
      <c r="ABZ724" s="5"/>
      <c r="ACA724" s="5"/>
      <c r="ACB724" s="5"/>
      <c r="ACC724" s="5"/>
      <c r="ACD724" s="5"/>
      <c r="ACE724" s="5"/>
      <c r="ACF724" s="5"/>
      <c r="ACG724" s="5"/>
      <c r="ACH724" s="5"/>
      <c r="ACI724" s="5"/>
      <c r="ACJ724" s="5"/>
      <c r="ACK724" s="5"/>
      <c r="ACL724" s="5"/>
      <c r="ACM724" s="5"/>
      <c r="ACN724" s="5"/>
      <c r="ACO724" s="5"/>
      <c r="ACP724" s="5"/>
      <c r="ACQ724" s="5"/>
      <c r="ACR724" s="5"/>
      <c r="ACS724" s="5"/>
      <c r="ACT724" s="5"/>
      <c r="ACU724" s="5"/>
      <c r="ACV724" s="5"/>
      <c r="ACW724" s="5"/>
      <c r="ACX724" s="5"/>
      <c r="ACY724" s="5"/>
      <c r="ACZ724" s="5"/>
      <c r="ADA724" s="5"/>
      <c r="ADB724" s="5"/>
      <c r="ADC724" s="5"/>
      <c r="ADD724" s="5"/>
      <c r="ADE724" s="5"/>
      <c r="ADF724" s="5"/>
      <c r="ADG724" s="5"/>
      <c r="ADH724" s="5"/>
      <c r="ADI724" s="5"/>
      <c r="ADJ724" s="5"/>
      <c r="ADK724" s="5"/>
      <c r="ADL724" s="5"/>
      <c r="ADM724" s="5"/>
      <c r="ADN724" s="5"/>
      <c r="ADO724" s="5"/>
      <c r="ADP724" s="5"/>
      <c r="ADQ724" s="5"/>
      <c r="ADR724" s="5"/>
      <c r="ADS724" s="5"/>
      <c r="ADT724" s="5"/>
      <c r="ADU724" s="5"/>
      <c r="ADV724" s="5"/>
      <c r="ADW724" s="5"/>
      <c r="ADX724" s="5"/>
      <c r="ADY724" s="5"/>
      <c r="ADZ724" s="5"/>
      <c r="AEA724" s="5"/>
      <c r="AEB724" s="5"/>
      <c r="AEC724" s="5"/>
      <c r="AED724" s="5"/>
      <c r="AEE724" s="5"/>
      <c r="AEF724" s="5"/>
      <c r="AEG724" s="5"/>
      <c r="AEH724" s="5"/>
      <c r="AEI724" s="5"/>
      <c r="AEJ724" s="5"/>
      <c r="AEK724" s="5"/>
      <c r="AEL724" s="5"/>
      <c r="AEM724" s="5"/>
      <c r="AEN724" s="5"/>
      <c r="AEO724" s="5"/>
      <c r="AEP724" s="5"/>
      <c r="AEQ724" s="5"/>
      <c r="AER724" s="5"/>
      <c r="AES724" s="5"/>
      <c r="AET724" s="5"/>
      <c r="AEU724" s="5"/>
      <c r="AEV724" s="5"/>
      <c r="AEW724" s="5"/>
      <c r="AEX724" s="5"/>
      <c r="AEY724" s="5"/>
      <c r="AEZ724" s="5"/>
      <c r="AFA724" s="5"/>
      <c r="AFB724" s="5"/>
      <c r="AFC724" s="5"/>
      <c r="AFD724" s="5"/>
      <c r="AFE724" s="5"/>
      <c r="AFF724" s="5"/>
      <c r="AFG724" s="5"/>
      <c r="AFH724" s="5"/>
      <c r="AFI724" s="5"/>
      <c r="AFJ724" s="5"/>
      <c r="AFK724" s="5"/>
      <c r="AFL724" s="5"/>
      <c r="AFM724" s="5"/>
      <c r="AFN724" s="5"/>
      <c r="AFO724" s="5"/>
      <c r="AFP724" s="5"/>
      <c r="AFQ724" s="5"/>
      <c r="AFR724" s="5"/>
      <c r="AFS724" s="5"/>
      <c r="AFT724" s="5"/>
      <c r="AFU724" s="5"/>
      <c r="AFV724" s="5"/>
      <c r="AFW724" s="5"/>
      <c r="AFX724" s="5"/>
      <c r="AFY724" s="5"/>
      <c r="AFZ724" s="5"/>
      <c r="AGA724" s="5"/>
      <c r="AGB724" s="5"/>
      <c r="AGC724" s="5"/>
      <c r="AGD724" s="5"/>
      <c r="AGE724" s="5"/>
      <c r="AGF724" s="5"/>
      <c r="AGG724" s="5"/>
      <c r="AGH724" s="5"/>
      <c r="AGI724" s="5"/>
      <c r="AGJ724" s="5"/>
      <c r="AGK724" s="5"/>
      <c r="AGL724" s="5"/>
      <c r="AGM724" s="5"/>
      <c r="AGN724" s="5"/>
      <c r="AGO724" s="5"/>
      <c r="AGP724" s="5"/>
      <c r="AGQ724" s="5"/>
      <c r="AGR724" s="5"/>
      <c r="AGS724" s="5"/>
      <c r="AGT724" s="5"/>
      <c r="AGU724" s="5"/>
      <c r="AGV724" s="5"/>
      <c r="AGW724" s="5"/>
      <c r="AGX724" s="5"/>
      <c r="AGY724" s="5"/>
      <c r="AGZ724" s="5"/>
      <c r="AHA724" s="5"/>
      <c r="AHB724" s="5"/>
      <c r="AHC724" s="5"/>
      <c r="AHD724" s="5"/>
      <c r="AHE724" s="5"/>
      <c r="AHF724" s="5"/>
      <c r="AHG724" s="5"/>
      <c r="AHH724" s="5"/>
      <c r="AHI724" s="5"/>
      <c r="AHJ724" s="5"/>
      <c r="AHK724" s="5"/>
      <c r="AHL724" s="5"/>
      <c r="AHM724" s="5"/>
      <c r="AHN724" s="5"/>
      <c r="AHO724" s="5"/>
      <c r="AHP724" s="5"/>
      <c r="AHQ724" s="5"/>
      <c r="AHR724" s="5"/>
      <c r="AHS724" s="5"/>
      <c r="AHT724" s="5"/>
      <c r="AHU724" s="5"/>
      <c r="AHV724" s="5"/>
      <c r="AHW724" s="5"/>
      <c r="AHX724" s="5"/>
      <c r="AHY724" s="5"/>
      <c r="AHZ724" s="5"/>
      <c r="AIA724" s="5"/>
      <c r="AIB724" s="5"/>
      <c r="AIC724" s="5"/>
      <c r="AID724" s="5"/>
      <c r="AIE724" s="5"/>
      <c r="AIF724" s="5"/>
      <c r="AIG724" s="5"/>
      <c r="AIH724" s="5"/>
      <c r="AII724" s="5"/>
      <c r="AIJ724" s="5"/>
      <c r="AIK724" s="5"/>
      <c r="AIL724" s="5"/>
      <c r="AIM724" s="5"/>
      <c r="AIN724" s="5"/>
      <c r="AIO724" s="5"/>
      <c r="AIP724" s="5"/>
      <c r="AIQ724" s="5"/>
      <c r="AIR724" s="5"/>
      <c r="AIS724" s="5"/>
      <c r="AIT724" s="5"/>
      <c r="AIU724" s="5"/>
      <c r="AIV724" s="5"/>
      <c r="AIW724" s="5"/>
      <c r="AIX724" s="5"/>
      <c r="AIY724" s="5"/>
      <c r="AIZ724" s="5"/>
      <c r="AJA724" s="5"/>
      <c r="AJB724" s="5"/>
      <c r="AJC724" s="5"/>
      <c r="AJD724" s="5"/>
      <c r="AJE724" s="5"/>
      <c r="AJF724" s="5"/>
      <c r="AJG724" s="5"/>
      <c r="AJH724" s="5"/>
      <c r="AJI724" s="5"/>
      <c r="AJJ724" s="5"/>
      <c r="AJK724" s="5"/>
      <c r="AJL724" s="5"/>
      <c r="AJM724" s="5"/>
      <c r="AJN724" s="5"/>
      <c r="AJO724" s="5"/>
      <c r="AJP724" s="5"/>
      <c r="AJQ724" s="5"/>
      <c r="AJR724" s="5"/>
      <c r="AJS724" s="5"/>
      <c r="AJT724" s="5"/>
      <c r="AJU724" s="5"/>
      <c r="AJV724" s="5"/>
      <c r="AJW724" s="5"/>
      <c r="AJX724" s="5"/>
      <c r="AJY724" s="5"/>
      <c r="AJZ724" s="5"/>
      <c r="AKA724" s="5"/>
      <c r="AKB724" s="5"/>
      <c r="AKC724" s="5"/>
      <c r="AKD724" s="5"/>
      <c r="AKE724" s="5"/>
      <c r="AKF724" s="5"/>
      <c r="AKG724" s="5"/>
      <c r="AKH724" s="5"/>
      <c r="AKI724" s="5"/>
      <c r="AKJ724" s="5"/>
      <c r="AKK724" s="5"/>
      <c r="AKL724" s="5"/>
      <c r="AKM724" s="5"/>
      <c r="AKN724" s="5"/>
      <c r="AKO724" s="5"/>
      <c r="AKP724" s="5"/>
      <c r="AKQ724" s="5"/>
      <c r="AKR724" s="5"/>
      <c r="AKS724" s="5"/>
      <c r="AKT724" s="5"/>
      <c r="AKU724" s="5"/>
      <c r="AKV724" s="5"/>
      <c r="AKW724" s="5"/>
      <c r="AKX724" s="5"/>
      <c r="AKY724" s="5"/>
      <c r="AKZ724" s="5"/>
      <c r="ALA724" s="5"/>
      <c r="ALB724" s="5"/>
      <c r="ALC724" s="5"/>
      <c r="ALD724" s="5"/>
      <c r="ALE724" s="5"/>
      <c r="ALF724" s="5"/>
      <c r="ALG724" s="5"/>
      <c r="ALH724" s="5"/>
      <c r="ALI724" s="5"/>
      <c r="ALJ724" s="5"/>
      <c r="ALK724" s="5"/>
      <c r="ALL724" s="5"/>
      <c r="ALM724" s="5"/>
      <c r="ALN724" s="5"/>
      <c r="ALO724" s="5"/>
      <c r="ALP724" s="5"/>
      <c r="ALQ724" s="5"/>
      <c r="ALR724" s="5"/>
      <c r="ALS724" s="5"/>
      <c r="ALT724" s="5"/>
      <c r="ALU724" s="5"/>
      <c r="ALV724" s="5"/>
      <c r="ALW724" s="5"/>
      <c r="ALX724" s="5"/>
      <c r="ALY724" s="5"/>
      <c r="ALZ724" s="5"/>
      <c r="AMA724" s="5"/>
      <c r="AMB724" s="5"/>
      <c r="AMC724" s="5"/>
      <c r="AMD724" s="5"/>
      <c r="AME724" s="5"/>
      <c r="AMF724" s="5"/>
      <c r="AMG724" s="5"/>
      <c r="AMH724" s="5"/>
      <c r="AMI724" s="5"/>
      <c r="AMJ724" s="5"/>
      <c r="AMK724" s="5"/>
      <c r="AML724" s="5"/>
      <c r="AMM724" s="5"/>
      <c r="AMN724" s="5"/>
      <c r="AMO724" s="5"/>
      <c r="AMP724" s="5"/>
      <c r="AMQ724" s="5"/>
      <c r="AMR724" s="5"/>
      <c r="AMS724" s="5"/>
      <c r="AMT724" s="5"/>
      <c r="AMU724" s="5"/>
      <c r="AMV724" s="5"/>
      <c r="AMW724" s="5"/>
      <c r="AMX724" s="5"/>
      <c r="AMY724" s="5"/>
      <c r="AMZ724" s="5"/>
      <c r="ANA724" s="5"/>
      <c r="ANB724" s="5"/>
      <c r="ANC724" s="5"/>
      <c r="AND724" s="5"/>
      <c r="ANE724" s="5"/>
      <c r="ANF724" s="5"/>
      <c r="ANG724" s="5"/>
      <c r="ANH724" s="5"/>
      <c r="ANI724" s="5"/>
      <c r="ANJ724" s="5"/>
      <c r="ANK724" s="5"/>
      <c r="ANL724" s="5"/>
      <c r="ANM724" s="5"/>
      <c r="ANN724" s="5"/>
      <c r="ANO724" s="5"/>
      <c r="ANP724" s="5"/>
      <c r="ANQ724" s="5"/>
      <c r="ANR724" s="5"/>
      <c r="ANS724" s="5"/>
      <c r="ANT724" s="5"/>
      <c r="ANU724" s="5"/>
      <c r="ANV724" s="5"/>
      <c r="ANW724" s="5"/>
      <c r="ANX724" s="5"/>
      <c r="ANY724" s="5"/>
      <c r="ANZ724" s="5"/>
      <c r="AOA724" s="5"/>
      <c r="AOB724" s="5"/>
      <c r="AOC724" s="5"/>
      <c r="AOD724" s="5"/>
      <c r="AOE724" s="5"/>
      <c r="AOF724" s="5"/>
      <c r="AOG724" s="5"/>
      <c r="AOH724" s="5"/>
      <c r="AOI724" s="5"/>
      <c r="AOJ724" s="5"/>
      <c r="AOK724" s="5"/>
      <c r="AOL724" s="5"/>
      <c r="AOM724" s="5"/>
      <c r="AON724" s="5"/>
      <c r="AOO724" s="5"/>
      <c r="AOP724" s="5"/>
      <c r="AOQ724" s="5"/>
      <c r="AOR724" s="5"/>
      <c r="AOS724" s="5"/>
      <c r="AOT724" s="5"/>
      <c r="AOU724" s="5"/>
      <c r="AOV724" s="5"/>
      <c r="AOW724" s="5"/>
      <c r="AOX724" s="5"/>
      <c r="AOY724" s="5"/>
      <c r="AOZ724" s="5"/>
      <c r="APA724" s="5"/>
      <c r="APB724" s="5"/>
      <c r="APC724" s="5"/>
      <c r="APD724" s="5"/>
      <c r="APE724" s="5"/>
      <c r="APF724" s="5"/>
      <c r="APG724" s="5"/>
      <c r="APH724" s="5"/>
      <c r="API724" s="5"/>
      <c r="APJ724" s="5"/>
      <c r="APK724" s="5"/>
      <c r="APL724" s="5"/>
      <c r="APM724" s="5"/>
      <c r="APN724" s="5"/>
      <c r="APO724" s="5"/>
      <c r="APP724" s="5"/>
      <c r="APQ724" s="5"/>
      <c r="APR724" s="5"/>
      <c r="APS724" s="5"/>
      <c r="APT724" s="5"/>
      <c r="APU724" s="5"/>
      <c r="APV724" s="5"/>
      <c r="APW724" s="5"/>
      <c r="APX724" s="5"/>
      <c r="APY724" s="5"/>
      <c r="APZ724" s="5"/>
      <c r="AQA724" s="5"/>
      <c r="AQB724" s="5"/>
      <c r="AQC724" s="5"/>
      <c r="AQD724" s="5"/>
      <c r="AQE724" s="5"/>
      <c r="AQF724" s="5"/>
      <c r="AQG724" s="5"/>
      <c r="AQH724" s="5"/>
      <c r="AQI724" s="5"/>
      <c r="AQJ724" s="5"/>
      <c r="AQK724" s="5"/>
      <c r="AQL724" s="5"/>
      <c r="AQM724" s="5"/>
      <c r="AQN724" s="5"/>
      <c r="AQO724" s="5"/>
      <c r="AQP724" s="5"/>
      <c r="AQQ724" s="5"/>
      <c r="AQR724" s="5"/>
      <c r="AQS724" s="5"/>
      <c r="AQT724" s="5"/>
      <c r="AQU724" s="5"/>
      <c r="AQV724" s="5"/>
      <c r="AQW724" s="5"/>
      <c r="AQX724" s="5"/>
      <c r="AQY724" s="5"/>
      <c r="AQZ724" s="5"/>
      <c r="ARA724" s="5"/>
      <c r="ARB724" s="5"/>
      <c r="ARC724" s="5"/>
      <c r="ARD724" s="5"/>
      <c r="ARE724" s="5"/>
      <c r="ARF724" s="5"/>
      <c r="ARG724" s="5"/>
      <c r="ARH724" s="5"/>
      <c r="ARI724" s="5"/>
      <c r="ARJ724" s="5"/>
      <c r="ARK724" s="5"/>
      <c r="ARL724" s="5"/>
      <c r="ARM724" s="5"/>
      <c r="ARN724" s="5"/>
      <c r="ARO724" s="5"/>
      <c r="ARP724" s="5"/>
      <c r="ARQ724" s="5"/>
      <c r="ARR724" s="5"/>
      <c r="ARS724" s="5"/>
      <c r="ART724" s="5"/>
      <c r="ARU724" s="5"/>
      <c r="ARV724" s="5"/>
      <c r="ARW724" s="5"/>
      <c r="ARX724" s="5"/>
      <c r="ARY724" s="5"/>
      <c r="ARZ724" s="5"/>
      <c r="ASA724" s="5"/>
      <c r="ASB724" s="5"/>
      <c r="ASC724" s="5"/>
      <c r="ASD724" s="5"/>
      <c r="ASE724" s="5"/>
      <c r="ASF724" s="5"/>
      <c r="ASG724" s="5"/>
      <c r="ASH724" s="5"/>
      <c r="ASI724" s="5"/>
      <c r="ASJ724" s="5"/>
      <c r="ASK724" s="5"/>
      <c r="ASL724" s="5"/>
      <c r="ASM724" s="5"/>
      <c r="ASN724" s="5"/>
      <c r="ASO724" s="5"/>
      <c r="ASP724" s="5"/>
      <c r="ASQ724" s="5"/>
      <c r="ASR724" s="5"/>
      <c r="ASS724" s="5"/>
      <c r="AST724" s="5"/>
      <c r="ASU724" s="5"/>
      <c r="ASV724" s="5"/>
      <c r="ASW724" s="5"/>
      <c r="ASX724" s="5"/>
      <c r="ASY724" s="5"/>
      <c r="ASZ724" s="5"/>
      <c r="ATA724" s="5"/>
      <c r="ATB724" s="5"/>
      <c r="ATC724" s="5"/>
      <c r="ATD724" s="5"/>
      <c r="ATE724" s="5"/>
      <c r="ATF724" s="5"/>
      <c r="ATG724" s="5"/>
      <c r="ATH724" s="5"/>
      <c r="ATI724" s="5"/>
      <c r="ATJ724" s="5"/>
      <c r="ATK724" s="5"/>
      <c r="ATL724" s="5"/>
      <c r="ATM724" s="5"/>
      <c r="ATN724" s="5"/>
      <c r="ATO724" s="5"/>
      <c r="ATP724" s="5"/>
      <c r="ATQ724" s="5"/>
      <c r="ATR724" s="5"/>
      <c r="ATS724" s="5"/>
      <c r="ATT724" s="5"/>
      <c r="ATU724" s="5"/>
      <c r="ATV724" s="5"/>
      <c r="ATW724" s="5"/>
      <c r="ATX724" s="5"/>
    </row>
    <row r="725" spans="1:1220" s="67" customFormat="1" ht="12.75" customHeight="1" x14ac:dyDescent="0.35">
      <c r="A725" s="76" t="s">
        <v>229</v>
      </c>
      <c r="B725" s="99" t="s">
        <v>308</v>
      </c>
      <c r="C725" s="76" t="s">
        <v>2625</v>
      </c>
      <c r="D725" s="142" t="s">
        <v>2625</v>
      </c>
      <c r="E725" s="76"/>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s="5"/>
      <c r="FG725" s="5"/>
      <c r="FH725" s="5"/>
      <c r="FI725" s="5"/>
      <c r="FJ725" s="5"/>
      <c r="FK725" s="5"/>
      <c r="FL725" s="5"/>
      <c r="FM725" s="5"/>
      <c r="FN725" s="5"/>
      <c r="FO725" s="5"/>
      <c r="FP725" s="5"/>
      <c r="FQ725" s="5"/>
      <c r="FR725" s="5"/>
      <c r="FS725" s="5"/>
      <c r="FT725" s="5"/>
      <c r="FU725" s="5"/>
      <c r="FV725" s="5"/>
      <c r="FW725" s="5"/>
      <c r="FX725" s="5"/>
      <c r="FY725" s="5"/>
      <c r="FZ725" s="5"/>
      <c r="GA725" s="5"/>
      <c r="GB725" s="5"/>
      <c r="GC725" s="5"/>
      <c r="GD725" s="5"/>
      <c r="GE725" s="5"/>
      <c r="GF725" s="5"/>
      <c r="GG725" s="5"/>
      <c r="GH725" s="5"/>
      <c r="GI725" s="5"/>
      <c r="GJ725" s="5"/>
      <c r="GK725" s="5"/>
      <c r="GL725" s="5"/>
      <c r="GM725" s="5"/>
      <c r="GN725" s="5"/>
      <c r="GO725" s="5"/>
      <c r="GP725" s="5"/>
      <c r="GQ725" s="5"/>
      <c r="GR725" s="5"/>
      <c r="GS725" s="5"/>
      <c r="GT725" s="5"/>
      <c r="GU725" s="5"/>
      <c r="GV725" s="5"/>
      <c r="GW725" s="5"/>
      <c r="GX725" s="5"/>
      <c r="GY725" s="5"/>
      <c r="GZ725" s="5"/>
      <c r="HA725" s="5"/>
      <c r="HB725" s="5"/>
      <c r="HC725" s="5"/>
      <c r="HD725" s="5"/>
      <c r="HE725" s="5"/>
      <c r="HF725" s="5"/>
      <c r="HG725" s="5"/>
      <c r="HH725" s="5"/>
      <c r="HI725" s="5"/>
      <c r="HJ725" s="5"/>
      <c r="HK725" s="5"/>
      <c r="HL725" s="5"/>
      <c r="HM725" s="5"/>
      <c r="HN725" s="5"/>
      <c r="HO725" s="5"/>
      <c r="HP725" s="5"/>
      <c r="HQ725" s="5"/>
      <c r="HR725" s="5"/>
      <c r="HS725" s="5"/>
      <c r="HT725" s="5"/>
      <c r="HU725" s="5"/>
      <c r="HV725" s="5"/>
      <c r="HW725" s="5"/>
      <c r="HX725" s="5"/>
      <c r="HY725" s="5"/>
      <c r="HZ725" s="5"/>
      <c r="IA725" s="5"/>
      <c r="IB725" s="5"/>
      <c r="IC725" s="5"/>
      <c r="ID725" s="5"/>
      <c r="IE725" s="5"/>
      <c r="IF725" s="5"/>
      <c r="IG725" s="5"/>
      <c r="IH725" s="5"/>
      <c r="II725" s="5"/>
      <c r="IJ725" s="5"/>
      <c r="IK725" s="5"/>
      <c r="IL725" s="5"/>
      <c r="IM725" s="5"/>
      <c r="IN725" s="5"/>
      <c r="IO725" s="5"/>
      <c r="IP725" s="5"/>
      <c r="IQ725" s="5"/>
      <c r="IR725" s="5"/>
      <c r="IS725" s="5"/>
      <c r="IT725" s="5"/>
      <c r="IU725" s="5"/>
      <c r="IV725" s="5"/>
      <c r="IW725" s="5"/>
      <c r="IX725" s="5"/>
      <c r="IY725" s="5"/>
      <c r="IZ725" s="5"/>
      <c r="JA725" s="5"/>
      <c r="JB725" s="5"/>
      <c r="JC725" s="5"/>
      <c r="JD725" s="5"/>
      <c r="JE725" s="5"/>
      <c r="JF725" s="5"/>
      <c r="JG725" s="5"/>
      <c r="JH725" s="5"/>
      <c r="JI725" s="5"/>
      <c r="JJ725" s="5"/>
      <c r="JK725" s="5"/>
      <c r="JL725" s="5"/>
      <c r="JM725" s="5"/>
      <c r="JN725" s="5"/>
      <c r="JO725" s="5"/>
      <c r="JP725" s="5"/>
      <c r="JQ725" s="5"/>
      <c r="JR725" s="5"/>
      <c r="JS725" s="5"/>
      <c r="JT725" s="5"/>
      <c r="JU725" s="5"/>
      <c r="JV725" s="5"/>
      <c r="JW725" s="5"/>
      <c r="JX725" s="5"/>
      <c r="JY725" s="5"/>
      <c r="JZ725" s="5"/>
      <c r="KA725" s="5"/>
      <c r="KB725" s="5"/>
      <c r="KC725" s="5"/>
      <c r="KD725" s="5"/>
      <c r="KE725" s="5"/>
      <c r="KF725" s="5"/>
      <c r="KG725" s="5"/>
      <c r="KH725" s="5"/>
      <c r="KI725" s="5"/>
      <c r="KJ725" s="5"/>
      <c r="KK725" s="5"/>
      <c r="KL725" s="5"/>
      <c r="KM725" s="5"/>
      <c r="KN725" s="5"/>
      <c r="KO725" s="5"/>
      <c r="KP725" s="5"/>
      <c r="KQ725" s="5"/>
      <c r="KR725" s="5"/>
      <c r="KS725" s="5"/>
      <c r="KT725" s="5"/>
      <c r="KU725" s="5"/>
      <c r="KV725" s="5"/>
      <c r="KW725" s="5"/>
      <c r="KX725" s="5"/>
      <c r="KY725" s="5"/>
      <c r="KZ725" s="5"/>
      <c r="LA725" s="5"/>
      <c r="LB725" s="5"/>
      <c r="LC725" s="5"/>
      <c r="LD725" s="5"/>
      <c r="LE725" s="5"/>
      <c r="LF725" s="5"/>
      <c r="LG725" s="5"/>
      <c r="LH725" s="5"/>
      <c r="LI725" s="5"/>
      <c r="LJ725" s="5"/>
      <c r="LK725" s="5"/>
      <c r="LL725" s="5"/>
      <c r="LM725" s="5"/>
      <c r="LN725" s="5"/>
      <c r="LO725" s="5"/>
      <c r="LP725" s="5"/>
      <c r="LQ725" s="5"/>
      <c r="LR725" s="5"/>
      <c r="LS725" s="5"/>
      <c r="LT725" s="5"/>
      <c r="LU725" s="5"/>
      <c r="LV725" s="5"/>
      <c r="LW725" s="5"/>
      <c r="LX725" s="5"/>
      <c r="LY725" s="5"/>
      <c r="LZ725" s="5"/>
      <c r="MA725" s="5"/>
      <c r="MB725" s="5"/>
      <c r="MC725" s="5"/>
      <c r="MD725" s="5"/>
      <c r="ME725" s="5"/>
      <c r="MF725" s="5"/>
      <c r="MG725" s="5"/>
      <c r="MH725" s="5"/>
      <c r="MI725" s="5"/>
      <c r="MJ725" s="5"/>
      <c r="MK725" s="5"/>
      <c r="ML725" s="5"/>
      <c r="MM725" s="5"/>
      <c r="MN725" s="5"/>
      <c r="MO725" s="5"/>
      <c r="MP725" s="5"/>
      <c r="MQ725" s="5"/>
      <c r="MR725" s="5"/>
      <c r="MS725" s="5"/>
      <c r="MT725" s="5"/>
      <c r="MU725" s="5"/>
      <c r="MV725" s="5"/>
      <c r="MW725" s="5"/>
      <c r="MX725" s="5"/>
      <c r="MY725" s="5"/>
      <c r="MZ725" s="5"/>
      <c r="NA725" s="5"/>
      <c r="NB725" s="5"/>
      <c r="NC725" s="5"/>
      <c r="ND725" s="5"/>
      <c r="NE725" s="5"/>
      <c r="NF725" s="5"/>
      <c r="NG725" s="5"/>
      <c r="NH725" s="5"/>
      <c r="NI725" s="5"/>
      <c r="NJ725" s="5"/>
      <c r="NK725" s="5"/>
      <c r="NL725" s="5"/>
      <c r="NM725" s="5"/>
      <c r="NN725" s="5"/>
      <c r="NO725" s="5"/>
      <c r="NP725" s="5"/>
      <c r="NQ725" s="5"/>
      <c r="NR725" s="5"/>
      <c r="NS725" s="5"/>
      <c r="NT725" s="5"/>
      <c r="NU725" s="5"/>
      <c r="NV725" s="5"/>
      <c r="NW725" s="5"/>
      <c r="NX725" s="5"/>
      <c r="NY725" s="5"/>
      <c r="NZ725" s="5"/>
      <c r="OA725" s="5"/>
      <c r="OB725" s="5"/>
      <c r="OC725" s="5"/>
      <c r="OD725" s="5"/>
      <c r="OE725" s="5"/>
      <c r="OF725" s="5"/>
      <c r="OG725" s="5"/>
      <c r="OH725" s="5"/>
      <c r="OI725" s="5"/>
      <c r="OJ725" s="5"/>
      <c r="OK725" s="5"/>
      <c r="OL725" s="5"/>
      <c r="OM725" s="5"/>
      <c r="ON725" s="5"/>
      <c r="OO725" s="5"/>
      <c r="OP725" s="5"/>
      <c r="OQ725" s="5"/>
      <c r="OR725" s="5"/>
      <c r="OS725" s="5"/>
      <c r="OT725" s="5"/>
      <c r="OU725" s="5"/>
      <c r="OV725" s="5"/>
      <c r="OW725" s="5"/>
      <c r="OX725" s="5"/>
      <c r="OY725" s="5"/>
      <c r="OZ725" s="5"/>
      <c r="PA725" s="5"/>
      <c r="PB725" s="5"/>
      <c r="PC725" s="5"/>
      <c r="PD725" s="5"/>
      <c r="PE725" s="5"/>
      <c r="PF725" s="5"/>
      <c r="PG725" s="5"/>
      <c r="PH725" s="5"/>
      <c r="PI725" s="5"/>
      <c r="PJ725" s="5"/>
      <c r="PK725" s="5"/>
      <c r="PL725" s="5"/>
      <c r="PM725" s="5"/>
      <c r="PN725" s="5"/>
      <c r="PO725" s="5"/>
      <c r="PP725" s="5"/>
      <c r="PQ725" s="5"/>
      <c r="PR725" s="5"/>
      <c r="PS725" s="5"/>
      <c r="PT725" s="5"/>
      <c r="PU725" s="5"/>
      <c r="PV725" s="5"/>
      <c r="PW725" s="5"/>
      <c r="PX725" s="5"/>
      <c r="PY725" s="5"/>
      <c r="PZ725" s="5"/>
      <c r="QA725" s="5"/>
      <c r="QB725" s="5"/>
      <c r="QC725" s="5"/>
      <c r="QD725" s="5"/>
      <c r="QE725" s="5"/>
      <c r="QF725" s="5"/>
      <c r="QG725" s="5"/>
      <c r="QH725" s="5"/>
      <c r="QI725" s="5"/>
      <c r="QJ725" s="5"/>
      <c r="QK725" s="5"/>
      <c r="QL725" s="5"/>
      <c r="QM725" s="5"/>
      <c r="QN725" s="5"/>
      <c r="QO725" s="5"/>
      <c r="QP725" s="5"/>
      <c r="QQ725" s="5"/>
      <c r="QR725" s="5"/>
      <c r="QS725" s="5"/>
      <c r="QT725" s="5"/>
      <c r="QU725" s="5"/>
      <c r="QV725" s="5"/>
      <c r="QW725" s="5"/>
      <c r="QX725" s="5"/>
      <c r="QY725" s="5"/>
      <c r="QZ725" s="5"/>
      <c r="RA725" s="5"/>
      <c r="RB725" s="5"/>
      <c r="RC725" s="5"/>
      <c r="RD725" s="5"/>
      <c r="RE725" s="5"/>
      <c r="RF725" s="5"/>
      <c r="RG725" s="5"/>
      <c r="RH725" s="5"/>
      <c r="RI725" s="5"/>
      <c r="RJ725" s="5"/>
      <c r="RK725" s="5"/>
      <c r="RL725" s="5"/>
      <c r="RM725" s="5"/>
      <c r="RN725" s="5"/>
      <c r="RO725" s="5"/>
      <c r="RP725" s="5"/>
      <c r="RQ725" s="5"/>
      <c r="RR725" s="5"/>
      <c r="RS725" s="5"/>
      <c r="RT725" s="5"/>
      <c r="RU725" s="5"/>
      <c r="RV725" s="5"/>
      <c r="RW725" s="5"/>
      <c r="RX725" s="5"/>
      <c r="RY725" s="5"/>
      <c r="RZ725" s="5"/>
      <c r="SA725" s="5"/>
      <c r="SB725" s="5"/>
      <c r="SC725" s="5"/>
      <c r="SD725" s="5"/>
      <c r="SE725" s="5"/>
      <c r="SF725" s="5"/>
      <c r="SG725" s="5"/>
      <c r="SH725" s="5"/>
      <c r="SI725" s="5"/>
      <c r="SJ725" s="5"/>
      <c r="SK725" s="5"/>
      <c r="SL725" s="5"/>
      <c r="SM725" s="5"/>
      <c r="SN725" s="5"/>
      <c r="SO725" s="5"/>
      <c r="SP725" s="5"/>
      <c r="SQ725" s="5"/>
      <c r="SR725" s="5"/>
      <c r="SS725" s="5"/>
      <c r="ST725" s="5"/>
      <c r="SU725" s="5"/>
      <c r="SV725" s="5"/>
      <c r="SW725" s="5"/>
      <c r="SX725" s="5"/>
      <c r="SY725" s="5"/>
      <c r="SZ725" s="5"/>
      <c r="TA725" s="5"/>
      <c r="TB725" s="5"/>
      <c r="TC725" s="5"/>
      <c r="TD725" s="5"/>
      <c r="TE725" s="5"/>
      <c r="TF725" s="5"/>
      <c r="TG725" s="5"/>
      <c r="TH725" s="5"/>
      <c r="TI725" s="5"/>
      <c r="TJ725" s="5"/>
      <c r="TK725" s="5"/>
      <c r="TL725" s="5"/>
      <c r="TM725" s="5"/>
      <c r="TN725" s="5"/>
      <c r="TO725" s="5"/>
      <c r="TP725" s="5"/>
      <c r="TQ725" s="5"/>
      <c r="TR725" s="5"/>
      <c r="TS725" s="5"/>
      <c r="TT725" s="5"/>
      <c r="TU725" s="5"/>
      <c r="TV725" s="5"/>
      <c r="TW725" s="5"/>
      <c r="TX725" s="5"/>
      <c r="TY725" s="5"/>
      <c r="TZ725" s="5"/>
      <c r="UA725" s="5"/>
      <c r="UB725" s="5"/>
      <c r="UC725" s="5"/>
      <c r="UD725" s="5"/>
      <c r="UE725" s="5"/>
      <c r="UF725" s="5"/>
      <c r="UG725" s="5"/>
      <c r="UH725" s="5"/>
      <c r="UI725" s="5"/>
      <c r="UJ725" s="5"/>
      <c r="UK725" s="5"/>
      <c r="UL725" s="5"/>
      <c r="UM725" s="5"/>
      <c r="UN725" s="5"/>
      <c r="UO725" s="5"/>
      <c r="UP725" s="5"/>
      <c r="UQ725" s="5"/>
      <c r="UR725" s="5"/>
      <c r="US725" s="5"/>
      <c r="UT725" s="5"/>
      <c r="UU725" s="5"/>
      <c r="UV725" s="5"/>
      <c r="UW725" s="5"/>
      <c r="UX725" s="5"/>
      <c r="UY725" s="5"/>
      <c r="UZ725" s="5"/>
      <c r="VA725" s="5"/>
      <c r="VB725" s="5"/>
      <c r="VC725" s="5"/>
      <c r="VD725" s="5"/>
      <c r="VE725" s="5"/>
      <c r="VF725" s="5"/>
      <c r="VG725" s="5"/>
      <c r="VH725" s="5"/>
      <c r="VI725" s="5"/>
      <c r="VJ725" s="5"/>
      <c r="VK725" s="5"/>
      <c r="VL725" s="5"/>
      <c r="VM725" s="5"/>
      <c r="VN725" s="5"/>
      <c r="VO725" s="5"/>
      <c r="VP725" s="5"/>
      <c r="VQ725" s="5"/>
      <c r="VR725" s="5"/>
      <c r="VS725" s="5"/>
      <c r="VT725" s="5"/>
      <c r="VU725" s="5"/>
      <c r="VV725" s="5"/>
      <c r="VW725" s="5"/>
      <c r="VX725" s="5"/>
      <c r="VY725" s="5"/>
      <c r="VZ725" s="5"/>
      <c r="WA725" s="5"/>
      <c r="WB725" s="5"/>
      <c r="WC725" s="5"/>
      <c r="WD725" s="5"/>
      <c r="WE725" s="5"/>
      <c r="WF725" s="5"/>
      <c r="WG725" s="5"/>
      <c r="WH725" s="5"/>
      <c r="WI725" s="5"/>
      <c r="WJ725" s="5"/>
      <c r="WK725" s="5"/>
      <c r="WL725" s="5"/>
      <c r="WM725" s="5"/>
      <c r="WN725" s="5"/>
      <c r="WO725" s="5"/>
      <c r="WP725" s="5"/>
      <c r="WQ725" s="5"/>
      <c r="WR725" s="5"/>
      <c r="WS725" s="5"/>
      <c r="WT725" s="5"/>
      <c r="WU725" s="5"/>
      <c r="WV725" s="5"/>
      <c r="WW725" s="5"/>
      <c r="WX725" s="5"/>
      <c r="WY725" s="5"/>
      <c r="WZ725" s="5"/>
      <c r="XA725" s="5"/>
      <c r="XB725" s="5"/>
      <c r="XC725" s="5"/>
      <c r="XD725" s="5"/>
      <c r="XE725" s="5"/>
      <c r="XF725" s="5"/>
      <c r="XG725" s="5"/>
      <c r="XH725" s="5"/>
      <c r="XI725" s="5"/>
      <c r="XJ725" s="5"/>
      <c r="XK725" s="5"/>
      <c r="XL725" s="5"/>
      <c r="XM725" s="5"/>
      <c r="XN725" s="5"/>
      <c r="XO725" s="5"/>
      <c r="XP725" s="5"/>
      <c r="XQ725" s="5"/>
      <c r="XR725" s="5"/>
      <c r="XS725" s="5"/>
      <c r="XT725" s="5"/>
      <c r="XU725" s="5"/>
      <c r="XV725" s="5"/>
      <c r="XW725" s="5"/>
      <c r="XX725" s="5"/>
      <c r="XY725" s="5"/>
      <c r="XZ725" s="5"/>
      <c r="YA725" s="5"/>
      <c r="YB725" s="5"/>
      <c r="YC725" s="5"/>
      <c r="YD725" s="5"/>
      <c r="YE725" s="5"/>
      <c r="YF725" s="5"/>
      <c r="YG725" s="5"/>
      <c r="YH725" s="5"/>
      <c r="YI725" s="5"/>
      <c r="YJ725" s="5"/>
      <c r="YK725" s="5"/>
      <c r="YL725" s="5"/>
      <c r="YM725" s="5"/>
      <c r="YN725" s="5"/>
      <c r="YO725" s="5"/>
      <c r="YP725" s="5"/>
      <c r="YQ725" s="5"/>
      <c r="YR725" s="5"/>
      <c r="YS725" s="5"/>
      <c r="YT725" s="5"/>
      <c r="YU725" s="5"/>
      <c r="YV725" s="5"/>
      <c r="YW725" s="5"/>
      <c r="YX725" s="5"/>
      <c r="YY725" s="5"/>
      <c r="YZ725" s="5"/>
      <c r="ZA725" s="5"/>
      <c r="ZB725" s="5"/>
      <c r="ZC725" s="5"/>
      <c r="ZD725" s="5"/>
      <c r="ZE725" s="5"/>
      <c r="ZF725" s="5"/>
      <c r="ZG725" s="5"/>
      <c r="ZH725" s="5"/>
      <c r="ZI725" s="5"/>
      <c r="ZJ725" s="5"/>
      <c r="ZK725" s="5"/>
      <c r="ZL725" s="5"/>
      <c r="ZM725" s="5"/>
      <c r="ZN725" s="5"/>
      <c r="ZO725" s="5"/>
      <c r="ZP725" s="5"/>
      <c r="ZQ725" s="5"/>
      <c r="ZR725" s="5"/>
      <c r="ZS725" s="5"/>
      <c r="ZT725" s="5"/>
      <c r="ZU725" s="5"/>
      <c r="ZV725" s="5"/>
      <c r="ZW725" s="5"/>
      <c r="ZX725" s="5"/>
      <c r="ZY725" s="5"/>
      <c r="ZZ725" s="5"/>
      <c r="AAA725" s="5"/>
      <c r="AAB725" s="5"/>
      <c r="AAC725" s="5"/>
      <c r="AAD725" s="5"/>
      <c r="AAE725" s="5"/>
      <c r="AAF725" s="5"/>
      <c r="AAG725" s="5"/>
      <c r="AAH725" s="5"/>
      <c r="AAI725" s="5"/>
      <c r="AAJ725" s="5"/>
      <c r="AAK725" s="5"/>
      <c r="AAL725" s="5"/>
      <c r="AAM725" s="5"/>
      <c r="AAN725" s="5"/>
      <c r="AAO725" s="5"/>
      <c r="AAP725" s="5"/>
      <c r="AAQ725" s="5"/>
      <c r="AAR725" s="5"/>
      <c r="AAS725" s="5"/>
      <c r="AAT725" s="5"/>
      <c r="AAU725" s="5"/>
      <c r="AAV725" s="5"/>
      <c r="AAW725" s="5"/>
      <c r="AAX725" s="5"/>
      <c r="AAY725" s="5"/>
      <c r="AAZ725" s="5"/>
      <c r="ABA725" s="5"/>
      <c r="ABB725" s="5"/>
      <c r="ABC725" s="5"/>
      <c r="ABD725" s="5"/>
      <c r="ABE725" s="5"/>
      <c r="ABF725" s="5"/>
      <c r="ABG725" s="5"/>
      <c r="ABH725" s="5"/>
      <c r="ABI725" s="5"/>
      <c r="ABJ725" s="5"/>
      <c r="ABK725" s="5"/>
      <c r="ABL725" s="5"/>
      <c r="ABM725" s="5"/>
      <c r="ABN725" s="5"/>
      <c r="ABO725" s="5"/>
      <c r="ABP725" s="5"/>
      <c r="ABQ725" s="5"/>
      <c r="ABR725" s="5"/>
      <c r="ABS725" s="5"/>
      <c r="ABT725" s="5"/>
      <c r="ABU725" s="5"/>
      <c r="ABV725" s="5"/>
      <c r="ABW725" s="5"/>
      <c r="ABX725" s="5"/>
      <c r="ABY725" s="5"/>
      <c r="ABZ725" s="5"/>
      <c r="ACA725" s="5"/>
      <c r="ACB725" s="5"/>
      <c r="ACC725" s="5"/>
      <c r="ACD725" s="5"/>
      <c r="ACE725" s="5"/>
      <c r="ACF725" s="5"/>
      <c r="ACG725" s="5"/>
      <c r="ACH725" s="5"/>
      <c r="ACI725" s="5"/>
      <c r="ACJ725" s="5"/>
      <c r="ACK725" s="5"/>
      <c r="ACL725" s="5"/>
      <c r="ACM725" s="5"/>
      <c r="ACN725" s="5"/>
      <c r="ACO725" s="5"/>
      <c r="ACP725" s="5"/>
      <c r="ACQ725" s="5"/>
      <c r="ACR725" s="5"/>
      <c r="ACS725" s="5"/>
      <c r="ACT725" s="5"/>
      <c r="ACU725" s="5"/>
      <c r="ACV725" s="5"/>
      <c r="ACW725" s="5"/>
      <c r="ACX725" s="5"/>
      <c r="ACY725" s="5"/>
      <c r="ACZ725" s="5"/>
      <c r="ADA725" s="5"/>
      <c r="ADB725" s="5"/>
      <c r="ADC725" s="5"/>
      <c r="ADD725" s="5"/>
      <c r="ADE725" s="5"/>
      <c r="ADF725" s="5"/>
      <c r="ADG725" s="5"/>
      <c r="ADH725" s="5"/>
      <c r="ADI725" s="5"/>
      <c r="ADJ725" s="5"/>
      <c r="ADK725" s="5"/>
      <c r="ADL725" s="5"/>
      <c r="ADM725" s="5"/>
      <c r="ADN725" s="5"/>
      <c r="ADO725" s="5"/>
      <c r="ADP725" s="5"/>
      <c r="ADQ725" s="5"/>
      <c r="ADR725" s="5"/>
      <c r="ADS725" s="5"/>
      <c r="ADT725" s="5"/>
      <c r="ADU725" s="5"/>
      <c r="ADV725" s="5"/>
      <c r="ADW725" s="5"/>
      <c r="ADX725" s="5"/>
      <c r="ADY725" s="5"/>
      <c r="ADZ725" s="5"/>
      <c r="AEA725" s="5"/>
      <c r="AEB725" s="5"/>
      <c r="AEC725" s="5"/>
      <c r="AED725" s="5"/>
      <c r="AEE725" s="5"/>
      <c r="AEF725" s="5"/>
      <c r="AEG725" s="5"/>
      <c r="AEH725" s="5"/>
      <c r="AEI725" s="5"/>
      <c r="AEJ725" s="5"/>
      <c r="AEK725" s="5"/>
      <c r="AEL725" s="5"/>
      <c r="AEM725" s="5"/>
      <c r="AEN725" s="5"/>
      <c r="AEO725" s="5"/>
      <c r="AEP725" s="5"/>
      <c r="AEQ725" s="5"/>
      <c r="AER725" s="5"/>
      <c r="AES725" s="5"/>
      <c r="AET725" s="5"/>
      <c r="AEU725" s="5"/>
      <c r="AEV725" s="5"/>
      <c r="AEW725" s="5"/>
      <c r="AEX725" s="5"/>
      <c r="AEY725" s="5"/>
      <c r="AEZ725" s="5"/>
      <c r="AFA725" s="5"/>
      <c r="AFB725" s="5"/>
      <c r="AFC725" s="5"/>
      <c r="AFD725" s="5"/>
      <c r="AFE725" s="5"/>
      <c r="AFF725" s="5"/>
      <c r="AFG725" s="5"/>
      <c r="AFH725" s="5"/>
      <c r="AFI725" s="5"/>
      <c r="AFJ725" s="5"/>
      <c r="AFK725" s="5"/>
      <c r="AFL725" s="5"/>
      <c r="AFM725" s="5"/>
      <c r="AFN725" s="5"/>
      <c r="AFO725" s="5"/>
      <c r="AFP725" s="5"/>
      <c r="AFQ725" s="5"/>
      <c r="AFR725" s="5"/>
      <c r="AFS725" s="5"/>
      <c r="AFT725" s="5"/>
      <c r="AFU725" s="5"/>
      <c r="AFV725" s="5"/>
      <c r="AFW725" s="5"/>
      <c r="AFX725" s="5"/>
      <c r="AFY725" s="5"/>
      <c r="AFZ725" s="5"/>
      <c r="AGA725" s="5"/>
      <c r="AGB725" s="5"/>
      <c r="AGC725" s="5"/>
      <c r="AGD725" s="5"/>
      <c r="AGE725" s="5"/>
      <c r="AGF725" s="5"/>
      <c r="AGG725" s="5"/>
      <c r="AGH725" s="5"/>
      <c r="AGI725" s="5"/>
      <c r="AGJ725" s="5"/>
      <c r="AGK725" s="5"/>
      <c r="AGL725" s="5"/>
      <c r="AGM725" s="5"/>
      <c r="AGN725" s="5"/>
      <c r="AGO725" s="5"/>
      <c r="AGP725" s="5"/>
      <c r="AGQ725" s="5"/>
      <c r="AGR725" s="5"/>
      <c r="AGS725" s="5"/>
      <c r="AGT725" s="5"/>
      <c r="AGU725" s="5"/>
      <c r="AGV725" s="5"/>
      <c r="AGW725" s="5"/>
      <c r="AGX725" s="5"/>
      <c r="AGY725" s="5"/>
      <c r="AGZ725" s="5"/>
      <c r="AHA725" s="5"/>
      <c r="AHB725" s="5"/>
      <c r="AHC725" s="5"/>
      <c r="AHD725" s="5"/>
      <c r="AHE725" s="5"/>
      <c r="AHF725" s="5"/>
      <c r="AHG725" s="5"/>
      <c r="AHH725" s="5"/>
      <c r="AHI725" s="5"/>
      <c r="AHJ725" s="5"/>
      <c r="AHK725" s="5"/>
      <c r="AHL725" s="5"/>
      <c r="AHM725" s="5"/>
      <c r="AHN725" s="5"/>
      <c r="AHO725" s="5"/>
      <c r="AHP725" s="5"/>
      <c r="AHQ725" s="5"/>
      <c r="AHR725" s="5"/>
      <c r="AHS725" s="5"/>
      <c r="AHT725" s="5"/>
      <c r="AHU725" s="5"/>
      <c r="AHV725" s="5"/>
      <c r="AHW725" s="5"/>
      <c r="AHX725" s="5"/>
      <c r="AHY725" s="5"/>
      <c r="AHZ725" s="5"/>
      <c r="AIA725" s="5"/>
      <c r="AIB725" s="5"/>
      <c r="AIC725" s="5"/>
      <c r="AID725" s="5"/>
      <c r="AIE725" s="5"/>
      <c r="AIF725" s="5"/>
      <c r="AIG725" s="5"/>
      <c r="AIH725" s="5"/>
      <c r="AII725" s="5"/>
      <c r="AIJ725" s="5"/>
      <c r="AIK725" s="5"/>
      <c r="AIL725" s="5"/>
      <c r="AIM725" s="5"/>
      <c r="AIN725" s="5"/>
      <c r="AIO725" s="5"/>
      <c r="AIP725" s="5"/>
      <c r="AIQ725" s="5"/>
      <c r="AIR725" s="5"/>
      <c r="AIS725" s="5"/>
      <c r="AIT725" s="5"/>
      <c r="AIU725" s="5"/>
      <c r="AIV725" s="5"/>
      <c r="AIW725" s="5"/>
      <c r="AIX725" s="5"/>
      <c r="AIY725" s="5"/>
      <c r="AIZ725" s="5"/>
      <c r="AJA725" s="5"/>
      <c r="AJB725" s="5"/>
      <c r="AJC725" s="5"/>
      <c r="AJD725" s="5"/>
      <c r="AJE725" s="5"/>
      <c r="AJF725" s="5"/>
      <c r="AJG725" s="5"/>
      <c r="AJH725" s="5"/>
      <c r="AJI725" s="5"/>
      <c r="AJJ725" s="5"/>
      <c r="AJK725" s="5"/>
      <c r="AJL725" s="5"/>
      <c r="AJM725" s="5"/>
      <c r="AJN725" s="5"/>
      <c r="AJO725" s="5"/>
      <c r="AJP725" s="5"/>
      <c r="AJQ725" s="5"/>
      <c r="AJR725" s="5"/>
      <c r="AJS725" s="5"/>
      <c r="AJT725" s="5"/>
      <c r="AJU725" s="5"/>
      <c r="AJV725" s="5"/>
      <c r="AJW725" s="5"/>
      <c r="AJX725" s="5"/>
      <c r="AJY725" s="5"/>
      <c r="AJZ725" s="5"/>
      <c r="AKA725" s="5"/>
      <c r="AKB725" s="5"/>
      <c r="AKC725" s="5"/>
      <c r="AKD725" s="5"/>
      <c r="AKE725" s="5"/>
      <c r="AKF725" s="5"/>
      <c r="AKG725" s="5"/>
      <c r="AKH725" s="5"/>
      <c r="AKI725" s="5"/>
      <c r="AKJ725" s="5"/>
      <c r="AKK725" s="5"/>
      <c r="AKL725" s="5"/>
      <c r="AKM725" s="5"/>
      <c r="AKN725" s="5"/>
      <c r="AKO725" s="5"/>
      <c r="AKP725" s="5"/>
      <c r="AKQ725" s="5"/>
      <c r="AKR725" s="5"/>
      <c r="AKS725" s="5"/>
      <c r="AKT725" s="5"/>
      <c r="AKU725" s="5"/>
      <c r="AKV725" s="5"/>
      <c r="AKW725" s="5"/>
      <c r="AKX725" s="5"/>
      <c r="AKY725" s="5"/>
      <c r="AKZ725" s="5"/>
      <c r="ALA725" s="5"/>
      <c r="ALB725" s="5"/>
      <c r="ALC725" s="5"/>
      <c r="ALD725" s="5"/>
      <c r="ALE725" s="5"/>
      <c r="ALF725" s="5"/>
      <c r="ALG725" s="5"/>
      <c r="ALH725" s="5"/>
      <c r="ALI725" s="5"/>
      <c r="ALJ725" s="5"/>
      <c r="ALK725" s="5"/>
      <c r="ALL725" s="5"/>
      <c r="ALM725" s="5"/>
      <c r="ALN725" s="5"/>
      <c r="ALO725" s="5"/>
      <c r="ALP725" s="5"/>
      <c r="ALQ725" s="5"/>
      <c r="ALR725" s="5"/>
      <c r="ALS725" s="5"/>
      <c r="ALT725" s="5"/>
      <c r="ALU725" s="5"/>
      <c r="ALV725" s="5"/>
      <c r="ALW725" s="5"/>
      <c r="ALX725" s="5"/>
      <c r="ALY725" s="5"/>
      <c r="ALZ725" s="5"/>
      <c r="AMA725" s="5"/>
      <c r="AMB725" s="5"/>
      <c r="AMC725" s="5"/>
      <c r="AMD725" s="5"/>
      <c r="AME725" s="5"/>
      <c r="AMF725" s="5"/>
      <c r="AMG725" s="5"/>
      <c r="AMH725" s="5"/>
      <c r="AMI725" s="5"/>
      <c r="AMJ725" s="5"/>
      <c r="AMK725" s="5"/>
      <c r="AML725" s="5"/>
      <c r="AMM725" s="5"/>
      <c r="AMN725" s="5"/>
      <c r="AMO725" s="5"/>
      <c r="AMP725" s="5"/>
      <c r="AMQ725" s="5"/>
      <c r="AMR725" s="5"/>
      <c r="AMS725" s="5"/>
      <c r="AMT725" s="5"/>
      <c r="AMU725" s="5"/>
      <c r="AMV725" s="5"/>
      <c r="AMW725" s="5"/>
      <c r="AMX725" s="5"/>
      <c r="AMY725" s="5"/>
      <c r="AMZ725" s="5"/>
      <c r="ANA725" s="5"/>
      <c r="ANB725" s="5"/>
      <c r="ANC725" s="5"/>
      <c r="AND725" s="5"/>
      <c r="ANE725" s="5"/>
      <c r="ANF725" s="5"/>
      <c r="ANG725" s="5"/>
      <c r="ANH725" s="5"/>
      <c r="ANI725" s="5"/>
      <c r="ANJ725" s="5"/>
      <c r="ANK725" s="5"/>
      <c r="ANL725" s="5"/>
      <c r="ANM725" s="5"/>
      <c r="ANN725" s="5"/>
      <c r="ANO725" s="5"/>
      <c r="ANP725" s="5"/>
      <c r="ANQ725" s="5"/>
      <c r="ANR725" s="5"/>
      <c r="ANS725" s="5"/>
      <c r="ANT725" s="5"/>
      <c r="ANU725" s="5"/>
      <c r="ANV725" s="5"/>
      <c r="ANW725" s="5"/>
      <c r="ANX725" s="5"/>
      <c r="ANY725" s="5"/>
      <c r="ANZ725" s="5"/>
      <c r="AOA725" s="5"/>
      <c r="AOB725" s="5"/>
      <c r="AOC725" s="5"/>
      <c r="AOD725" s="5"/>
      <c r="AOE725" s="5"/>
      <c r="AOF725" s="5"/>
      <c r="AOG725" s="5"/>
      <c r="AOH725" s="5"/>
      <c r="AOI725" s="5"/>
      <c r="AOJ725" s="5"/>
      <c r="AOK725" s="5"/>
      <c r="AOL725" s="5"/>
      <c r="AOM725" s="5"/>
      <c r="AON725" s="5"/>
      <c r="AOO725" s="5"/>
      <c r="AOP725" s="5"/>
      <c r="AOQ725" s="5"/>
      <c r="AOR725" s="5"/>
      <c r="AOS725" s="5"/>
      <c r="AOT725" s="5"/>
      <c r="AOU725" s="5"/>
      <c r="AOV725" s="5"/>
      <c r="AOW725" s="5"/>
      <c r="AOX725" s="5"/>
      <c r="AOY725" s="5"/>
      <c r="AOZ725" s="5"/>
      <c r="APA725" s="5"/>
      <c r="APB725" s="5"/>
      <c r="APC725" s="5"/>
      <c r="APD725" s="5"/>
      <c r="APE725" s="5"/>
      <c r="APF725" s="5"/>
      <c r="APG725" s="5"/>
      <c r="APH725" s="5"/>
      <c r="API725" s="5"/>
      <c r="APJ725" s="5"/>
      <c r="APK725" s="5"/>
      <c r="APL725" s="5"/>
      <c r="APM725" s="5"/>
      <c r="APN725" s="5"/>
      <c r="APO725" s="5"/>
      <c r="APP725" s="5"/>
      <c r="APQ725" s="5"/>
      <c r="APR725" s="5"/>
      <c r="APS725" s="5"/>
      <c r="APT725" s="5"/>
      <c r="APU725" s="5"/>
      <c r="APV725" s="5"/>
      <c r="APW725" s="5"/>
      <c r="APX725" s="5"/>
      <c r="APY725" s="5"/>
      <c r="APZ725" s="5"/>
      <c r="AQA725" s="5"/>
      <c r="AQB725" s="5"/>
      <c r="AQC725" s="5"/>
      <c r="AQD725" s="5"/>
      <c r="AQE725" s="5"/>
      <c r="AQF725" s="5"/>
      <c r="AQG725" s="5"/>
      <c r="AQH725" s="5"/>
      <c r="AQI725" s="5"/>
      <c r="AQJ725" s="5"/>
      <c r="AQK725" s="5"/>
      <c r="AQL725" s="5"/>
      <c r="AQM725" s="5"/>
      <c r="AQN725" s="5"/>
      <c r="AQO725" s="5"/>
      <c r="AQP725" s="5"/>
      <c r="AQQ725" s="5"/>
      <c r="AQR725" s="5"/>
      <c r="AQS725" s="5"/>
      <c r="AQT725" s="5"/>
      <c r="AQU725" s="5"/>
      <c r="AQV725" s="5"/>
      <c r="AQW725" s="5"/>
      <c r="AQX725" s="5"/>
      <c r="AQY725" s="5"/>
      <c r="AQZ725" s="5"/>
      <c r="ARA725" s="5"/>
      <c r="ARB725" s="5"/>
      <c r="ARC725" s="5"/>
      <c r="ARD725" s="5"/>
      <c r="ARE725" s="5"/>
      <c r="ARF725" s="5"/>
      <c r="ARG725" s="5"/>
      <c r="ARH725" s="5"/>
      <c r="ARI725" s="5"/>
      <c r="ARJ725" s="5"/>
      <c r="ARK725" s="5"/>
      <c r="ARL725" s="5"/>
      <c r="ARM725" s="5"/>
      <c r="ARN725" s="5"/>
      <c r="ARO725" s="5"/>
      <c r="ARP725" s="5"/>
      <c r="ARQ725" s="5"/>
      <c r="ARR725" s="5"/>
      <c r="ARS725" s="5"/>
      <c r="ART725" s="5"/>
      <c r="ARU725" s="5"/>
      <c r="ARV725" s="5"/>
      <c r="ARW725" s="5"/>
      <c r="ARX725" s="5"/>
      <c r="ARY725" s="5"/>
      <c r="ARZ725" s="5"/>
      <c r="ASA725" s="5"/>
      <c r="ASB725" s="5"/>
      <c r="ASC725" s="5"/>
      <c r="ASD725" s="5"/>
      <c r="ASE725" s="5"/>
      <c r="ASF725" s="5"/>
      <c r="ASG725" s="5"/>
      <c r="ASH725" s="5"/>
      <c r="ASI725" s="5"/>
      <c r="ASJ725" s="5"/>
      <c r="ASK725" s="5"/>
      <c r="ASL725" s="5"/>
      <c r="ASM725" s="5"/>
      <c r="ASN725" s="5"/>
      <c r="ASO725" s="5"/>
      <c r="ASP725" s="5"/>
      <c r="ASQ725" s="5"/>
      <c r="ASR725" s="5"/>
      <c r="ASS725" s="5"/>
      <c r="AST725" s="5"/>
      <c r="ASU725" s="5"/>
      <c r="ASV725" s="5"/>
      <c r="ASW725" s="5"/>
      <c r="ASX725" s="5"/>
      <c r="ASY725" s="5"/>
      <c r="ASZ725" s="5"/>
      <c r="ATA725" s="5"/>
      <c r="ATB725" s="5"/>
      <c r="ATC725" s="5"/>
      <c r="ATD725" s="5"/>
      <c r="ATE725" s="5"/>
      <c r="ATF725" s="5"/>
      <c r="ATG725" s="5"/>
      <c r="ATH725" s="5"/>
      <c r="ATI725" s="5"/>
      <c r="ATJ725" s="5"/>
      <c r="ATK725" s="5"/>
      <c r="ATL725" s="5"/>
      <c r="ATM725" s="5"/>
      <c r="ATN725" s="5"/>
      <c r="ATO725" s="5"/>
      <c r="ATP725" s="5"/>
      <c r="ATQ725" s="5"/>
      <c r="ATR725" s="5"/>
      <c r="ATS725" s="5"/>
      <c r="ATT725" s="5"/>
      <c r="ATU725" s="5"/>
      <c r="ATV725" s="5"/>
      <c r="ATW725" s="5"/>
      <c r="ATX725" s="5"/>
    </row>
    <row r="726" spans="1:1220" s="67" customFormat="1" ht="12.75" customHeight="1" x14ac:dyDescent="0.35">
      <c r="A726" s="76" t="s">
        <v>229</v>
      </c>
      <c r="B726" s="99" t="s">
        <v>312</v>
      </c>
      <c r="C726" s="76" t="s">
        <v>2626</v>
      </c>
      <c r="D726" s="142" t="s">
        <v>2626</v>
      </c>
      <c r="E726" s="76"/>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c r="DW726" s="5"/>
      <c r="DX726" s="5"/>
      <c r="DY726" s="5"/>
      <c r="DZ726" s="5"/>
      <c r="EA726" s="5"/>
      <c r="EB726" s="5"/>
      <c r="EC726" s="5"/>
      <c r="ED726" s="5"/>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s="5"/>
      <c r="FG726" s="5"/>
      <c r="FH726" s="5"/>
      <c r="FI726" s="5"/>
      <c r="FJ726" s="5"/>
      <c r="FK726" s="5"/>
      <c r="FL726" s="5"/>
      <c r="FM726" s="5"/>
      <c r="FN726" s="5"/>
      <c r="FO726" s="5"/>
      <c r="FP726" s="5"/>
      <c r="FQ726" s="5"/>
      <c r="FR726" s="5"/>
      <c r="FS726" s="5"/>
      <c r="FT726" s="5"/>
      <c r="FU726" s="5"/>
      <c r="FV726" s="5"/>
      <c r="FW726" s="5"/>
      <c r="FX726" s="5"/>
      <c r="FY726" s="5"/>
      <c r="FZ726" s="5"/>
      <c r="GA726" s="5"/>
      <c r="GB726" s="5"/>
      <c r="GC726" s="5"/>
      <c r="GD726" s="5"/>
      <c r="GE726" s="5"/>
      <c r="GF726" s="5"/>
      <c r="GG726" s="5"/>
      <c r="GH726" s="5"/>
      <c r="GI726" s="5"/>
      <c r="GJ726" s="5"/>
      <c r="GK726" s="5"/>
      <c r="GL726" s="5"/>
      <c r="GM726" s="5"/>
      <c r="GN726" s="5"/>
      <c r="GO726" s="5"/>
      <c r="GP726" s="5"/>
      <c r="GQ726" s="5"/>
      <c r="GR726" s="5"/>
      <c r="GS726" s="5"/>
      <c r="GT726" s="5"/>
      <c r="GU726" s="5"/>
      <c r="GV726" s="5"/>
      <c r="GW726" s="5"/>
      <c r="GX726" s="5"/>
      <c r="GY726" s="5"/>
      <c r="GZ726" s="5"/>
      <c r="HA726" s="5"/>
      <c r="HB726" s="5"/>
      <c r="HC726" s="5"/>
      <c r="HD726" s="5"/>
      <c r="HE726" s="5"/>
      <c r="HF726" s="5"/>
      <c r="HG726" s="5"/>
      <c r="HH726" s="5"/>
      <c r="HI726" s="5"/>
      <c r="HJ726" s="5"/>
      <c r="HK726" s="5"/>
      <c r="HL726" s="5"/>
      <c r="HM726" s="5"/>
      <c r="HN726" s="5"/>
      <c r="HO726" s="5"/>
      <c r="HP726" s="5"/>
      <c r="HQ726" s="5"/>
      <c r="HR726" s="5"/>
      <c r="HS726" s="5"/>
      <c r="HT726" s="5"/>
      <c r="HU726" s="5"/>
      <c r="HV726" s="5"/>
      <c r="HW726" s="5"/>
      <c r="HX726" s="5"/>
      <c r="HY726" s="5"/>
      <c r="HZ726" s="5"/>
      <c r="IA726" s="5"/>
      <c r="IB726" s="5"/>
      <c r="IC726" s="5"/>
      <c r="ID726" s="5"/>
      <c r="IE726" s="5"/>
      <c r="IF726" s="5"/>
      <c r="IG726" s="5"/>
      <c r="IH726" s="5"/>
      <c r="II726" s="5"/>
      <c r="IJ726" s="5"/>
      <c r="IK726" s="5"/>
      <c r="IL726" s="5"/>
      <c r="IM726" s="5"/>
      <c r="IN726" s="5"/>
      <c r="IO726" s="5"/>
      <c r="IP726" s="5"/>
      <c r="IQ726" s="5"/>
      <c r="IR726" s="5"/>
      <c r="IS726" s="5"/>
      <c r="IT726" s="5"/>
      <c r="IU726" s="5"/>
      <c r="IV726" s="5"/>
      <c r="IW726" s="5"/>
      <c r="IX726" s="5"/>
      <c r="IY726" s="5"/>
      <c r="IZ726" s="5"/>
      <c r="JA726" s="5"/>
      <c r="JB726" s="5"/>
      <c r="JC726" s="5"/>
      <c r="JD726" s="5"/>
      <c r="JE726" s="5"/>
      <c r="JF726" s="5"/>
      <c r="JG726" s="5"/>
      <c r="JH726" s="5"/>
      <c r="JI726" s="5"/>
      <c r="JJ726" s="5"/>
      <c r="JK726" s="5"/>
      <c r="JL726" s="5"/>
      <c r="JM726" s="5"/>
      <c r="JN726" s="5"/>
      <c r="JO726" s="5"/>
      <c r="JP726" s="5"/>
      <c r="JQ726" s="5"/>
      <c r="JR726" s="5"/>
      <c r="JS726" s="5"/>
      <c r="JT726" s="5"/>
      <c r="JU726" s="5"/>
      <c r="JV726" s="5"/>
      <c r="JW726" s="5"/>
      <c r="JX726" s="5"/>
      <c r="JY726" s="5"/>
      <c r="JZ726" s="5"/>
      <c r="KA726" s="5"/>
      <c r="KB726" s="5"/>
      <c r="KC726" s="5"/>
      <c r="KD726" s="5"/>
      <c r="KE726" s="5"/>
      <c r="KF726" s="5"/>
      <c r="KG726" s="5"/>
      <c r="KH726" s="5"/>
      <c r="KI726" s="5"/>
      <c r="KJ726" s="5"/>
      <c r="KK726" s="5"/>
      <c r="KL726" s="5"/>
      <c r="KM726" s="5"/>
      <c r="KN726" s="5"/>
      <c r="KO726" s="5"/>
      <c r="KP726" s="5"/>
      <c r="KQ726" s="5"/>
      <c r="KR726" s="5"/>
      <c r="KS726" s="5"/>
      <c r="KT726" s="5"/>
      <c r="KU726" s="5"/>
      <c r="KV726" s="5"/>
      <c r="KW726" s="5"/>
      <c r="KX726" s="5"/>
      <c r="KY726" s="5"/>
      <c r="KZ726" s="5"/>
      <c r="LA726" s="5"/>
      <c r="LB726" s="5"/>
      <c r="LC726" s="5"/>
      <c r="LD726" s="5"/>
      <c r="LE726" s="5"/>
      <c r="LF726" s="5"/>
      <c r="LG726" s="5"/>
      <c r="LH726" s="5"/>
      <c r="LI726" s="5"/>
      <c r="LJ726" s="5"/>
      <c r="LK726" s="5"/>
      <c r="LL726" s="5"/>
      <c r="LM726" s="5"/>
      <c r="LN726" s="5"/>
      <c r="LO726" s="5"/>
      <c r="LP726" s="5"/>
      <c r="LQ726" s="5"/>
      <c r="LR726" s="5"/>
      <c r="LS726" s="5"/>
      <c r="LT726" s="5"/>
      <c r="LU726" s="5"/>
      <c r="LV726" s="5"/>
      <c r="LW726" s="5"/>
      <c r="LX726" s="5"/>
      <c r="LY726" s="5"/>
      <c r="LZ726" s="5"/>
      <c r="MA726" s="5"/>
      <c r="MB726" s="5"/>
      <c r="MC726" s="5"/>
      <c r="MD726" s="5"/>
      <c r="ME726" s="5"/>
      <c r="MF726" s="5"/>
      <c r="MG726" s="5"/>
      <c r="MH726" s="5"/>
      <c r="MI726" s="5"/>
      <c r="MJ726" s="5"/>
      <c r="MK726" s="5"/>
      <c r="ML726" s="5"/>
      <c r="MM726" s="5"/>
      <c r="MN726" s="5"/>
      <c r="MO726" s="5"/>
      <c r="MP726" s="5"/>
      <c r="MQ726" s="5"/>
      <c r="MR726" s="5"/>
      <c r="MS726" s="5"/>
      <c r="MT726" s="5"/>
      <c r="MU726" s="5"/>
      <c r="MV726" s="5"/>
      <c r="MW726" s="5"/>
      <c r="MX726" s="5"/>
      <c r="MY726" s="5"/>
      <c r="MZ726" s="5"/>
      <c r="NA726" s="5"/>
      <c r="NB726" s="5"/>
      <c r="NC726" s="5"/>
      <c r="ND726" s="5"/>
      <c r="NE726" s="5"/>
      <c r="NF726" s="5"/>
      <c r="NG726" s="5"/>
      <c r="NH726" s="5"/>
      <c r="NI726" s="5"/>
      <c r="NJ726" s="5"/>
      <c r="NK726" s="5"/>
      <c r="NL726" s="5"/>
      <c r="NM726" s="5"/>
      <c r="NN726" s="5"/>
      <c r="NO726" s="5"/>
      <c r="NP726" s="5"/>
      <c r="NQ726" s="5"/>
      <c r="NR726" s="5"/>
      <c r="NS726" s="5"/>
      <c r="NT726" s="5"/>
      <c r="NU726" s="5"/>
      <c r="NV726" s="5"/>
      <c r="NW726" s="5"/>
      <c r="NX726" s="5"/>
      <c r="NY726" s="5"/>
      <c r="NZ726" s="5"/>
      <c r="OA726" s="5"/>
      <c r="OB726" s="5"/>
      <c r="OC726" s="5"/>
      <c r="OD726" s="5"/>
      <c r="OE726" s="5"/>
      <c r="OF726" s="5"/>
      <c r="OG726" s="5"/>
      <c r="OH726" s="5"/>
      <c r="OI726" s="5"/>
      <c r="OJ726" s="5"/>
      <c r="OK726" s="5"/>
      <c r="OL726" s="5"/>
      <c r="OM726" s="5"/>
      <c r="ON726" s="5"/>
      <c r="OO726" s="5"/>
      <c r="OP726" s="5"/>
      <c r="OQ726" s="5"/>
      <c r="OR726" s="5"/>
      <c r="OS726" s="5"/>
      <c r="OT726" s="5"/>
      <c r="OU726" s="5"/>
      <c r="OV726" s="5"/>
      <c r="OW726" s="5"/>
      <c r="OX726" s="5"/>
      <c r="OY726" s="5"/>
      <c r="OZ726" s="5"/>
      <c r="PA726" s="5"/>
      <c r="PB726" s="5"/>
      <c r="PC726" s="5"/>
      <c r="PD726" s="5"/>
      <c r="PE726" s="5"/>
      <c r="PF726" s="5"/>
      <c r="PG726" s="5"/>
      <c r="PH726" s="5"/>
      <c r="PI726" s="5"/>
      <c r="PJ726" s="5"/>
      <c r="PK726" s="5"/>
      <c r="PL726" s="5"/>
      <c r="PM726" s="5"/>
      <c r="PN726" s="5"/>
      <c r="PO726" s="5"/>
      <c r="PP726" s="5"/>
      <c r="PQ726" s="5"/>
      <c r="PR726" s="5"/>
      <c r="PS726" s="5"/>
      <c r="PT726" s="5"/>
      <c r="PU726" s="5"/>
      <c r="PV726" s="5"/>
      <c r="PW726" s="5"/>
      <c r="PX726" s="5"/>
      <c r="PY726" s="5"/>
      <c r="PZ726" s="5"/>
      <c r="QA726" s="5"/>
      <c r="QB726" s="5"/>
      <c r="QC726" s="5"/>
      <c r="QD726" s="5"/>
      <c r="QE726" s="5"/>
      <c r="QF726" s="5"/>
      <c r="QG726" s="5"/>
      <c r="QH726" s="5"/>
      <c r="QI726" s="5"/>
      <c r="QJ726" s="5"/>
      <c r="QK726" s="5"/>
      <c r="QL726" s="5"/>
      <c r="QM726" s="5"/>
      <c r="QN726" s="5"/>
      <c r="QO726" s="5"/>
      <c r="QP726" s="5"/>
      <c r="QQ726" s="5"/>
      <c r="QR726" s="5"/>
      <c r="QS726" s="5"/>
      <c r="QT726" s="5"/>
      <c r="QU726" s="5"/>
      <c r="QV726" s="5"/>
      <c r="QW726" s="5"/>
      <c r="QX726" s="5"/>
      <c r="QY726" s="5"/>
      <c r="QZ726" s="5"/>
      <c r="RA726" s="5"/>
      <c r="RB726" s="5"/>
      <c r="RC726" s="5"/>
      <c r="RD726" s="5"/>
      <c r="RE726" s="5"/>
      <c r="RF726" s="5"/>
      <c r="RG726" s="5"/>
      <c r="RH726" s="5"/>
      <c r="RI726" s="5"/>
      <c r="RJ726" s="5"/>
      <c r="RK726" s="5"/>
      <c r="RL726" s="5"/>
      <c r="RM726" s="5"/>
      <c r="RN726" s="5"/>
      <c r="RO726" s="5"/>
      <c r="RP726" s="5"/>
      <c r="RQ726" s="5"/>
      <c r="RR726" s="5"/>
      <c r="RS726" s="5"/>
      <c r="RT726" s="5"/>
      <c r="RU726" s="5"/>
      <c r="RV726" s="5"/>
      <c r="RW726" s="5"/>
      <c r="RX726" s="5"/>
      <c r="RY726" s="5"/>
      <c r="RZ726" s="5"/>
      <c r="SA726" s="5"/>
      <c r="SB726" s="5"/>
      <c r="SC726" s="5"/>
      <c r="SD726" s="5"/>
      <c r="SE726" s="5"/>
      <c r="SF726" s="5"/>
      <c r="SG726" s="5"/>
      <c r="SH726" s="5"/>
      <c r="SI726" s="5"/>
      <c r="SJ726" s="5"/>
      <c r="SK726" s="5"/>
      <c r="SL726" s="5"/>
      <c r="SM726" s="5"/>
      <c r="SN726" s="5"/>
      <c r="SO726" s="5"/>
      <c r="SP726" s="5"/>
      <c r="SQ726" s="5"/>
      <c r="SR726" s="5"/>
      <c r="SS726" s="5"/>
      <c r="ST726" s="5"/>
      <c r="SU726" s="5"/>
      <c r="SV726" s="5"/>
      <c r="SW726" s="5"/>
      <c r="SX726" s="5"/>
      <c r="SY726" s="5"/>
      <c r="SZ726" s="5"/>
      <c r="TA726" s="5"/>
      <c r="TB726" s="5"/>
      <c r="TC726" s="5"/>
      <c r="TD726" s="5"/>
      <c r="TE726" s="5"/>
      <c r="TF726" s="5"/>
      <c r="TG726" s="5"/>
      <c r="TH726" s="5"/>
      <c r="TI726" s="5"/>
      <c r="TJ726" s="5"/>
      <c r="TK726" s="5"/>
      <c r="TL726" s="5"/>
      <c r="TM726" s="5"/>
      <c r="TN726" s="5"/>
      <c r="TO726" s="5"/>
      <c r="TP726" s="5"/>
      <c r="TQ726" s="5"/>
      <c r="TR726" s="5"/>
      <c r="TS726" s="5"/>
      <c r="TT726" s="5"/>
      <c r="TU726" s="5"/>
      <c r="TV726" s="5"/>
      <c r="TW726" s="5"/>
      <c r="TX726" s="5"/>
      <c r="TY726" s="5"/>
      <c r="TZ726" s="5"/>
      <c r="UA726" s="5"/>
      <c r="UB726" s="5"/>
      <c r="UC726" s="5"/>
      <c r="UD726" s="5"/>
      <c r="UE726" s="5"/>
      <c r="UF726" s="5"/>
      <c r="UG726" s="5"/>
      <c r="UH726" s="5"/>
      <c r="UI726" s="5"/>
      <c r="UJ726" s="5"/>
      <c r="UK726" s="5"/>
      <c r="UL726" s="5"/>
      <c r="UM726" s="5"/>
      <c r="UN726" s="5"/>
      <c r="UO726" s="5"/>
      <c r="UP726" s="5"/>
      <c r="UQ726" s="5"/>
      <c r="UR726" s="5"/>
      <c r="US726" s="5"/>
      <c r="UT726" s="5"/>
      <c r="UU726" s="5"/>
      <c r="UV726" s="5"/>
      <c r="UW726" s="5"/>
      <c r="UX726" s="5"/>
      <c r="UY726" s="5"/>
      <c r="UZ726" s="5"/>
      <c r="VA726" s="5"/>
      <c r="VB726" s="5"/>
      <c r="VC726" s="5"/>
      <c r="VD726" s="5"/>
      <c r="VE726" s="5"/>
      <c r="VF726" s="5"/>
      <c r="VG726" s="5"/>
      <c r="VH726" s="5"/>
      <c r="VI726" s="5"/>
      <c r="VJ726" s="5"/>
      <c r="VK726" s="5"/>
      <c r="VL726" s="5"/>
      <c r="VM726" s="5"/>
      <c r="VN726" s="5"/>
      <c r="VO726" s="5"/>
      <c r="VP726" s="5"/>
      <c r="VQ726" s="5"/>
      <c r="VR726" s="5"/>
      <c r="VS726" s="5"/>
      <c r="VT726" s="5"/>
      <c r="VU726" s="5"/>
      <c r="VV726" s="5"/>
      <c r="VW726" s="5"/>
      <c r="VX726" s="5"/>
      <c r="VY726" s="5"/>
      <c r="VZ726" s="5"/>
      <c r="WA726" s="5"/>
      <c r="WB726" s="5"/>
      <c r="WC726" s="5"/>
      <c r="WD726" s="5"/>
      <c r="WE726" s="5"/>
      <c r="WF726" s="5"/>
      <c r="WG726" s="5"/>
      <c r="WH726" s="5"/>
      <c r="WI726" s="5"/>
      <c r="WJ726" s="5"/>
      <c r="WK726" s="5"/>
      <c r="WL726" s="5"/>
      <c r="WM726" s="5"/>
      <c r="WN726" s="5"/>
      <c r="WO726" s="5"/>
      <c r="WP726" s="5"/>
      <c r="WQ726" s="5"/>
      <c r="WR726" s="5"/>
      <c r="WS726" s="5"/>
      <c r="WT726" s="5"/>
      <c r="WU726" s="5"/>
      <c r="WV726" s="5"/>
      <c r="WW726" s="5"/>
      <c r="WX726" s="5"/>
      <c r="WY726" s="5"/>
      <c r="WZ726" s="5"/>
      <c r="XA726" s="5"/>
      <c r="XB726" s="5"/>
      <c r="XC726" s="5"/>
      <c r="XD726" s="5"/>
      <c r="XE726" s="5"/>
      <c r="XF726" s="5"/>
      <c r="XG726" s="5"/>
      <c r="XH726" s="5"/>
      <c r="XI726" s="5"/>
      <c r="XJ726" s="5"/>
      <c r="XK726" s="5"/>
      <c r="XL726" s="5"/>
      <c r="XM726" s="5"/>
      <c r="XN726" s="5"/>
      <c r="XO726" s="5"/>
      <c r="XP726" s="5"/>
      <c r="XQ726" s="5"/>
      <c r="XR726" s="5"/>
      <c r="XS726" s="5"/>
      <c r="XT726" s="5"/>
      <c r="XU726" s="5"/>
      <c r="XV726" s="5"/>
      <c r="XW726" s="5"/>
      <c r="XX726" s="5"/>
      <c r="XY726" s="5"/>
      <c r="XZ726" s="5"/>
      <c r="YA726" s="5"/>
      <c r="YB726" s="5"/>
      <c r="YC726" s="5"/>
      <c r="YD726" s="5"/>
      <c r="YE726" s="5"/>
      <c r="YF726" s="5"/>
      <c r="YG726" s="5"/>
      <c r="YH726" s="5"/>
      <c r="YI726" s="5"/>
      <c r="YJ726" s="5"/>
      <c r="YK726" s="5"/>
      <c r="YL726" s="5"/>
      <c r="YM726" s="5"/>
      <c r="YN726" s="5"/>
      <c r="YO726" s="5"/>
      <c r="YP726" s="5"/>
      <c r="YQ726" s="5"/>
      <c r="YR726" s="5"/>
      <c r="YS726" s="5"/>
      <c r="YT726" s="5"/>
      <c r="YU726" s="5"/>
      <c r="YV726" s="5"/>
      <c r="YW726" s="5"/>
      <c r="YX726" s="5"/>
      <c r="YY726" s="5"/>
      <c r="YZ726" s="5"/>
      <c r="ZA726" s="5"/>
      <c r="ZB726" s="5"/>
      <c r="ZC726" s="5"/>
      <c r="ZD726" s="5"/>
      <c r="ZE726" s="5"/>
      <c r="ZF726" s="5"/>
      <c r="ZG726" s="5"/>
      <c r="ZH726" s="5"/>
      <c r="ZI726" s="5"/>
      <c r="ZJ726" s="5"/>
      <c r="ZK726" s="5"/>
      <c r="ZL726" s="5"/>
      <c r="ZM726" s="5"/>
      <c r="ZN726" s="5"/>
      <c r="ZO726" s="5"/>
      <c r="ZP726" s="5"/>
      <c r="ZQ726" s="5"/>
      <c r="ZR726" s="5"/>
      <c r="ZS726" s="5"/>
      <c r="ZT726" s="5"/>
      <c r="ZU726" s="5"/>
      <c r="ZV726" s="5"/>
      <c r="ZW726" s="5"/>
      <c r="ZX726" s="5"/>
      <c r="ZY726" s="5"/>
      <c r="ZZ726" s="5"/>
      <c r="AAA726" s="5"/>
      <c r="AAB726" s="5"/>
      <c r="AAC726" s="5"/>
      <c r="AAD726" s="5"/>
      <c r="AAE726" s="5"/>
      <c r="AAF726" s="5"/>
      <c r="AAG726" s="5"/>
      <c r="AAH726" s="5"/>
      <c r="AAI726" s="5"/>
      <c r="AAJ726" s="5"/>
      <c r="AAK726" s="5"/>
      <c r="AAL726" s="5"/>
      <c r="AAM726" s="5"/>
      <c r="AAN726" s="5"/>
      <c r="AAO726" s="5"/>
      <c r="AAP726" s="5"/>
      <c r="AAQ726" s="5"/>
      <c r="AAR726" s="5"/>
      <c r="AAS726" s="5"/>
      <c r="AAT726" s="5"/>
      <c r="AAU726" s="5"/>
      <c r="AAV726" s="5"/>
      <c r="AAW726" s="5"/>
      <c r="AAX726" s="5"/>
      <c r="AAY726" s="5"/>
      <c r="AAZ726" s="5"/>
      <c r="ABA726" s="5"/>
      <c r="ABB726" s="5"/>
      <c r="ABC726" s="5"/>
      <c r="ABD726" s="5"/>
      <c r="ABE726" s="5"/>
      <c r="ABF726" s="5"/>
      <c r="ABG726" s="5"/>
      <c r="ABH726" s="5"/>
      <c r="ABI726" s="5"/>
      <c r="ABJ726" s="5"/>
      <c r="ABK726" s="5"/>
      <c r="ABL726" s="5"/>
      <c r="ABM726" s="5"/>
      <c r="ABN726" s="5"/>
      <c r="ABO726" s="5"/>
      <c r="ABP726" s="5"/>
      <c r="ABQ726" s="5"/>
      <c r="ABR726" s="5"/>
      <c r="ABS726" s="5"/>
      <c r="ABT726" s="5"/>
      <c r="ABU726" s="5"/>
      <c r="ABV726" s="5"/>
      <c r="ABW726" s="5"/>
      <c r="ABX726" s="5"/>
      <c r="ABY726" s="5"/>
      <c r="ABZ726" s="5"/>
      <c r="ACA726" s="5"/>
      <c r="ACB726" s="5"/>
      <c r="ACC726" s="5"/>
      <c r="ACD726" s="5"/>
      <c r="ACE726" s="5"/>
      <c r="ACF726" s="5"/>
      <c r="ACG726" s="5"/>
      <c r="ACH726" s="5"/>
      <c r="ACI726" s="5"/>
      <c r="ACJ726" s="5"/>
      <c r="ACK726" s="5"/>
      <c r="ACL726" s="5"/>
      <c r="ACM726" s="5"/>
      <c r="ACN726" s="5"/>
      <c r="ACO726" s="5"/>
      <c r="ACP726" s="5"/>
      <c r="ACQ726" s="5"/>
      <c r="ACR726" s="5"/>
      <c r="ACS726" s="5"/>
      <c r="ACT726" s="5"/>
      <c r="ACU726" s="5"/>
      <c r="ACV726" s="5"/>
      <c r="ACW726" s="5"/>
      <c r="ACX726" s="5"/>
      <c r="ACY726" s="5"/>
      <c r="ACZ726" s="5"/>
      <c r="ADA726" s="5"/>
      <c r="ADB726" s="5"/>
      <c r="ADC726" s="5"/>
      <c r="ADD726" s="5"/>
      <c r="ADE726" s="5"/>
      <c r="ADF726" s="5"/>
      <c r="ADG726" s="5"/>
      <c r="ADH726" s="5"/>
      <c r="ADI726" s="5"/>
      <c r="ADJ726" s="5"/>
      <c r="ADK726" s="5"/>
      <c r="ADL726" s="5"/>
      <c r="ADM726" s="5"/>
      <c r="ADN726" s="5"/>
      <c r="ADO726" s="5"/>
      <c r="ADP726" s="5"/>
      <c r="ADQ726" s="5"/>
      <c r="ADR726" s="5"/>
      <c r="ADS726" s="5"/>
      <c r="ADT726" s="5"/>
      <c r="ADU726" s="5"/>
      <c r="ADV726" s="5"/>
      <c r="ADW726" s="5"/>
      <c r="ADX726" s="5"/>
      <c r="ADY726" s="5"/>
      <c r="ADZ726" s="5"/>
      <c r="AEA726" s="5"/>
      <c r="AEB726" s="5"/>
      <c r="AEC726" s="5"/>
      <c r="AED726" s="5"/>
      <c r="AEE726" s="5"/>
      <c r="AEF726" s="5"/>
      <c r="AEG726" s="5"/>
      <c r="AEH726" s="5"/>
      <c r="AEI726" s="5"/>
      <c r="AEJ726" s="5"/>
      <c r="AEK726" s="5"/>
      <c r="AEL726" s="5"/>
      <c r="AEM726" s="5"/>
      <c r="AEN726" s="5"/>
      <c r="AEO726" s="5"/>
      <c r="AEP726" s="5"/>
      <c r="AEQ726" s="5"/>
      <c r="AER726" s="5"/>
      <c r="AES726" s="5"/>
      <c r="AET726" s="5"/>
      <c r="AEU726" s="5"/>
      <c r="AEV726" s="5"/>
      <c r="AEW726" s="5"/>
      <c r="AEX726" s="5"/>
      <c r="AEY726" s="5"/>
      <c r="AEZ726" s="5"/>
      <c r="AFA726" s="5"/>
      <c r="AFB726" s="5"/>
      <c r="AFC726" s="5"/>
      <c r="AFD726" s="5"/>
      <c r="AFE726" s="5"/>
      <c r="AFF726" s="5"/>
      <c r="AFG726" s="5"/>
      <c r="AFH726" s="5"/>
      <c r="AFI726" s="5"/>
      <c r="AFJ726" s="5"/>
      <c r="AFK726" s="5"/>
      <c r="AFL726" s="5"/>
      <c r="AFM726" s="5"/>
      <c r="AFN726" s="5"/>
      <c r="AFO726" s="5"/>
      <c r="AFP726" s="5"/>
      <c r="AFQ726" s="5"/>
      <c r="AFR726" s="5"/>
      <c r="AFS726" s="5"/>
      <c r="AFT726" s="5"/>
      <c r="AFU726" s="5"/>
      <c r="AFV726" s="5"/>
      <c r="AFW726" s="5"/>
      <c r="AFX726" s="5"/>
      <c r="AFY726" s="5"/>
      <c r="AFZ726" s="5"/>
      <c r="AGA726" s="5"/>
      <c r="AGB726" s="5"/>
      <c r="AGC726" s="5"/>
      <c r="AGD726" s="5"/>
      <c r="AGE726" s="5"/>
      <c r="AGF726" s="5"/>
      <c r="AGG726" s="5"/>
      <c r="AGH726" s="5"/>
      <c r="AGI726" s="5"/>
      <c r="AGJ726" s="5"/>
      <c r="AGK726" s="5"/>
      <c r="AGL726" s="5"/>
      <c r="AGM726" s="5"/>
      <c r="AGN726" s="5"/>
      <c r="AGO726" s="5"/>
      <c r="AGP726" s="5"/>
      <c r="AGQ726" s="5"/>
      <c r="AGR726" s="5"/>
      <c r="AGS726" s="5"/>
      <c r="AGT726" s="5"/>
      <c r="AGU726" s="5"/>
      <c r="AGV726" s="5"/>
      <c r="AGW726" s="5"/>
      <c r="AGX726" s="5"/>
      <c r="AGY726" s="5"/>
      <c r="AGZ726" s="5"/>
      <c r="AHA726" s="5"/>
      <c r="AHB726" s="5"/>
      <c r="AHC726" s="5"/>
      <c r="AHD726" s="5"/>
      <c r="AHE726" s="5"/>
      <c r="AHF726" s="5"/>
      <c r="AHG726" s="5"/>
      <c r="AHH726" s="5"/>
      <c r="AHI726" s="5"/>
      <c r="AHJ726" s="5"/>
      <c r="AHK726" s="5"/>
      <c r="AHL726" s="5"/>
      <c r="AHM726" s="5"/>
      <c r="AHN726" s="5"/>
      <c r="AHO726" s="5"/>
      <c r="AHP726" s="5"/>
      <c r="AHQ726" s="5"/>
      <c r="AHR726" s="5"/>
      <c r="AHS726" s="5"/>
      <c r="AHT726" s="5"/>
      <c r="AHU726" s="5"/>
      <c r="AHV726" s="5"/>
      <c r="AHW726" s="5"/>
      <c r="AHX726" s="5"/>
      <c r="AHY726" s="5"/>
      <c r="AHZ726" s="5"/>
      <c r="AIA726" s="5"/>
      <c r="AIB726" s="5"/>
      <c r="AIC726" s="5"/>
      <c r="AID726" s="5"/>
      <c r="AIE726" s="5"/>
      <c r="AIF726" s="5"/>
      <c r="AIG726" s="5"/>
      <c r="AIH726" s="5"/>
      <c r="AII726" s="5"/>
      <c r="AIJ726" s="5"/>
      <c r="AIK726" s="5"/>
      <c r="AIL726" s="5"/>
      <c r="AIM726" s="5"/>
      <c r="AIN726" s="5"/>
      <c r="AIO726" s="5"/>
      <c r="AIP726" s="5"/>
      <c r="AIQ726" s="5"/>
      <c r="AIR726" s="5"/>
      <c r="AIS726" s="5"/>
      <c r="AIT726" s="5"/>
      <c r="AIU726" s="5"/>
      <c r="AIV726" s="5"/>
      <c r="AIW726" s="5"/>
      <c r="AIX726" s="5"/>
      <c r="AIY726" s="5"/>
      <c r="AIZ726" s="5"/>
      <c r="AJA726" s="5"/>
      <c r="AJB726" s="5"/>
      <c r="AJC726" s="5"/>
      <c r="AJD726" s="5"/>
      <c r="AJE726" s="5"/>
      <c r="AJF726" s="5"/>
      <c r="AJG726" s="5"/>
      <c r="AJH726" s="5"/>
      <c r="AJI726" s="5"/>
      <c r="AJJ726" s="5"/>
      <c r="AJK726" s="5"/>
      <c r="AJL726" s="5"/>
      <c r="AJM726" s="5"/>
      <c r="AJN726" s="5"/>
      <c r="AJO726" s="5"/>
      <c r="AJP726" s="5"/>
      <c r="AJQ726" s="5"/>
      <c r="AJR726" s="5"/>
      <c r="AJS726" s="5"/>
      <c r="AJT726" s="5"/>
      <c r="AJU726" s="5"/>
      <c r="AJV726" s="5"/>
      <c r="AJW726" s="5"/>
      <c r="AJX726" s="5"/>
      <c r="AJY726" s="5"/>
      <c r="AJZ726" s="5"/>
      <c r="AKA726" s="5"/>
      <c r="AKB726" s="5"/>
      <c r="AKC726" s="5"/>
      <c r="AKD726" s="5"/>
      <c r="AKE726" s="5"/>
      <c r="AKF726" s="5"/>
      <c r="AKG726" s="5"/>
      <c r="AKH726" s="5"/>
      <c r="AKI726" s="5"/>
      <c r="AKJ726" s="5"/>
      <c r="AKK726" s="5"/>
      <c r="AKL726" s="5"/>
      <c r="AKM726" s="5"/>
      <c r="AKN726" s="5"/>
      <c r="AKO726" s="5"/>
      <c r="AKP726" s="5"/>
      <c r="AKQ726" s="5"/>
      <c r="AKR726" s="5"/>
      <c r="AKS726" s="5"/>
      <c r="AKT726" s="5"/>
      <c r="AKU726" s="5"/>
      <c r="AKV726" s="5"/>
      <c r="AKW726" s="5"/>
      <c r="AKX726" s="5"/>
      <c r="AKY726" s="5"/>
      <c r="AKZ726" s="5"/>
      <c r="ALA726" s="5"/>
      <c r="ALB726" s="5"/>
      <c r="ALC726" s="5"/>
      <c r="ALD726" s="5"/>
      <c r="ALE726" s="5"/>
      <c r="ALF726" s="5"/>
      <c r="ALG726" s="5"/>
      <c r="ALH726" s="5"/>
      <c r="ALI726" s="5"/>
      <c r="ALJ726" s="5"/>
      <c r="ALK726" s="5"/>
      <c r="ALL726" s="5"/>
      <c r="ALM726" s="5"/>
      <c r="ALN726" s="5"/>
      <c r="ALO726" s="5"/>
      <c r="ALP726" s="5"/>
      <c r="ALQ726" s="5"/>
      <c r="ALR726" s="5"/>
      <c r="ALS726" s="5"/>
      <c r="ALT726" s="5"/>
      <c r="ALU726" s="5"/>
      <c r="ALV726" s="5"/>
      <c r="ALW726" s="5"/>
      <c r="ALX726" s="5"/>
      <c r="ALY726" s="5"/>
      <c r="ALZ726" s="5"/>
      <c r="AMA726" s="5"/>
      <c r="AMB726" s="5"/>
      <c r="AMC726" s="5"/>
      <c r="AMD726" s="5"/>
      <c r="AME726" s="5"/>
      <c r="AMF726" s="5"/>
      <c r="AMG726" s="5"/>
      <c r="AMH726" s="5"/>
      <c r="AMI726" s="5"/>
      <c r="AMJ726" s="5"/>
      <c r="AMK726" s="5"/>
      <c r="AML726" s="5"/>
      <c r="AMM726" s="5"/>
      <c r="AMN726" s="5"/>
      <c r="AMO726" s="5"/>
      <c r="AMP726" s="5"/>
      <c r="AMQ726" s="5"/>
      <c r="AMR726" s="5"/>
      <c r="AMS726" s="5"/>
      <c r="AMT726" s="5"/>
      <c r="AMU726" s="5"/>
      <c r="AMV726" s="5"/>
      <c r="AMW726" s="5"/>
      <c r="AMX726" s="5"/>
      <c r="AMY726" s="5"/>
      <c r="AMZ726" s="5"/>
      <c r="ANA726" s="5"/>
      <c r="ANB726" s="5"/>
      <c r="ANC726" s="5"/>
      <c r="AND726" s="5"/>
      <c r="ANE726" s="5"/>
      <c r="ANF726" s="5"/>
      <c r="ANG726" s="5"/>
      <c r="ANH726" s="5"/>
      <c r="ANI726" s="5"/>
      <c r="ANJ726" s="5"/>
      <c r="ANK726" s="5"/>
      <c r="ANL726" s="5"/>
      <c r="ANM726" s="5"/>
      <c r="ANN726" s="5"/>
      <c r="ANO726" s="5"/>
      <c r="ANP726" s="5"/>
      <c r="ANQ726" s="5"/>
      <c r="ANR726" s="5"/>
      <c r="ANS726" s="5"/>
      <c r="ANT726" s="5"/>
      <c r="ANU726" s="5"/>
      <c r="ANV726" s="5"/>
      <c r="ANW726" s="5"/>
      <c r="ANX726" s="5"/>
      <c r="ANY726" s="5"/>
      <c r="ANZ726" s="5"/>
      <c r="AOA726" s="5"/>
      <c r="AOB726" s="5"/>
      <c r="AOC726" s="5"/>
      <c r="AOD726" s="5"/>
      <c r="AOE726" s="5"/>
      <c r="AOF726" s="5"/>
      <c r="AOG726" s="5"/>
      <c r="AOH726" s="5"/>
      <c r="AOI726" s="5"/>
      <c r="AOJ726" s="5"/>
      <c r="AOK726" s="5"/>
      <c r="AOL726" s="5"/>
      <c r="AOM726" s="5"/>
      <c r="AON726" s="5"/>
      <c r="AOO726" s="5"/>
      <c r="AOP726" s="5"/>
      <c r="AOQ726" s="5"/>
      <c r="AOR726" s="5"/>
      <c r="AOS726" s="5"/>
      <c r="AOT726" s="5"/>
      <c r="AOU726" s="5"/>
      <c r="AOV726" s="5"/>
      <c r="AOW726" s="5"/>
      <c r="AOX726" s="5"/>
      <c r="AOY726" s="5"/>
      <c r="AOZ726" s="5"/>
      <c r="APA726" s="5"/>
      <c r="APB726" s="5"/>
      <c r="APC726" s="5"/>
      <c r="APD726" s="5"/>
      <c r="APE726" s="5"/>
      <c r="APF726" s="5"/>
      <c r="APG726" s="5"/>
      <c r="APH726" s="5"/>
      <c r="API726" s="5"/>
      <c r="APJ726" s="5"/>
      <c r="APK726" s="5"/>
      <c r="APL726" s="5"/>
      <c r="APM726" s="5"/>
      <c r="APN726" s="5"/>
      <c r="APO726" s="5"/>
      <c r="APP726" s="5"/>
      <c r="APQ726" s="5"/>
      <c r="APR726" s="5"/>
      <c r="APS726" s="5"/>
      <c r="APT726" s="5"/>
      <c r="APU726" s="5"/>
      <c r="APV726" s="5"/>
      <c r="APW726" s="5"/>
      <c r="APX726" s="5"/>
      <c r="APY726" s="5"/>
      <c r="APZ726" s="5"/>
      <c r="AQA726" s="5"/>
      <c r="AQB726" s="5"/>
      <c r="AQC726" s="5"/>
      <c r="AQD726" s="5"/>
      <c r="AQE726" s="5"/>
      <c r="AQF726" s="5"/>
      <c r="AQG726" s="5"/>
      <c r="AQH726" s="5"/>
      <c r="AQI726" s="5"/>
      <c r="AQJ726" s="5"/>
      <c r="AQK726" s="5"/>
      <c r="AQL726" s="5"/>
      <c r="AQM726" s="5"/>
      <c r="AQN726" s="5"/>
      <c r="AQO726" s="5"/>
      <c r="AQP726" s="5"/>
      <c r="AQQ726" s="5"/>
      <c r="AQR726" s="5"/>
      <c r="AQS726" s="5"/>
      <c r="AQT726" s="5"/>
      <c r="AQU726" s="5"/>
      <c r="AQV726" s="5"/>
      <c r="AQW726" s="5"/>
      <c r="AQX726" s="5"/>
      <c r="AQY726" s="5"/>
      <c r="AQZ726" s="5"/>
      <c r="ARA726" s="5"/>
      <c r="ARB726" s="5"/>
      <c r="ARC726" s="5"/>
      <c r="ARD726" s="5"/>
      <c r="ARE726" s="5"/>
      <c r="ARF726" s="5"/>
      <c r="ARG726" s="5"/>
      <c r="ARH726" s="5"/>
      <c r="ARI726" s="5"/>
      <c r="ARJ726" s="5"/>
      <c r="ARK726" s="5"/>
      <c r="ARL726" s="5"/>
      <c r="ARM726" s="5"/>
      <c r="ARN726" s="5"/>
      <c r="ARO726" s="5"/>
      <c r="ARP726" s="5"/>
      <c r="ARQ726" s="5"/>
      <c r="ARR726" s="5"/>
      <c r="ARS726" s="5"/>
      <c r="ART726" s="5"/>
      <c r="ARU726" s="5"/>
      <c r="ARV726" s="5"/>
      <c r="ARW726" s="5"/>
      <c r="ARX726" s="5"/>
      <c r="ARY726" s="5"/>
      <c r="ARZ726" s="5"/>
      <c r="ASA726" s="5"/>
      <c r="ASB726" s="5"/>
      <c r="ASC726" s="5"/>
      <c r="ASD726" s="5"/>
      <c r="ASE726" s="5"/>
      <c r="ASF726" s="5"/>
      <c r="ASG726" s="5"/>
      <c r="ASH726" s="5"/>
      <c r="ASI726" s="5"/>
      <c r="ASJ726" s="5"/>
      <c r="ASK726" s="5"/>
      <c r="ASL726" s="5"/>
      <c r="ASM726" s="5"/>
      <c r="ASN726" s="5"/>
      <c r="ASO726" s="5"/>
      <c r="ASP726" s="5"/>
      <c r="ASQ726" s="5"/>
      <c r="ASR726" s="5"/>
      <c r="ASS726" s="5"/>
      <c r="AST726" s="5"/>
      <c r="ASU726" s="5"/>
      <c r="ASV726" s="5"/>
      <c r="ASW726" s="5"/>
      <c r="ASX726" s="5"/>
      <c r="ASY726" s="5"/>
      <c r="ASZ726" s="5"/>
      <c r="ATA726" s="5"/>
      <c r="ATB726" s="5"/>
      <c r="ATC726" s="5"/>
      <c r="ATD726" s="5"/>
      <c r="ATE726" s="5"/>
      <c r="ATF726" s="5"/>
      <c r="ATG726" s="5"/>
      <c r="ATH726" s="5"/>
      <c r="ATI726" s="5"/>
      <c r="ATJ726" s="5"/>
      <c r="ATK726" s="5"/>
      <c r="ATL726" s="5"/>
      <c r="ATM726" s="5"/>
      <c r="ATN726" s="5"/>
      <c r="ATO726" s="5"/>
      <c r="ATP726" s="5"/>
      <c r="ATQ726" s="5"/>
      <c r="ATR726" s="5"/>
      <c r="ATS726" s="5"/>
      <c r="ATT726" s="5"/>
      <c r="ATU726" s="5"/>
      <c r="ATV726" s="5"/>
      <c r="ATW726" s="5"/>
      <c r="ATX726" s="5"/>
    </row>
    <row r="727" spans="1:1220" s="67" customFormat="1" ht="12.75" customHeight="1" x14ac:dyDescent="0.35">
      <c r="A727" s="76" t="s">
        <v>229</v>
      </c>
      <c r="B727" s="99" t="s">
        <v>316</v>
      </c>
      <c r="C727" s="76" t="s">
        <v>2627</v>
      </c>
      <c r="D727" s="142" t="s">
        <v>2627</v>
      </c>
      <c r="E727" s="76"/>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M727" s="5"/>
      <c r="DN727" s="5"/>
      <c r="DO727" s="5"/>
      <c r="DP727" s="5"/>
      <c r="DQ727" s="5"/>
      <c r="DR727" s="5"/>
      <c r="DS727" s="5"/>
      <c r="DT727" s="5"/>
      <c r="DU727" s="5"/>
      <c r="DV727" s="5"/>
      <c r="DW727" s="5"/>
      <c r="DX727" s="5"/>
      <c r="DY727" s="5"/>
      <c r="DZ727" s="5"/>
      <c r="EA727" s="5"/>
      <c r="EB727" s="5"/>
      <c r="EC727" s="5"/>
      <c r="ED727" s="5"/>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s="5"/>
      <c r="FG727" s="5"/>
      <c r="FH727" s="5"/>
      <c r="FI727" s="5"/>
      <c r="FJ727" s="5"/>
      <c r="FK727" s="5"/>
      <c r="FL727" s="5"/>
      <c r="FM727" s="5"/>
      <c r="FN727" s="5"/>
      <c r="FO727" s="5"/>
      <c r="FP727" s="5"/>
      <c r="FQ727" s="5"/>
      <c r="FR727" s="5"/>
      <c r="FS727" s="5"/>
      <c r="FT727" s="5"/>
      <c r="FU727" s="5"/>
      <c r="FV727" s="5"/>
      <c r="FW727" s="5"/>
      <c r="FX727" s="5"/>
      <c r="FY727" s="5"/>
      <c r="FZ727" s="5"/>
      <c r="GA727" s="5"/>
      <c r="GB727" s="5"/>
      <c r="GC727" s="5"/>
      <c r="GD727" s="5"/>
      <c r="GE727" s="5"/>
      <c r="GF727" s="5"/>
      <c r="GG727" s="5"/>
      <c r="GH727" s="5"/>
      <c r="GI727" s="5"/>
      <c r="GJ727" s="5"/>
      <c r="GK727" s="5"/>
      <c r="GL727" s="5"/>
      <c r="GM727" s="5"/>
      <c r="GN727" s="5"/>
      <c r="GO727" s="5"/>
      <c r="GP727" s="5"/>
      <c r="GQ727" s="5"/>
      <c r="GR727" s="5"/>
      <c r="GS727" s="5"/>
      <c r="GT727" s="5"/>
      <c r="GU727" s="5"/>
      <c r="GV727" s="5"/>
      <c r="GW727" s="5"/>
      <c r="GX727" s="5"/>
      <c r="GY727" s="5"/>
      <c r="GZ727" s="5"/>
      <c r="HA727" s="5"/>
      <c r="HB727" s="5"/>
      <c r="HC727" s="5"/>
      <c r="HD727" s="5"/>
      <c r="HE727" s="5"/>
      <c r="HF727" s="5"/>
      <c r="HG727" s="5"/>
      <c r="HH727" s="5"/>
      <c r="HI727" s="5"/>
      <c r="HJ727" s="5"/>
      <c r="HK727" s="5"/>
      <c r="HL727" s="5"/>
      <c r="HM727" s="5"/>
      <c r="HN727" s="5"/>
      <c r="HO727" s="5"/>
      <c r="HP727" s="5"/>
      <c r="HQ727" s="5"/>
      <c r="HR727" s="5"/>
      <c r="HS727" s="5"/>
      <c r="HT727" s="5"/>
      <c r="HU727" s="5"/>
      <c r="HV727" s="5"/>
      <c r="HW727" s="5"/>
      <c r="HX727" s="5"/>
      <c r="HY727" s="5"/>
      <c r="HZ727" s="5"/>
      <c r="IA727" s="5"/>
      <c r="IB727" s="5"/>
      <c r="IC727" s="5"/>
      <c r="ID727" s="5"/>
      <c r="IE727" s="5"/>
      <c r="IF727" s="5"/>
      <c r="IG727" s="5"/>
      <c r="IH727" s="5"/>
      <c r="II727" s="5"/>
      <c r="IJ727" s="5"/>
      <c r="IK727" s="5"/>
      <c r="IL727" s="5"/>
      <c r="IM727" s="5"/>
      <c r="IN727" s="5"/>
      <c r="IO727" s="5"/>
      <c r="IP727" s="5"/>
      <c r="IQ727" s="5"/>
      <c r="IR727" s="5"/>
      <c r="IS727" s="5"/>
      <c r="IT727" s="5"/>
      <c r="IU727" s="5"/>
      <c r="IV727" s="5"/>
      <c r="IW727" s="5"/>
      <c r="IX727" s="5"/>
      <c r="IY727" s="5"/>
      <c r="IZ727" s="5"/>
      <c r="JA727" s="5"/>
      <c r="JB727" s="5"/>
      <c r="JC727" s="5"/>
      <c r="JD727" s="5"/>
      <c r="JE727" s="5"/>
      <c r="JF727" s="5"/>
      <c r="JG727" s="5"/>
      <c r="JH727" s="5"/>
      <c r="JI727" s="5"/>
      <c r="JJ727" s="5"/>
      <c r="JK727" s="5"/>
      <c r="JL727" s="5"/>
      <c r="JM727" s="5"/>
      <c r="JN727" s="5"/>
      <c r="JO727" s="5"/>
      <c r="JP727" s="5"/>
      <c r="JQ727" s="5"/>
      <c r="JR727" s="5"/>
      <c r="JS727" s="5"/>
      <c r="JT727" s="5"/>
      <c r="JU727" s="5"/>
      <c r="JV727" s="5"/>
      <c r="JW727" s="5"/>
      <c r="JX727" s="5"/>
      <c r="JY727" s="5"/>
      <c r="JZ727" s="5"/>
      <c r="KA727" s="5"/>
      <c r="KB727" s="5"/>
      <c r="KC727" s="5"/>
      <c r="KD727" s="5"/>
      <c r="KE727" s="5"/>
      <c r="KF727" s="5"/>
      <c r="KG727" s="5"/>
      <c r="KH727" s="5"/>
      <c r="KI727" s="5"/>
      <c r="KJ727" s="5"/>
      <c r="KK727" s="5"/>
      <c r="KL727" s="5"/>
      <c r="KM727" s="5"/>
      <c r="KN727" s="5"/>
      <c r="KO727" s="5"/>
      <c r="KP727" s="5"/>
      <c r="KQ727" s="5"/>
      <c r="KR727" s="5"/>
      <c r="KS727" s="5"/>
      <c r="KT727" s="5"/>
      <c r="KU727" s="5"/>
      <c r="KV727" s="5"/>
      <c r="KW727" s="5"/>
      <c r="KX727" s="5"/>
      <c r="KY727" s="5"/>
      <c r="KZ727" s="5"/>
      <c r="LA727" s="5"/>
      <c r="LB727" s="5"/>
      <c r="LC727" s="5"/>
      <c r="LD727" s="5"/>
      <c r="LE727" s="5"/>
      <c r="LF727" s="5"/>
      <c r="LG727" s="5"/>
      <c r="LH727" s="5"/>
      <c r="LI727" s="5"/>
      <c r="LJ727" s="5"/>
      <c r="LK727" s="5"/>
      <c r="LL727" s="5"/>
      <c r="LM727" s="5"/>
      <c r="LN727" s="5"/>
      <c r="LO727" s="5"/>
      <c r="LP727" s="5"/>
      <c r="LQ727" s="5"/>
      <c r="LR727" s="5"/>
      <c r="LS727" s="5"/>
      <c r="LT727" s="5"/>
      <c r="LU727" s="5"/>
      <c r="LV727" s="5"/>
      <c r="LW727" s="5"/>
      <c r="LX727" s="5"/>
      <c r="LY727" s="5"/>
      <c r="LZ727" s="5"/>
      <c r="MA727" s="5"/>
      <c r="MB727" s="5"/>
      <c r="MC727" s="5"/>
      <c r="MD727" s="5"/>
      <c r="ME727" s="5"/>
      <c r="MF727" s="5"/>
      <c r="MG727" s="5"/>
      <c r="MH727" s="5"/>
      <c r="MI727" s="5"/>
      <c r="MJ727" s="5"/>
      <c r="MK727" s="5"/>
      <c r="ML727" s="5"/>
      <c r="MM727" s="5"/>
      <c r="MN727" s="5"/>
      <c r="MO727" s="5"/>
      <c r="MP727" s="5"/>
      <c r="MQ727" s="5"/>
      <c r="MR727" s="5"/>
      <c r="MS727" s="5"/>
      <c r="MT727" s="5"/>
      <c r="MU727" s="5"/>
      <c r="MV727" s="5"/>
      <c r="MW727" s="5"/>
      <c r="MX727" s="5"/>
      <c r="MY727" s="5"/>
      <c r="MZ727" s="5"/>
      <c r="NA727" s="5"/>
      <c r="NB727" s="5"/>
      <c r="NC727" s="5"/>
      <c r="ND727" s="5"/>
      <c r="NE727" s="5"/>
      <c r="NF727" s="5"/>
      <c r="NG727" s="5"/>
      <c r="NH727" s="5"/>
      <c r="NI727" s="5"/>
      <c r="NJ727" s="5"/>
      <c r="NK727" s="5"/>
      <c r="NL727" s="5"/>
      <c r="NM727" s="5"/>
      <c r="NN727" s="5"/>
      <c r="NO727" s="5"/>
      <c r="NP727" s="5"/>
      <c r="NQ727" s="5"/>
      <c r="NR727" s="5"/>
      <c r="NS727" s="5"/>
      <c r="NT727" s="5"/>
      <c r="NU727" s="5"/>
      <c r="NV727" s="5"/>
      <c r="NW727" s="5"/>
      <c r="NX727" s="5"/>
      <c r="NY727" s="5"/>
      <c r="NZ727" s="5"/>
      <c r="OA727" s="5"/>
      <c r="OB727" s="5"/>
      <c r="OC727" s="5"/>
      <c r="OD727" s="5"/>
      <c r="OE727" s="5"/>
      <c r="OF727" s="5"/>
      <c r="OG727" s="5"/>
      <c r="OH727" s="5"/>
      <c r="OI727" s="5"/>
      <c r="OJ727" s="5"/>
      <c r="OK727" s="5"/>
      <c r="OL727" s="5"/>
      <c r="OM727" s="5"/>
      <c r="ON727" s="5"/>
      <c r="OO727" s="5"/>
      <c r="OP727" s="5"/>
      <c r="OQ727" s="5"/>
      <c r="OR727" s="5"/>
      <c r="OS727" s="5"/>
      <c r="OT727" s="5"/>
      <c r="OU727" s="5"/>
      <c r="OV727" s="5"/>
      <c r="OW727" s="5"/>
      <c r="OX727" s="5"/>
      <c r="OY727" s="5"/>
      <c r="OZ727" s="5"/>
      <c r="PA727" s="5"/>
      <c r="PB727" s="5"/>
      <c r="PC727" s="5"/>
      <c r="PD727" s="5"/>
      <c r="PE727" s="5"/>
      <c r="PF727" s="5"/>
      <c r="PG727" s="5"/>
      <c r="PH727" s="5"/>
      <c r="PI727" s="5"/>
      <c r="PJ727" s="5"/>
      <c r="PK727" s="5"/>
      <c r="PL727" s="5"/>
      <c r="PM727" s="5"/>
      <c r="PN727" s="5"/>
      <c r="PO727" s="5"/>
      <c r="PP727" s="5"/>
      <c r="PQ727" s="5"/>
      <c r="PR727" s="5"/>
      <c r="PS727" s="5"/>
      <c r="PT727" s="5"/>
      <c r="PU727" s="5"/>
      <c r="PV727" s="5"/>
      <c r="PW727" s="5"/>
      <c r="PX727" s="5"/>
      <c r="PY727" s="5"/>
      <c r="PZ727" s="5"/>
      <c r="QA727" s="5"/>
      <c r="QB727" s="5"/>
      <c r="QC727" s="5"/>
      <c r="QD727" s="5"/>
      <c r="QE727" s="5"/>
      <c r="QF727" s="5"/>
      <c r="QG727" s="5"/>
      <c r="QH727" s="5"/>
      <c r="QI727" s="5"/>
      <c r="QJ727" s="5"/>
      <c r="QK727" s="5"/>
      <c r="QL727" s="5"/>
      <c r="QM727" s="5"/>
      <c r="QN727" s="5"/>
      <c r="QO727" s="5"/>
      <c r="QP727" s="5"/>
      <c r="QQ727" s="5"/>
      <c r="QR727" s="5"/>
      <c r="QS727" s="5"/>
      <c r="QT727" s="5"/>
      <c r="QU727" s="5"/>
      <c r="QV727" s="5"/>
      <c r="QW727" s="5"/>
      <c r="QX727" s="5"/>
      <c r="QY727" s="5"/>
      <c r="QZ727" s="5"/>
      <c r="RA727" s="5"/>
      <c r="RB727" s="5"/>
      <c r="RC727" s="5"/>
      <c r="RD727" s="5"/>
      <c r="RE727" s="5"/>
      <c r="RF727" s="5"/>
      <c r="RG727" s="5"/>
      <c r="RH727" s="5"/>
      <c r="RI727" s="5"/>
      <c r="RJ727" s="5"/>
      <c r="RK727" s="5"/>
      <c r="RL727" s="5"/>
      <c r="RM727" s="5"/>
      <c r="RN727" s="5"/>
      <c r="RO727" s="5"/>
      <c r="RP727" s="5"/>
      <c r="RQ727" s="5"/>
      <c r="RR727" s="5"/>
      <c r="RS727" s="5"/>
      <c r="RT727" s="5"/>
      <c r="RU727" s="5"/>
      <c r="RV727" s="5"/>
      <c r="RW727" s="5"/>
      <c r="RX727" s="5"/>
      <c r="RY727" s="5"/>
      <c r="RZ727" s="5"/>
      <c r="SA727" s="5"/>
      <c r="SB727" s="5"/>
      <c r="SC727" s="5"/>
      <c r="SD727" s="5"/>
      <c r="SE727" s="5"/>
      <c r="SF727" s="5"/>
      <c r="SG727" s="5"/>
      <c r="SH727" s="5"/>
      <c r="SI727" s="5"/>
      <c r="SJ727" s="5"/>
      <c r="SK727" s="5"/>
      <c r="SL727" s="5"/>
      <c r="SM727" s="5"/>
      <c r="SN727" s="5"/>
      <c r="SO727" s="5"/>
      <c r="SP727" s="5"/>
      <c r="SQ727" s="5"/>
      <c r="SR727" s="5"/>
      <c r="SS727" s="5"/>
      <c r="ST727" s="5"/>
      <c r="SU727" s="5"/>
      <c r="SV727" s="5"/>
      <c r="SW727" s="5"/>
      <c r="SX727" s="5"/>
      <c r="SY727" s="5"/>
      <c r="SZ727" s="5"/>
      <c r="TA727" s="5"/>
      <c r="TB727" s="5"/>
      <c r="TC727" s="5"/>
      <c r="TD727" s="5"/>
      <c r="TE727" s="5"/>
      <c r="TF727" s="5"/>
      <c r="TG727" s="5"/>
      <c r="TH727" s="5"/>
      <c r="TI727" s="5"/>
      <c r="TJ727" s="5"/>
      <c r="TK727" s="5"/>
      <c r="TL727" s="5"/>
      <c r="TM727" s="5"/>
      <c r="TN727" s="5"/>
      <c r="TO727" s="5"/>
      <c r="TP727" s="5"/>
      <c r="TQ727" s="5"/>
      <c r="TR727" s="5"/>
      <c r="TS727" s="5"/>
      <c r="TT727" s="5"/>
      <c r="TU727" s="5"/>
      <c r="TV727" s="5"/>
      <c r="TW727" s="5"/>
      <c r="TX727" s="5"/>
      <c r="TY727" s="5"/>
      <c r="TZ727" s="5"/>
      <c r="UA727" s="5"/>
      <c r="UB727" s="5"/>
      <c r="UC727" s="5"/>
      <c r="UD727" s="5"/>
      <c r="UE727" s="5"/>
      <c r="UF727" s="5"/>
      <c r="UG727" s="5"/>
      <c r="UH727" s="5"/>
      <c r="UI727" s="5"/>
      <c r="UJ727" s="5"/>
      <c r="UK727" s="5"/>
      <c r="UL727" s="5"/>
      <c r="UM727" s="5"/>
      <c r="UN727" s="5"/>
      <c r="UO727" s="5"/>
      <c r="UP727" s="5"/>
      <c r="UQ727" s="5"/>
      <c r="UR727" s="5"/>
      <c r="US727" s="5"/>
      <c r="UT727" s="5"/>
      <c r="UU727" s="5"/>
      <c r="UV727" s="5"/>
      <c r="UW727" s="5"/>
      <c r="UX727" s="5"/>
      <c r="UY727" s="5"/>
      <c r="UZ727" s="5"/>
      <c r="VA727" s="5"/>
      <c r="VB727" s="5"/>
      <c r="VC727" s="5"/>
      <c r="VD727" s="5"/>
      <c r="VE727" s="5"/>
      <c r="VF727" s="5"/>
      <c r="VG727" s="5"/>
      <c r="VH727" s="5"/>
      <c r="VI727" s="5"/>
      <c r="VJ727" s="5"/>
      <c r="VK727" s="5"/>
      <c r="VL727" s="5"/>
      <c r="VM727" s="5"/>
      <c r="VN727" s="5"/>
      <c r="VO727" s="5"/>
      <c r="VP727" s="5"/>
      <c r="VQ727" s="5"/>
      <c r="VR727" s="5"/>
      <c r="VS727" s="5"/>
      <c r="VT727" s="5"/>
      <c r="VU727" s="5"/>
      <c r="VV727" s="5"/>
      <c r="VW727" s="5"/>
      <c r="VX727" s="5"/>
      <c r="VY727" s="5"/>
      <c r="VZ727" s="5"/>
      <c r="WA727" s="5"/>
      <c r="WB727" s="5"/>
      <c r="WC727" s="5"/>
      <c r="WD727" s="5"/>
      <c r="WE727" s="5"/>
      <c r="WF727" s="5"/>
      <c r="WG727" s="5"/>
      <c r="WH727" s="5"/>
      <c r="WI727" s="5"/>
      <c r="WJ727" s="5"/>
      <c r="WK727" s="5"/>
      <c r="WL727" s="5"/>
      <c r="WM727" s="5"/>
      <c r="WN727" s="5"/>
      <c r="WO727" s="5"/>
      <c r="WP727" s="5"/>
      <c r="WQ727" s="5"/>
      <c r="WR727" s="5"/>
      <c r="WS727" s="5"/>
      <c r="WT727" s="5"/>
      <c r="WU727" s="5"/>
      <c r="WV727" s="5"/>
      <c r="WW727" s="5"/>
      <c r="WX727" s="5"/>
      <c r="WY727" s="5"/>
      <c r="WZ727" s="5"/>
      <c r="XA727" s="5"/>
      <c r="XB727" s="5"/>
      <c r="XC727" s="5"/>
      <c r="XD727" s="5"/>
      <c r="XE727" s="5"/>
      <c r="XF727" s="5"/>
      <c r="XG727" s="5"/>
      <c r="XH727" s="5"/>
      <c r="XI727" s="5"/>
      <c r="XJ727" s="5"/>
      <c r="XK727" s="5"/>
      <c r="XL727" s="5"/>
      <c r="XM727" s="5"/>
      <c r="XN727" s="5"/>
      <c r="XO727" s="5"/>
      <c r="XP727" s="5"/>
      <c r="XQ727" s="5"/>
      <c r="XR727" s="5"/>
      <c r="XS727" s="5"/>
      <c r="XT727" s="5"/>
      <c r="XU727" s="5"/>
      <c r="XV727" s="5"/>
      <c r="XW727" s="5"/>
      <c r="XX727" s="5"/>
      <c r="XY727" s="5"/>
      <c r="XZ727" s="5"/>
      <c r="YA727" s="5"/>
      <c r="YB727" s="5"/>
      <c r="YC727" s="5"/>
      <c r="YD727" s="5"/>
      <c r="YE727" s="5"/>
      <c r="YF727" s="5"/>
      <c r="YG727" s="5"/>
      <c r="YH727" s="5"/>
      <c r="YI727" s="5"/>
      <c r="YJ727" s="5"/>
      <c r="YK727" s="5"/>
      <c r="YL727" s="5"/>
      <c r="YM727" s="5"/>
      <c r="YN727" s="5"/>
      <c r="YO727" s="5"/>
      <c r="YP727" s="5"/>
      <c r="YQ727" s="5"/>
      <c r="YR727" s="5"/>
      <c r="YS727" s="5"/>
      <c r="YT727" s="5"/>
      <c r="YU727" s="5"/>
      <c r="YV727" s="5"/>
      <c r="YW727" s="5"/>
      <c r="YX727" s="5"/>
      <c r="YY727" s="5"/>
      <c r="YZ727" s="5"/>
      <c r="ZA727" s="5"/>
      <c r="ZB727" s="5"/>
      <c r="ZC727" s="5"/>
      <c r="ZD727" s="5"/>
      <c r="ZE727" s="5"/>
      <c r="ZF727" s="5"/>
      <c r="ZG727" s="5"/>
      <c r="ZH727" s="5"/>
      <c r="ZI727" s="5"/>
      <c r="ZJ727" s="5"/>
      <c r="ZK727" s="5"/>
      <c r="ZL727" s="5"/>
      <c r="ZM727" s="5"/>
      <c r="ZN727" s="5"/>
      <c r="ZO727" s="5"/>
      <c r="ZP727" s="5"/>
      <c r="ZQ727" s="5"/>
      <c r="ZR727" s="5"/>
      <c r="ZS727" s="5"/>
      <c r="ZT727" s="5"/>
      <c r="ZU727" s="5"/>
      <c r="ZV727" s="5"/>
      <c r="ZW727" s="5"/>
      <c r="ZX727" s="5"/>
      <c r="ZY727" s="5"/>
      <c r="ZZ727" s="5"/>
      <c r="AAA727" s="5"/>
      <c r="AAB727" s="5"/>
      <c r="AAC727" s="5"/>
      <c r="AAD727" s="5"/>
      <c r="AAE727" s="5"/>
      <c r="AAF727" s="5"/>
      <c r="AAG727" s="5"/>
      <c r="AAH727" s="5"/>
      <c r="AAI727" s="5"/>
      <c r="AAJ727" s="5"/>
      <c r="AAK727" s="5"/>
      <c r="AAL727" s="5"/>
      <c r="AAM727" s="5"/>
      <c r="AAN727" s="5"/>
      <c r="AAO727" s="5"/>
      <c r="AAP727" s="5"/>
      <c r="AAQ727" s="5"/>
      <c r="AAR727" s="5"/>
      <c r="AAS727" s="5"/>
      <c r="AAT727" s="5"/>
      <c r="AAU727" s="5"/>
      <c r="AAV727" s="5"/>
      <c r="AAW727" s="5"/>
      <c r="AAX727" s="5"/>
      <c r="AAY727" s="5"/>
      <c r="AAZ727" s="5"/>
      <c r="ABA727" s="5"/>
      <c r="ABB727" s="5"/>
      <c r="ABC727" s="5"/>
      <c r="ABD727" s="5"/>
      <c r="ABE727" s="5"/>
      <c r="ABF727" s="5"/>
      <c r="ABG727" s="5"/>
      <c r="ABH727" s="5"/>
      <c r="ABI727" s="5"/>
      <c r="ABJ727" s="5"/>
      <c r="ABK727" s="5"/>
      <c r="ABL727" s="5"/>
      <c r="ABM727" s="5"/>
      <c r="ABN727" s="5"/>
      <c r="ABO727" s="5"/>
      <c r="ABP727" s="5"/>
      <c r="ABQ727" s="5"/>
      <c r="ABR727" s="5"/>
      <c r="ABS727" s="5"/>
      <c r="ABT727" s="5"/>
      <c r="ABU727" s="5"/>
      <c r="ABV727" s="5"/>
      <c r="ABW727" s="5"/>
      <c r="ABX727" s="5"/>
      <c r="ABY727" s="5"/>
      <c r="ABZ727" s="5"/>
      <c r="ACA727" s="5"/>
      <c r="ACB727" s="5"/>
      <c r="ACC727" s="5"/>
      <c r="ACD727" s="5"/>
      <c r="ACE727" s="5"/>
      <c r="ACF727" s="5"/>
      <c r="ACG727" s="5"/>
      <c r="ACH727" s="5"/>
      <c r="ACI727" s="5"/>
      <c r="ACJ727" s="5"/>
      <c r="ACK727" s="5"/>
      <c r="ACL727" s="5"/>
      <c r="ACM727" s="5"/>
      <c r="ACN727" s="5"/>
      <c r="ACO727" s="5"/>
      <c r="ACP727" s="5"/>
      <c r="ACQ727" s="5"/>
      <c r="ACR727" s="5"/>
      <c r="ACS727" s="5"/>
      <c r="ACT727" s="5"/>
      <c r="ACU727" s="5"/>
      <c r="ACV727" s="5"/>
      <c r="ACW727" s="5"/>
      <c r="ACX727" s="5"/>
      <c r="ACY727" s="5"/>
      <c r="ACZ727" s="5"/>
      <c r="ADA727" s="5"/>
      <c r="ADB727" s="5"/>
      <c r="ADC727" s="5"/>
      <c r="ADD727" s="5"/>
      <c r="ADE727" s="5"/>
      <c r="ADF727" s="5"/>
      <c r="ADG727" s="5"/>
      <c r="ADH727" s="5"/>
      <c r="ADI727" s="5"/>
      <c r="ADJ727" s="5"/>
      <c r="ADK727" s="5"/>
      <c r="ADL727" s="5"/>
      <c r="ADM727" s="5"/>
      <c r="ADN727" s="5"/>
      <c r="ADO727" s="5"/>
      <c r="ADP727" s="5"/>
      <c r="ADQ727" s="5"/>
      <c r="ADR727" s="5"/>
      <c r="ADS727" s="5"/>
      <c r="ADT727" s="5"/>
      <c r="ADU727" s="5"/>
      <c r="ADV727" s="5"/>
      <c r="ADW727" s="5"/>
      <c r="ADX727" s="5"/>
      <c r="ADY727" s="5"/>
      <c r="ADZ727" s="5"/>
      <c r="AEA727" s="5"/>
      <c r="AEB727" s="5"/>
      <c r="AEC727" s="5"/>
      <c r="AED727" s="5"/>
      <c r="AEE727" s="5"/>
      <c r="AEF727" s="5"/>
      <c r="AEG727" s="5"/>
      <c r="AEH727" s="5"/>
      <c r="AEI727" s="5"/>
      <c r="AEJ727" s="5"/>
      <c r="AEK727" s="5"/>
      <c r="AEL727" s="5"/>
      <c r="AEM727" s="5"/>
      <c r="AEN727" s="5"/>
      <c r="AEO727" s="5"/>
      <c r="AEP727" s="5"/>
      <c r="AEQ727" s="5"/>
      <c r="AER727" s="5"/>
      <c r="AES727" s="5"/>
      <c r="AET727" s="5"/>
      <c r="AEU727" s="5"/>
      <c r="AEV727" s="5"/>
      <c r="AEW727" s="5"/>
      <c r="AEX727" s="5"/>
      <c r="AEY727" s="5"/>
      <c r="AEZ727" s="5"/>
      <c r="AFA727" s="5"/>
      <c r="AFB727" s="5"/>
      <c r="AFC727" s="5"/>
      <c r="AFD727" s="5"/>
      <c r="AFE727" s="5"/>
      <c r="AFF727" s="5"/>
      <c r="AFG727" s="5"/>
      <c r="AFH727" s="5"/>
      <c r="AFI727" s="5"/>
      <c r="AFJ727" s="5"/>
      <c r="AFK727" s="5"/>
      <c r="AFL727" s="5"/>
      <c r="AFM727" s="5"/>
      <c r="AFN727" s="5"/>
      <c r="AFO727" s="5"/>
      <c r="AFP727" s="5"/>
      <c r="AFQ727" s="5"/>
      <c r="AFR727" s="5"/>
      <c r="AFS727" s="5"/>
      <c r="AFT727" s="5"/>
      <c r="AFU727" s="5"/>
      <c r="AFV727" s="5"/>
      <c r="AFW727" s="5"/>
      <c r="AFX727" s="5"/>
      <c r="AFY727" s="5"/>
      <c r="AFZ727" s="5"/>
      <c r="AGA727" s="5"/>
      <c r="AGB727" s="5"/>
      <c r="AGC727" s="5"/>
      <c r="AGD727" s="5"/>
      <c r="AGE727" s="5"/>
      <c r="AGF727" s="5"/>
      <c r="AGG727" s="5"/>
      <c r="AGH727" s="5"/>
      <c r="AGI727" s="5"/>
      <c r="AGJ727" s="5"/>
      <c r="AGK727" s="5"/>
      <c r="AGL727" s="5"/>
      <c r="AGM727" s="5"/>
      <c r="AGN727" s="5"/>
      <c r="AGO727" s="5"/>
      <c r="AGP727" s="5"/>
      <c r="AGQ727" s="5"/>
      <c r="AGR727" s="5"/>
      <c r="AGS727" s="5"/>
      <c r="AGT727" s="5"/>
      <c r="AGU727" s="5"/>
      <c r="AGV727" s="5"/>
      <c r="AGW727" s="5"/>
      <c r="AGX727" s="5"/>
      <c r="AGY727" s="5"/>
      <c r="AGZ727" s="5"/>
      <c r="AHA727" s="5"/>
      <c r="AHB727" s="5"/>
      <c r="AHC727" s="5"/>
      <c r="AHD727" s="5"/>
      <c r="AHE727" s="5"/>
      <c r="AHF727" s="5"/>
      <c r="AHG727" s="5"/>
      <c r="AHH727" s="5"/>
      <c r="AHI727" s="5"/>
      <c r="AHJ727" s="5"/>
      <c r="AHK727" s="5"/>
      <c r="AHL727" s="5"/>
      <c r="AHM727" s="5"/>
      <c r="AHN727" s="5"/>
      <c r="AHO727" s="5"/>
      <c r="AHP727" s="5"/>
      <c r="AHQ727" s="5"/>
      <c r="AHR727" s="5"/>
      <c r="AHS727" s="5"/>
      <c r="AHT727" s="5"/>
      <c r="AHU727" s="5"/>
      <c r="AHV727" s="5"/>
      <c r="AHW727" s="5"/>
      <c r="AHX727" s="5"/>
      <c r="AHY727" s="5"/>
      <c r="AHZ727" s="5"/>
      <c r="AIA727" s="5"/>
      <c r="AIB727" s="5"/>
      <c r="AIC727" s="5"/>
      <c r="AID727" s="5"/>
      <c r="AIE727" s="5"/>
      <c r="AIF727" s="5"/>
      <c r="AIG727" s="5"/>
      <c r="AIH727" s="5"/>
      <c r="AII727" s="5"/>
      <c r="AIJ727" s="5"/>
      <c r="AIK727" s="5"/>
      <c r="AIL727" s="5"/>
      <c r="AIM727" s="5"/>
      <c r="AIN727" s="5"/>
      <c r="AIO727" s="5"/>
      <c r="AIP727" s="5"/>
      <c r="AIQ727" s="5"/>
      <c r="AIR727" s="5"/>
      <c r="AIS727" s="5"/>
      <c r="AIT727" s="5"/>
      <c r="AIU727" s="5"/>
      <c r="AIV727" s="5"/>
      <c r="AIW727" s="5"/>
      <c r="AIX727" s="5"/>
      <c r="AIY727" s="5"/>
      <c r="AIZ727" s="5"/>
      <c r="AJA727" s="5"/>
      <c r="AJB727" s="5"/>
      <c r="AJC727" s="5"/>
      <c r="AJD727" s="5"/>
      <c r="AJE727" s="5"/>
      <c r="AJF727" s="5"/>
      <c r="AJG727" s="5"/>
      <c r="AJH727" s="5"/>
      <c r="AJI727" s="5"/>
      <c r="AJJ727" s="5"/>
      <c r="AJK727" s="5"/>
      <c r="AJL727" s="5"/>
      <c r="AJM727" s="5"/>
      <c r="AJN727" s="5"/>
      <c r="AJO727" s="5"/>
      <c r="AJP727" s="5"/>
      <c r="AJQ727" s="5"/>
      <c r="AJR727" s="5"/>
      <c r="AJS727" s="5"/>
      <c r="AJT727" s="5"/>
      <c r="AJU727" s="5"/>
      <c r="AJV727" s="5"/>
      <c r="AJW727" s="5"/>
      <c r="AJX727" s="5"/>
      <c r="AJY727" s="5"/>
      <c r="AJZ727" s="5"/>
      <c r="AKA727" s="5"/>
      <c r="AKB727" s="5"/>
      <c r="AKC727" s="5"/>
      <c r="AKD727" s="5"/>
      <c r="AKE727" s="5"/>
      <c r="AKF727" s="5"/>
      <c r="AKG727" s="5"/>
      <c r="AKH727" s="5"/>
      <c r="AKI727" s="5"/>
      <c r="AKJ727" s="5"/>
      <c r="AKK727" s="5"/>
      <c r="AKL727" s="5"/>
      <c r="AKM727" s="5"/>
      <c r="AKN727" s="5"/>
      <c r="AKO727" s="5"/>
      <c r="AKP727" s="5"/>
      <c r="AKQ727" s="5"/>
      <c r="AKR727" s="5"/>
      <c r="AKS727" s="5"/>
      <c r="AKT727" s="5"/>
      <c r="AKU727" s="5"/>
      <c r="AKV727" s="5"/>
      <c r="AKW727" s="5"/>
      <c r="AKX727" s="5"/>
      <c r="AKY727" s="5"/>
      <c r="AKZ727" s="5"/>
      <c r="ALA727" s="5"/>
      <c r="ALB727" s="5"/>
      <c r="ALC727" s="5"/>
      <c r="ALD727" s="5"/>
      <c r="ALE727" s="5"/>
      <c r="ALF727" s="5"/>
      <c r="ALG727" s="5"/>
      <c r="ALH727" s="5"/>
      <c r="ALI727" s="5"/>
      <c r="ALJ727" s="5"/>
      <c r="ALK727" s="5"/>
      <c r="ALL727" s="5"/>
      <c r="ALM727" s="5"/>
      <c r="ALN727" s="5"/>
      <c r="ALO727" s="5"/>
      <c r="ALP727" s="5"/>
      <c r="ALQ727" s="5"/>
      <c r="ALR727" s="5"/>
      <c r="ALS727" s="5"/>
      <c r="ALT727" s="5"/>
      <c r="ALU727" s="5"/>
      <c r="ALV727" s="5"/>
      <c r="ALW727" s="5"/>
      <c r="ALX727" s="5"/>
      <c r="ALY727" s="5"/>
      <c r="ALZ727" s="5"/>
      <c r="AMA727" s="5"/>
      <c r="AMB727" s="5"/>
      <c r="AMC727" s="5"/>
      <c r="AMD727" s="5"/>
      <c r="AME727" s="5"/>
      <c r="AMF727" s="5"/>
      <c r="AMG727" s="5"/>
      <c r="AMH727" s="5"/>
      <c r="AMI727" s="5"/>
      <c r="AMJ727" s="5"/>
      <c r="AMK727" s="5"/>
      <c r="AML727" s="5"/>
      <c r="AMM727" s="5"/>
      <c r="AMN727" s="5"/>
      <c r="AMO727" s="5"/>
      <c r="AMP727" s="5"/>
      <c r="AMQ727" s="5"/>
      <c r="AMR727" s="5"/>
      <c r="AMS727" s="5"/>
      <c r="AMT727" s="5"/>
      <c r="AMU727" s="5"/>
      <c r="AMV727" s="5"/>
      <c r="AMW727" s="5"/>
      <c r="AMX727" s="5"/>
      <c r="AMY727" s="5"/>
      <c r="AMZ727" s="5"/>
      <c r="ANA727" s="5"/>
      <c r="ANB727" s="5"/>
      <c r="ANC727" s="5"/>
      <c r="AND727" s="5"/>
      <c r="ANE727" s="5"/>
      <c r="ANF727" s="5"/>
      <c r="ANG727" s="5"/>
      <c r="ANH727" s="5"/>
      <c r="ANI727" s="5"/>
      <c r="ANJ727" s="5"/>
      <c r="ANK727" s="5"/>
      <c r="ANL727" s="5"/>
      <c r="ANM727" s="5"/>
      <c r="ANN727" s="5"/>
      <c r="ANO727" s="5"/>
      <c r="ANP727" s="5"/>
      <c r="ANQ727" s="5"/>
      <c r="ANR727" s="5"/>
      <c r="ANS727" s="5"/>
      <c r="ANT727" s="5"/>
      <c r="ANU727" s="5"/>
      <c r="ANV727" s="5"/>
      <c r="ANW727" s="5"/>
      <c r="ANX727" s="5"/>
      <c r="ANY727" s="5"/>
      <c r="ANZ727" s="5"/>
      <c r="AOA727" s="5"/>
      <c r="AOB727" s="5"/>
      <c r="AOC727" s="5"/>
      <c r="AOD727" s="5"/>
      <c r="AOE727" s="5"/>
      <c r="AOF727" s="5"/>
      <c r="AOG727" s="5"/>
      <c r="AOH727" s="5"/>
      <c r="AOI727" s="5"/>
      <c r="AOJ727" s="5"/>
      <c r="AOK727" s="5"/>
      <c r="AOL727" s="5"/>
      <c r="AOM727" s="5"/>
      <c r="AON727" s="5"/>
      <c r="AOO727" s="5"/>
      <c r="AOP727" s="5"/>
      <c r="AOQ727" s="5"/>
      <c r="AOR727" s="5"/>
      <c r="AOS727" s="5"/>
      <c r="AOT727" s="5"/>
      <c r="AOU727" s="5"/>
      <c r="AOV727" s="5"/>
      <c r="AOW727" s="5"/>
      <c r="AOX727" s="5"/>
      <c r="AOY727" s="5"/>
      <c r="AOZ727" s="5"/>
      <c r="APA727" s="5"/>
      <c r="APB727" s="5"/>
      <c r="APC727" s="5"/>
      <c r="APD727" s="5"/>
      <c r="APE727" s="5"/>
      <c r="APF727" s="5"/>
      <c r="APG727" s="5"/>
      <c r="APH727" s="5"/>
      <c r="API727" s="5"/>
      <c r="APJ727" s="5"/>
      <c r="APK727" s="5"/>
      <c r="APL727" s="5"/>
      <c r="APM727" s="5"/>
      <c r="APN727" s="5"/>
      <c r="APO727" s="5"/>
      <c r="APP727" s="5"/>
      <c r="APQ727" s="5"/>
      <c r="APR727" s="5"/>
      <c r="APS727" s="5"/>
      <c r="APT727" s="5"/>
      <c r="APU727" s="5"/>
      <c r="APV727" s="5"/>
      <c r="APW727" s="5"/>
      <c r="APX727" s="5"/>
      <c r="APY727" s="5"/>
      <c r="APZ727" s="5"/>
      <c r="AQA727" s="5"/>
      <c r="AQB727" s="5"/>
      <c r="AQC727" s="5"/>
      <c r="AQD727" s="5"/>
      <c r="AQE727" s="5"/>
      <c r="AQF727" s="5"/>
      <c r="AQG727" s="5"/>
      <c r="AQH727" s="5"/>
      <c r="AQI727" s="5"/>
      <c r="AQJ727" s="5"/>
      <c r="AQK727" s="5"/>
      <c r="AQL727" s="5"/>
      <c r="AQM727" s="5"/>
      <c r="AQN727" s="5"/>
      <c r="AQO727" s="5"/>
      <c r="AQP727" s="5"/>
      <c r="AQQ727" s="5"/>
      <c r="AQR727" s="5"/>
      <c r="AQS727" s="5"/>
      <c r="AQT727" s="5"/>
      <c r="AQU727" s="5"/>
      <c r="AQV727" s="5"/>
      <c r="AQW727" s="5"/>
      <c r="AQX727" s="5"/>
      <c r="AQY727" s="5"/>
      <c r="AQZ727" s="5"/>
      <c r="ARA727" s="5"/>
      <c r="ARB727" s="5"/>
      <c r="ARC727" s="5"/>
      <c r="ARD727" s="5"/>
      <c r="ARE727" s="5"/>
      <c r="ARF727" s="5"/>
      <c r="ARG727" s="5"/>
      <c r="ARH727" s="5"/>
      <c r="ARI727" s="5"/>
      <c r="ARJ727" s="5"/>
      <c r="ARK727" s="5"/>
      <c r="ARL727" s="5"/>
      <c r="ARM727" s="5"/>
      <c r="ARN727" s="5"/>
      <c r="ARO727" s="5"/>
      <c r="ARP727" s="5"/>
      <c r="ARQ727" s="5"/>
      <c r="ARR727" s="5"/>
      <c r="ARS727" s="5"/>
      <c r="ART727" s="5"/>
      <c r="ARU727" s="5"/>
      <c r="ARV727" s="5"/>
      <c r="ARW727" s="5"/>
      <c r="ARX727" s="5"/>
      <c r="ARY727" s="5"/>
      <c r="ARZ727" s="5"/>
      <c r="ASA727" s="5"/>
      <c r="ASB727" s="5"/>
      <c r="ASC727" s="5"/>
      <c r="ASD727" s="5"/>
      <c r="ASE727" s="5"/>
      <c r="ASF727" s="5"/>
      <c r="ASG727" s="5"/>
      <c r="ASH727" s="5"/>
      <c r="ASI727" s="5"/>
      <c r="ASJ727" s="5"/>
      <c r="ASK727" s="5"/>
      <c r="ASL727" s="5"/>
      <c r="ASM727" s="5"/>
      <c r="ASN727" s="5"/>
      <c r="ASO727" s="5"/>
      <c r="ASP727" s="5"/>
      <c r="ASQ727" s="5"/>
      <c r="ASR727" s="5"/>
      <c r="ASS727" s="5"/>
      <c r="AST727" s="5"/>
      <c r="ASU727" s="5"/>
      <c r="ASV727" s="5"/>
      <c r="ASW727" s="5"/>
      <c r="ASX727" s="5"/>
      <c r="ASY727" s="5"/>
      <c r="ASZ727" s="5"/>
      <c r="ATA727" s="5"/>
      <c r="ATB727" s="5"/>
      <c r="ATC727" s="5"/>
      <c r="ATD727" s="5"/>
      <c r="ATE727" s="5"/>
      <c r="ATF727" s="5"/>
      <c r="ATG727" s="5"/>
      <c r="ATH727" s="5"/>
      <c r="ATI727" s="5"/>
      <c r="ATJ727" s="5"/>
      <c r="ATK727" s="5"/>
      <c r="ATL727" s="5"/>
      <c r="ATM727" s="5"/>
      <c r="ATN727" s="5"/>
      <c r="ATO727" s="5"/>
      <c r="ATP727" s="5"/>
      <c r="ATQ727" s="5"/>
      <c r="ATR727" s="5"/>
      <c r="ATS727" s="5"/>
      <c r="ATT727" s="5"/>
      <c r="ATU727" s="5"/>
      <c r="ATV727" s="5"/>
      <c r="ATW727" s="5"/>
      <c r="ATX727" s="5"/>
    </row>
    <row r="728" spans="1:1220" s="67" customFormat="1" ht="12.75" customHeight="1" x14ac:dyDescent="0.35">
      <c r="A728" s="76" t="s">
        <v>229</v>
      </c>
      <c r="B728" s="99" t="s">
        <v>320</v>
      </c>
      <c r="C728" s="76" t="s">
        <v>2628</v>
      </c>
      <c r="D728" s="142" t="s">
        <v>2628</v>
      </c>
      <c r="E728" s="76"/>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5"/>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s="5"/>
      <c r="FG728" s="5"/>
      <c r="FH728" s="5"/>
      <c r="FI728" s="5"/>
      <c r="FJ728" s="5"/>
      <c r="FK728" s="5"/>
      <c r="FL728" s="5"/>
      <c r="FM728" s="5"/>
      <c r="FN728" s="5"/>
      <c r="FO728" s="5"/>
      <c r="FP728" s="5"/>
      <c r="FQ728" s="5"/>
      <c r="FR728" s="5"/>
      <c r="FS728" s="5"/>
      <c r="FT728" s="5"/>
      <c r="FU728" s="5"/>
      <c r="FV728" s="5"/>
      <c r="FW728" s="5"/>
      <c r="FX728" s="5"/>
      <c r="FY728" s="5"/>
      <c r="FZ728" s="5"/>
      <c r="GA728" s="5"/>
      <c r="GB728" s="5"/>
      <c r="GC728" s="5"/>
      <c r="GD728" s="5"/>
      <c r="GE728" s="5"/>
      <c r="GF728" s="5"/>
      <c r="GG728" s="5"/>
      <c r="GH728" s="5"/>
      <c r="GI728" s="5"/>
      <c r="GJ728" s="5"/>
      <c r="GK728" s="5"/>
      <c r="GL728" s="5"/>
      <c r="GM728" s="5"/>
      <c r="GN728" s="5"/>
      <c r="GO728" s="5"/>
      <c r="GP728" s="5"/>
      <c r="GQ728" s="5"/>
      <c r="GR728" s="5"/>
      <c r="GS728" s="5"/>
      <c r="GT728" s="5"/>
      <c r="GU728" s="5"/>
      <c r="GV728" s="5"/>
      <c r="GW728" s="5"/>
      <c r="GX728" s="5"/>
      <c r="GY728" s="5"/>
      <c r="GZ728" s="5"/>
      <c r="HA728" s="5"/>
      <c r="HB728" s="5"/>
      <c r="HC728" s="5"/>
      <c r="HD728" s="5"/>
      <c r="HE728" s="5"/>
      <c r="HF728" s="5"/>
      <c r="HG728" s="5"/>
      <c r="HH728" s="5"/>
      <c r="HI728" s="5"/>
      <c r="HJ728" s="5"/>
      <c r="HK728" s="5"/>
      <c r="HL728" s="5"/>
      <c r="HM728" s="5"/>
      <c r="HN728" s="5"/>
      <c r="HO728" s="5"/>
      <c r="HP728" s="5"/>
      <c r="HQ728" s="5"/>
      <c r="HR728" s="5"/>
      <c r="HS728" s="5"/>
      <c r="HT728" s="5"/>
      <c r="HU728" s="5"/>
      <c r="HV728" s="5"/>
      <c r="HW728" s="5"/>
      <c r="HX728" s="5"/>
      <c r="HY728" s="5"/>
      <c r="HZ728" s="5"/>
      <c r="IA728" s="5"/>
      <c r="IB728" s="5"/>
      <c r="IC728" s="5"/>
      <c r="ID728" s="5"/>
      <c r="IE728" s="5"/>
      <c r="IF728" s="5"/>
      <c r="IG728" s="5"/>
      <c r="IH728" s="5"/>
      <c r="II728" s="5"/>
      <c r="IJ728" s="5"/>
      <c r="IK728" s="5"/>
      <c r="IL728" s="5"/>
      <c r="IM728" s="5"/>
      <c r="IN728" s="5"/>
      <c r="IO728" s="5"/>
      <c r="IP728" s="5"/>
      <c r="IQ728" s="5"/>
      <c r="IR728" s="5"/>
      <c r="IS728" s="5"/>
      <c r="IT728" s="5"/>
      <c r="IU728" s="5"/>
      <c r="IV728" s="5"/>
      <c r="IW728" s="5"/>
      <c r="IX728" s="5"/>
      <c r="IY728" s="5"/>
      <c r="IZ728" s="5"/>
      <c r="JA728" s="5"/>
      <c r="JB728" s="5"/>
      <c r="JC728" s="5"/>
      <c r="JD728" s="5"/>
      <c r="JE728" s="5"/>
      <c r="JF728" s="5"/>
      <c r="JG728" s="5"/>
      <c r="JH728" s="5"/>
      <c r="JI728" s="5"/>
      <c r="JJ728" s="5"/>
      <c r="JK728" s="5"/>
      <c r="JL728" s="5"/>
      <c r="JM728" s="5"/>
      <c r="JN728" s="5"/>
      <c r="JO728" s="5"/>
      <c r="JP728" s="5"/>
      <c r="JQ728" s="5"/>
      <c r="JR728" s="5"/>
      <c r="JS728" s="5"/>
      <c r="JT728" s="5"/>
      <c r="JU728" s="5"/>
      <c r="JV728" s="5"/>
      <c r="JW728" s="5"/>
      <c r="JX728" s="5"/>
      <c r="JY728" s="5"/>
      <c r="JZ728" s="5"/>
      <c r="KA728" s="5"/>
      <c r="KB728" s="5"/>
      <c r="KC728" s="5"/>
      <c r="KD728" s="5"/>
      <c r="KE728" s="5"/>
      <c r="KF728" s="5"/>
      <c r="KG728" s="5"/>
      <c r="KH728" s="5"/>
      <c r="KI728" s="5"/>
      <c r="KJ728" s="5"/>
      <c r="KK728" s="5"/>
      <c r="KL728" s="5"/>
      <c r="KM728" s="5"/>
      <c r="KN728" s="5"/>
      <c r="KO728" s="5"/>
      <c r="KP728" s="5"/>
      <c r="KQ728" s="5"/>
      <c r="KR728" s="5"/>
      <c r="KS728" s="5"/>
      <c r="KT728" s="5"/>
      <c r="KU728" s="5"/>
      <c r="KV728" s="5"/>
      <c r="KW728" s="5"/>
      <c r="KX728" s="5"/>
      <c r="KY728" s="5"/>
      <c r="KZ728" s="5"/>
      <c r="LA728" s="5"/>
      <c r="LB728" s="5"/>
      <c r="LC728" s="5"/>
      <c r="LD728" s="5"/>
      <c r="LE728" s="5"/>
      <c r="LF728" s="5"/>
      <c r="LG728" s="5"/>
      <c r="LH728" s="5"/>
      <c r="LI728" s="5"/>
      <c r="LJ728" s="5"/>
      <c r="LK728" s="5"/>
      <c r="LL728" s="5"/>
      <c r="LM728" s="5"/>
      <c r="LN728" s="5"/>
      <c r="LO728" s="5"/>
      <c r="LP728" s="5"/>
      <c r="LQ728" s="5"/>
      <c r="LR728" s="5"/>
      <c r="LS728" s="5"/>
      <c r="LT728" s="5"/>
      <c r="LU728" s="5"/>
      <c r="LV728" s="5"/>
      <c r="LW728" s="5"/>
      <c r="LX728" s="5"/>
      <c r="LY728" s="5"/>
      <c r="LZ728" s="5"/>
      <c r="MA728" s="5"/>
      <c r="MB728" s="5"/>
      <c r="MC728" s="5"/>
      <c r="MD728" s="5"/>
      <c r="ME728" s="5"/>
      <c r="MF728" s="5"/>
      <c r="MG728" s="5"/>
      <c r="MH728" s="5"/>
      <c r="MI728" s="5"/>
      <c r="MJ728" s="5"/>
      <c r="MK728" s="5"/>
      <c r="ML728" s="5"/>
      <c r="MM728" s="5"/>
      <c r="MN728" s="5"/>
      <c r="MO728" s="5"/>
      <c r="MP728" s="5"/>
      <c r="MQ728" s="5"/>
      <c r="MR728" s="5"/>
      <c r="MS728" s="5"/>
      <c r="MT728" s="5"/>
      <c r="MU728" s="5"/>
      <c r="MV728" s="5"/>
      <c r="MW728" s="5"/>
      <c r="MX728" s="5"/>
      <c r="MY728" s="5"/>
      <c r="MZ728" s="5"/>
      <c r="NA728" s="5"/>
      <c r="NB728" s="5"/>
      <c r="NC728" s="5"/>
      <c r="ND728" s="5"/>
      <c r="NE728" s="5"/>
      <c r="NF728" s="5"/>
      <c r="NG728" s="5"/>
      <c r="NH728" s="5"/>
      <c r="NI728" s="5"/>
      <c r="NJ728" s="5"/>
      <c r="NK728" s="5"/>
      <c r="NL728" s="5"/>
      <c r="NM728" s="5"/>
      <c r="NN728" s="5"/>
      <c r="NO728" s="5"/>
      <c r="NP728" s="5"/>
      <c r="NQ728" s="5"/>
      <c r="NR728" s="5"/>
      <c r="NS728" s="5"/>
      <c r="NT728" s="5"/>
      <c r="NU728" s="5"/>
      <c r="NV728" s="5"/>
      <c r="NW728" s="5"/>
      <c r="NX728" s="5"/>
      <c r="NY728" s="5"/>
      <c r="NZ728" s="5"/>
      <c r="OA728" s="5"/>
      <c r="OB728" s="5"/>
      <c r="OC728" s="5"/>
      <c r="OD728" s="5"/>
      <c r="OE728" s="5"/>
      <c r="OF728" s="5"/>
      <c r="OG728" s="5"/>
      <c r="OH728" s="5"/>
      <c r="OI728" s="5"/>
      <c r="OJ728" s="5"/>
      <c r="OK728" s="5"/>
      <c r="OL728" s="5"/>
      <c r="OM728" s="5"/>
      <c r="ON728" s="5"/>
      <c r="OO728" s="5"/>
      <c r="OP728" s="5"/>
      <c r="OQ728" s="5"/>
      <c r="OR728" s="5"/>
      <c r="OS728" s="5"/>
      <c r="OT728" s="5"/>
      <c r="OU728" s="5"/>
      <c r="OV728" s="5"/>
      <c r="OW728" s="5"/>
      <c r="OX728" s="5"/>
      <c r="OY728" s="5"/>
      <c r="OZ728" s="5"/>
      <c r="PA728" s="5"/>
      <c r="PB728" s="5"/>
      <c r="PC728" s="5"/>
      <c r="PD728" s="5"/>
      <c r="PE728" s="5"/>
      <c r="PF728" s="5"/>
      <c r="PG728" s="5"/>
      <c r="PH728" s="5"/>
      <c r="PI728" s="5"/>
      <c r="PJ728" s="5"/>
      <c r="PK728" s="5"/>
      <c r="PL728" s="5"/>
      <c r="PM728" s="5"/>
      <c r="PN728" s="5"/>
      <c r="PO728" s="5"/>
      <c r="PP728" s="5"/>
      <c r="PQ728" s="5"/>
      <c r="PR728" s="5"/>
      <c r="PS728" s="5"/>
      <c r="PT728" s="5"/>
      <c r="PU728" s="5"/>
      <c r="PV728" s="5"/>
      <c r="PW728" s="5"/>
      <c r="PX728" s="5"/>
      <c r="PY728" s="5"/>
      <c r="PZ728" s="5"/>
      <c r="QA728" s="5"/>
      <c r="QB728" s="5"/>
      <c r="QC728" s="5"/>
      <c r="QD728" s="5"/>
      <c r="QE728" s="5"/>
      <c r="QF728" s="5"/>
      <c r="QG728" s="5"/>
      <c r="QH728" s="5"/>
      <c r="QI728" s="5"/>
      <c r="QJ728" s="5"/>
      <c r="QK728" s="5"/>
      <c r="QL728" s="5"/>
      <c r="QM728" s="5"/>
      <c r="QN728" s="5"/>
      <c r="QO728" s="5"/>
      <c r="QP728" s="5"/>
      <c r="QQ728" s="5"/>
      <c r="QR728" s="5"/>
      <c r="QS728" s="5"/>
      <c r="QT728" s="5"/>
      <c r="QU728" s="5"/>
      <c r="QV728" s="5"/>
      <c r="QW728" s="5"/>
      <c r="QX728" s="5"/>
      <c r="QY728" s="5"/>
      <c r="QZ728" s="5"/>
      <c r="RA728" s="5"/>
      <c r="RB728" s="5"/>
      <c r="RC728" s="5"/>
      <c r="RD728" s="5"/>
      <c r="RE728" s="5"/>
      <c r="RF728" s="5"/>
      <c r="RG728" s="5"/>
      <c r="RH728" s="5"/>
      <c r="RI728" s="5"/>
      <c r="RJ728" s="5"/>
      <c r="RK728" s="5"/>
      <c r="RL728" s="5"/>
      <c r="RM728" s="5"/>
      <c r="RN728" s="5"/>
      <c r="RO728" s="5"/>
      <c r="RP728" s="5"/>
      <c r="RQ728" s="5"/>
      <c r="RR728" s="5"/>
      <c r="RS728" s="5"/>
      <c r="RT728" s="5"/>
      <c r="RU728" s="5"/>
      <c r="RV728" s="5"/>
      <c r="RW728" s="5"/>
      <c r="RX728" s="5"/>
      <c r="RY728" s="5"/>
      <c r="RZ728" s="5"/>
      <c r="SA728" s="5"/>
      <c r="SB728" s="5"/>
      <c r="SC728" s="5"/>
      <c r="SD728" s="5"/>
      <c r="SE728" s="5"/>
      <c r="SF728" s="5"/>
      <c r="SG728" s="5"/>
      <c r="SH728" s="5"/>
      <c r="SI728" s="5"/>
      <c r="SJ728" s="5"/>
      <c r="SK728" s="5"/>
      <c r="SL728" s="5"/>
      <c r="SM728" s="5"/>
      <c r="SN728" s="5"/>
      <c r="SO728" s="5"/>
      <c r="SP728" s="5"/>
      <c r="SQ728" s="5"/>
      <c r="SR728" s="5"/>
      <c r="SS728" s="5"/>
      <c r="ST728" s="5"/>
      <c r="SU728" s="5"/>
      <c r="SV728" s="5"/>
      <c r="SW728" s="5"/>
      <c r="SX728" s="5"/>
      <c r="SY728" s="5"/>
      <c r="SZ728" s="5"/>
      <c r="TA728" s="5"/>
      <c r="TB728" s="5"/>
      <c r="TC728" s="5"/>
      <c r="TD728" s="5"/>
      <c r="TE728" s="5"/>
      <c r="TF728" s="5"/>
      <c r="TG728" s="5"/>
      <c r="TH728" s="5"/>
      <c r="TI728" s="5"/>
      <c r="TJ728" s="5"/>
      <c r="TK728" s="5"/>
      <c r="TL728" s="5"/>
      <c r="TM728" s="5"/>
      <c r="TN728" s="5"/>
      <c r="TO728" s="5"/>
      <c r="TP728" s="5"/>
      <c r="TQ728" s="5"/>
      <c r="TR728" s="5"/>
      <c r="TS728" s="5"/>
      <c r="TT728" s="5"/>
      <c r="TU728" s="5"/>
      <c r="TV728" s="5"/>
      <c r="TW728" s="5"/>
      <c r="TX728" s="5"/>
      <c r="TY728" s="5"/>
      <c r="TZ728" s="5"/>
      <c r="UA728" s="5"/>
      <c r="UB728" s="5"/>
      <c r="UC728" s="5"/>
      <c r="UD728" s="5"/>
      <c r="UE728" s="5"/>
      <c r="UF728" s="5"/>
      <c r="UG728" s="5"/>
      <c r="UH728" s="5"/>
      <c r="UI728" s="5"/>
      <c r="UJ728" s="5"/>
      <c r="UK728" s="5"/>
      <c r="UL728" s="5"/>
      <c r="UM728" s="5"/>
      <c r="UN728" s="5"/>
      <c r="UO728" s="5"/>
      <c r="UP728" s="5"/>
      <c r="UQ728" s="5"/>
      <c r="UR728" s="5"/>
      <c r="US728" s="5"/>
      <c r="UT728" s="5"/>
      <c r="UU728" s="5"/>
      <c r="UV728" s="5"/>
      <c r="UW728" s="5"/>
      <c r="UX728" s="5"/>
      <c r="UY728" s="5"/>
      <c r="UZ728" s="5"/>
      <c r="VA728" s="5"/>
      <c r="VB728" s="5"/>
      <c r="VC728" s="5"/>
      <c r="VD728" s="5"/>
      <c r="VE728" s="5"/>
      <c r="VF728" s="5"/>
      <c r="VG728" s="5"/>
      <c r="VH728" s="5"/>
      <c r="VI728" s="5"/>
      <c r="VJ728" s="5"/>
      <c r="VK728" s="5"/>
      <c r="VL728" s="5"/>
      <c r="VM728" s="5"/>
      <c r="VN728" s="5"/>
      <c r="VO728" s="5"/>
      <c r="VP728" s="5"/>
      <c r="VQ728" s="5"/>
      <c r="VR728" s="5"/>
      <c r="VS728" s="5"/>
      <c r="VT728" s="5"/>
      <c r="VU728" s="5"/>
      <c r="VV728" s="5"/>
      <c r="VW728" s="5"/>
      <c r="VX728" s="5"/>
      <c r="VY728" s="5"/>
      <c r="VZ728" s="5"/>
      <c r="WA728" s="5"/>
      <c r="WB728" s="5"/>
      <c r="WC728" s="5"/>
      <c r="WD728" s="5"/>
      <c r="WE728" s="5"/>
      <c r="WF728" s="5"/>
      <c r="WG728" s="5"/>
      <c r="WH728" s="5"/>
      <c r="WI728" s="5"/>
      <c r="WJ728" s="5"/>
      <c r="WK728" s="5"/>
      <c r="WL728" s="5"/>
      <c r="WM728" s="5"/>
      <c r="WN728" s="5"/>
      <c r="WO728" s="5"/>
      <c r="WP728" s="5"/>
      <c r="WQ728" s="5"/>
      <c r="WR728" s="5"/>
      <c r="WS728" s="5"/>
      <c r="WT728" s="5"/>
      <c r="WU728" s="5"/>
      <c r="WV728" s="5"/>
      <c r="WW728" s="5"/>
      <c r="WX728" s="5"/>
      <c r="WY728" s="5"/>
      <c r="WZ728" s="5"/>
      <c r="XA728" s="5"/>
      <c r="XB728" s="5"/>
      <c r="XC728" s="5"/>
      <c r="XD728" s="5"/>
      <c r="XE728" s="5"/>
      <c r="XF728" s="5"/>
      <c r="XG728" s="5"/>
      <c r="XH728" s="5"/>
      <c r="XI728" s="5"/>
      <c r="XJ728" s="5"/>
      <c r="XK728" s="5"/>
      <c r="XL728" s="5"/>
      <c r="XM728" s="5"/>
      <c r="XN728" s="5"/>
      <c r="XO728" s="5"/>
      <c r="XP728" s="5"/>
      <c r="XQ728" s="5"/>
      <c r="XR728" s="5"/>
      <c r="XS728" s="5"/>
      <c r="XT728" s="5"/>
      <c r="XU728" s="5"/>
      <c r="XV728" s="5"/>
      <c r="XW728" s="5"/>
      <c r="XX728" s="5"/>
      <c r="XY728" s="5"/>
      <c r="XZ728" s="5"/>
      <c r="YA728" s="5"/>
      <c r="YB728" s="5"/>
      <c r="YC728" s="5"/>
      <c r="YD728" s="5"/>
      <c r="YE728" s="5"/>
      <c r="YF728" s="5"/>
      <c r="YG728" s="5"/>
      <c r="YH728" s="5"/>
      <c r="YI728" s="5"/>
      <c r="YJ728" s="5"/>
      <c r="YK728" s="5"/>
      <c r="YL728" s="5"/>
      <c r="YM728" s="5"/>
      <c r="YN728" s="5"/>
      <c r="YO728" s="5"/>
      <c r="YP728" s="5"/>
      <c r="YQ728" s="5"/>
      <c r="YR728" s="5"/>
      <c r="YS728" s="5"/>
      <c r="YT728" s="5"/>
      <c r="YU728" s="5"/>
      <c r="YV728" s="5"/>
      <c r="YW728" s="5"/>
      <c r="YX728" s="5"/>
      <c r="YY728" s="5"/>
      <c r="YZ728" s="5"/>
      <c r="ZA728" s="5"/>
      <c r="ZB728" s="5"/>
      <c r="ZC728" s="5"/>
      <c r="ZD728" s="5"/>
      <c r="ZE728" s="5"/>
      <c r="ZF728" s="5"/>
      <c r="ZG728" s="5"/>
      <c r="ZH728" s="5"/>
      <c r="ZI728" s="5"/>
      <c r="ZJ728" s="5"/>
      <c r="ZK728" s="5"/>
      <c r="ZL728" s="5"/>
      <c r="ZM728" s="5"/>
      <c r="ZN728" s="5"/>
      <c r="ZO728" s="5"/>
      <c r="ZP728" s="5"/>
      <c r="ZQ728" s="5"/>
      <c r="ZR728" s="5"/>
      <c r="ZS728" s="5"/>
      <c r="ZT728" s="5"/>
      <c r="ZU728" s="5"/>
      <c r="ZV728" s="5"/>
      <c r="ZW728" s="5"/>
      <c r="ZX728" s="5"/>
      <c r="ZY728" s="5"/>
      <c r="ZZ728" s="5"/>
      <c r="AAA728" s="5"/>
      <c r="AAB728" s="5"/>
      <c r="AAC728" s="5"/>
      <c r="AAD728" s="5"/>
      <c r="AAE728" s="5"/>
      <c r="AAF728" s="5"/>
      <c r="AAG728" s="5"/>
      <c r="AAH728" s="5"/>
      <c r="AAI728" s="5"/>
      <c r="AAJ728" s="5"/>
      <c r="AAK728" s="5"/>
      <c r="AAL728" s="5"/>
      <c r="AAM728" s="5"/>
      <c r="AAN728" s="5"/>
      <c r="AAO728" s="5"/>
      <c r="AAP728" s="5"/>
      <c r="AAQ728" s="5"/>
      <c r="AAR728" s="5"/>
      <c r="AAS728" s="5"/>
      <c r="AAT728" s="5"/>
      <c r="AAU728" s="5"/>
      <c r="AAV728" s="5"/>
      <c r="AAW728" s="5"/>
      <c r="AAX728" s="5"/>
      <c r="AAY728" s="5"/>
      <c r="AAZ728" s="5"/>
      <c r="ABA728" s="5"/>
      <c r="ABB728" s="5"/>
      <c r="ABC728" s="5"/>
      <c r="ABD728" s="5"/>
      <c r="ABE728" s="5"/>
      <c r="ABF728" s="5"/>
      <c r="ABG728" s="5"/>
      <c r="ABH728" s="5"/>
      <c r="ABI728" s="5"/>
      <c r="ABJ728" s="5"/>
      <c r="ABK728" s="5"/>
      <c r="ABL728" s="5"/>
      <c r="ABM728" s="5"/>
      <c r="ABN728" s="5"/>
      <c r="ABO728" s="5"/>
      <c r="ABP728" s="5"/>
      <c r="ABQ728" s="5"/>
      <c r="ABR728" s="5"/>
      <c r="ABS728" s="5"/>
      <c r="ABT728" s="5"/>
      <c r="ABU728" s="5"/>
      <c r="ABV728" s="5"/>
      <c r="ABW728" s="5"/>
      <c r="ABX728" s="5"/>
      <c r="ABY728" s="5"/>
      <c r="ABZ728" s="5"/>
      <c r="ACA728" s="5"/>
      <c r="ACB728" s="5"/>
      <c r="ACC728" s="5"/>
      <c r="ACD728" s="5"/>
      <c r="ACE728" s="5"/>
      <c r="ACF728" s="5"/>
      <c r="ACG728" s="5"/>
      <c r="ACH728" s="5"/>
      <c r="ACI728" s="5"/>
      <c r="ACJ728" s="5"/>
      <c r="ACK728" s="5"/>
      <c r="ACL728" s="5"/>
      <c r="ACM728" s="5"/>
      <c r="ACN728" s="5"/>
      <c r="ACO728" s="5"/>
      <c r="ACP728" s="5"/>
      <c r="ACQ728" s="5"/>
      <c r="ACR728" s="5"/>
      <c r="ACS728" s="5"/>
      <c r="ACT728" s="5"/>
      <c r="ACU728" s="5"/>
      <c r="ACV728" s="5"/>
      <c r="ACW728" s="5"/>
      <c r="ACX728" s="5"/>
      <c r="ACY728" s="5"/>
      <c r="ACZ728" s="5"/>
      <c r="ADA728" s="5"/>
      <c r="ADB728" s="5"/>
      <c r="ADC728" s="5"/>
      <c r="ADD728" s="5"/>
      <c r="ADE728" s="5"/>
      <c r="ADF728" s="5"/>
      <c r="ADG728" s="5"/>
      <c r="ADH728" s="5"/>
      <c r="ADI728" s="5"/>
      <c r="ADJ728" s="5"/>
      <c r="ADK728" s="5"/>
      <c r="ADL728" s="5"/>
      <c r="ADM728" s="5"/>
      <c r="ADN728" s="5"/>
      <c r="ADO728" s="5"/>
      <c r="ADP728" s="5"/>
      <c r="ADQ728" s="5"/>
      <c r="ADR728" s="5"/>
      <c r="ADS728" s="5"/>
      <c r="ADT728" s="5"/>
      <c r="ADU728" s="5"/>
      <c r="ADV728" s="5"/>
      <c r="ADW728" s="5"/>
      <c r="ADX728" s="5"/>
      <c r="ADY728" s="5"/>
      <c r="ADZ728" s="5"/>
      <c r="AEA728" s="5"/>
      <c r="AEB728" s="5"/>
      <c r="AEC728" s="5"/>
      <c r="AED728" s="5"/>
      <c r="AEE728" s="5"/>
      <c r="AEF728" s="5"/>
      <c r="AEG728" s="5"/>
      <c r="AEH728" s="5"/>
      <c r="AEI728" s="5"/>
      <c r="AEJ728" s="5"/>
      <c r="AEK728" s="5"/>
      <c r="AEL728" s="5"/>
      <c r="AEM728" s="5"/>
      <c r="AEN728" s="5"/>
      <c r="AEO728" s="5"/>
      <c r="AEP728" s="5"/>
      <c r="AEQ728" s="5"/>
      <c r="AER728" s="5"/>
      <c r="AES728" s="5"/>
      <c r="AET728" s="5"/>
      <c r="AEU728" s="5"/>
      <c r="AEV728" s="5"/>
      <c r="AEW728" s="5"/>
      <c r="AEX728" s="5"/>
      <c r="AEY728" s="5"/>
      <c r="AEZ728" s="5"/>
      <c r="AFA728" s="5"/>
      <c r="AFB728" s="5"/>
      <c r="AFC728" s="5"/>
      <c r="AFD728" s="5"/>
      <c r="AFE728" s="5"/>
      <c r="AFF728" s="5"/>
      <c r="AFG728" s="5"/>
      <c r="AFH728" s="5"/>
      <c r="AFI728" s="5"/>
      <c r="AFJ728" s="5"/>
      <c r="AFK728" s="5"/>
      <c r="AFL728" s="5"/>
      <c r="AFM728" s="5"/>
      <c r="AFN728" s="5"/>
      <c r="AFO728" s="5"/>
      <c r="AFP728" s="5"/>
      <c r="AFQ728" s="5"/>
      <c r="AFR728" s="5"/>
      <c r="AFS728" s="5"/>
      <c r="AFT728" s="5"/>
      <c r="AFU728" s="5"/>
      <c r="AFV728" s="5"/>
      <c r="AFW728" s="5"/>
      <c r="AFX728" s="5"/>
      <c r="AFY728" s="5"/>
      <c r="AFZ728" s="5"/>
      <c r="AGA728" s="5"/>
      <c r="AGB728" s="5"/>
      <c r="AGC728" s="5"/>
      <c r="AGD728" s="5"/>
      <c r="AGE728" s="5"/>
      <c r="AGF728" s="5"/>
      <c r="AGG728" s="5"/>
      <c r="AGH728" s="5"/>
      <c r="AGI728" s="5"/>
      <c r="AGJ728" s="5"/>
      <c r="AGK728" s="5"/>
      <c r="AGL728" s="5"/>
      <c r="AGM728" s="5"/>
      <c r="AGN728" s="5"/>
      <c r="AGO728" s="5"/>
      <c r="AGP728" s="5"/>
      <c r="AGQ728" s="5"/>
      <c r="AGR728" s="5"/>
      <c r="AGS728" s="5"/>
      <c r="AGT728" s="5"/>
      <c r="AGU728" s="5"/>
      <c r="AGV728" s="5"/>
      <c r="AGW728" s="5"/>
      <c r="AGX728" s="5"/>
      <c r="AGY728" s="5"/>
      <c r="AGZ728" s="5"/>
      <c r="AHA728" s="5"/>
      <c r="AHB728" s="5"/>
      <c r="AHC728" s="5"/>
      <c r="AHD728" s="5"/>
      <c r="AHE728" s="5"/>
      <c r="AHF728" s="5"/>
      <c r="AHG728" s="5"/>
      <c r="AHH728" s="5"/>
      <c r="AHI728" s="5"/>
      <c r="AHJ728" s="5"/>
      <c r="AHK728" s="5"/>
      <c r="AHL728" s="5"/>
      <c r="AHM728" s="5"/>
      <c r="AHN728" s="5"/>
      <c r="AHO728" s="5"/>
      <c r="AHP728" s="5"/>
      <c r="AHQ728" s="5"/>
      <c r="AHR728" s="5"/>
      <c r="AHS728" s="5"/>
      <c r="AHT728" s="5"/>
      <c r="AHU728" s="5"/>
      <c r="AHV728" s="5"/>
      <c r="AHW728" s="5"/>
      <c r="AHX728" s="5"/>
      <c r="AHY728" s="5"/>
      <c r="AHZ728" s="5"/>
      <c r="AIA728" s="5"/>
      <c r="AIB728" s="5"/>
      <c r="AIC728" s="5"/>
      <c r="AID728" s="5"/>
      <c r="AIE728" s="5"/>
      <c r="AIF728" s="5"/>
      <c r="AIG728" s="5"/>
      <c r="AIH728" s="5"/>
      <c r="AII728" s="5"/>
      <c r="AIJ728" s="5"/>
      <c r="AIK728" s="5"/>
      <c r="AIL728" s="5"/>
      <c r="AIM728" s="5"/>
      <c r="AIN728" s="5"/>
      <c r="AIO728" s="5"/>
      <c r="AIP728" s="5"/>
      <c r="AIQ728" s="5"/>
      <c r="AIR728" s="5"/>
      <c r="AIS728" s="5"/>
      <c r="AIT728" s="5"/>
      <c r="AIU728" s="5"/>
      <c r="AIV728" s="5"/>
      <c r="AIW728" s="5"/>
      <c r="AIX728" s="5"/>
      <c r="AIY728" s="5"/>
      <c r="AIZ728" s="5"/>
      <c r="AJA728" s="5"/>
      <c r="AJB728" s="5"/>
      <c r="AJC728" s="5"/>
      <c r="AJD728" s="5"/>
      <c r="AJE728" s="5"/>
      <c r="AJF728" s="5"/>
      <c r="AJG728" s="5"/>
      <c r="AJH728" s="5"/>
      <c r="AJI728" s="5"/>
      <c r="AJJ728" s="5"/>
      <c r="AJK728" s="5"/>
      <c r="AJL728" s="5"/>
      <c r="AJM728" s="5"/>
      <c r="AJN728" s="5"/>
      <c r="AJO728" s="5"/>
      <c r="AJP728" s="5"/>
      <c r="AJQ728" s="5"/>
      <c r="AJR728" s="5"/>
      <c r="AJS728" s="5"/>
      <c r="AJT728" s="5"/>
      <c r="AJU728" s="5"/>
      <c r="AJV728" s="5"/>
      <c r="AJW728" s="5"/>
      <c r="AJX728" s="5"/>
      <c r="AJY728" s="5"/>
      <c r="AJZ728" s="5"/>
      <c r="AKA728" s="5"/>
      <c r="AKB728" s="5"/>
      <c r="AKC728" s="5"/>
      <c r="AKD728" s="5"/>
      <c r="AKE728" s="5"/>
      <c r="AKF728" s="5"/>
      <c r="AKG728" s="5"/>
      <c r="AKH728" s="5"/>
      <c r="AKI728" s="5"/>
      <c r="AKJ728" s="5"/>
      <c r="AKK728" s="5"/>
      <c r="AKL728" s="5"/>
      <c r="AKM728" s="5"/>
      <c r="AKN728" s="5"/>
      <c r="AKO728" s="5"/>
      <c r="AKP728" s="5"/>
      <c r="AKQ728" s="5"/>
      <c r="AKR728" s="5"/>
      <c r="AKS728" s="5"/>
      <c r="AKT728" s="5"/>
      <c r="AKU728" s="5"/>
      <c r="AKV728" s="5"/>
      <c r="AKW728" s="5"/>
      <c r="AKX728" s="5"/>
      <c r="AKY728" s="5"/>
      <c r="AKZ728" s="5"/>
      <c r="ALA728" s="5"/>
      <c r="ALB728" s="5"/>
      <c r="ALC728" s="5"/>
      <c r="ALD728" s="5"/>
      <c r="ALE728" s="5"/>
      <c r="ALF728" s="5"/>
      <c r="ALG728" s="5"/>
      <c r="ALH728" s="5"/>
      <c r="ALI728" s="5"/>
      <c r="ALJ728" s="5"/>
      <c r="ALK728" s="5"/>
      <c r="ALL728" s="5"/>
      <c r="ALM728" s="5"/>
      <c r="ALN728" s="5"/>
      <c r="ALO728" s="5"/>
      <c r="ALP728" s="5"/>
      <c r="ALQ728" s="5"/>
      <c r="ALR728" s="5"/>
      <c r="ALS728" s="5"/>
      <c r="ALT728" s="5"/>
      <c r="ALU728" s="5"/>
      <c r="ALV728" s="5"/>
      <c r="ALW728" s="5"/>
      <c r="ALX728" s="5"/>
      <c r="ALY728" s="5"/>
      <c r="ALZ728" s="5"/>
      <c r="AMA728" s="5"/>
      <c r="AMB728" s="5"/>
      <c r="AMC728" s="5"/>
      <c r="AMD728" s="5"/>
      <c r="AME728" s="5"/>
      <c r="AMF728" s="5"/>
      <c r="AMG728" s="5"/>
      <c r="AMH728" s="5"/>
      <c r="AMI728" s="5"/>
      <c r="AMJ728" s="5"/>
      <c r="AMK728" s="5"/>
      <c r="AML728" s="5"/>
      <c r="AMM728" s="5"/>
      <c r="AMN728" s="5"/>
      <c r="AMO728" s="5"/>
      <c r="AMP728" s="5"/>
      <c r="AMQ728" s="5"/>
      <c r="AMR728" s="5"/>
      <c r="AMS728" s="5"/>
      <c r="AMT728" s="5"/>
      <c r="AMU728" s="5"/>
      <c r="AMV728" s="5"/>
      <c r="AMW728" s="5"/>
      <c r="AMX728" s="5"/>
      <c r="AMY728" s="5"/>
      <c r="AMZ728" s="5"/>
      <c r="ANA728" s="5"/>
      <c r="ANB728" s="5"/>
      <c r="ANC728" s="5"/>
      <c r="AND728" s="5"/>
      <c r="ANE728" s="5"/>
      <c r="ANF728" s="5"/>
      <c r="ANG728" s="5"/>
      <c r="ANH728" s="5"/>
      <c r="ANI728" s="5"/>
      <c r="ANJ728" s="5"/>
      <c r="ANK728" s="5"/>
      <c r="ANL728" s="5"/>
      <c r="ANM728" s="5"/>
      <c r="ANN728" s="5"/>
      <c r="ANO728" s="5"/>
      <c r="ANP728" s="5"/>
      <c r="ANQ728" s="5"/>
      <c r="ANR728" s="5"/>
      <c r="ANS728" s="5"/>
      <c r="ANT728" s="5"/>
      <c r="ANU728" s="5"/>
      <c r="ANV728" s="5"/>
      <c r="ANW728" s="5"/>
      <c r="ANX728" s="5"/>
      <c r="ANY728" s="5"/>
      <c r="ANZ728" s="5"/>
      <c r="AOA728" s="5"/>
      <c r="AOB728" s="5"/>
      <c r="AOC728" s="5"/>
      <c r="AOD728" s="5"/>
      <c r="AOE728" s="5"/>
      <c r="AOF728" s="5"/>
      <c r="AOG728" s="5"/>
      <c r="AOH728" s="5"/>
      <c r="AOI728" s="5"/>
      <c r="AOJ728" s="5"/>
      <c r="AOK728" s="5"/>
      <c r="AOL728" s="5"/>
      <c r="AOM728" s="5"/>
      <c r="AON728" s="5"/>
      <c r="AOO728" s="5"/>
      <c r="AOP728" s="5"/>
      <c r="AOQ728" s="5"/>
      <c r="AOR728" s="5"/>
      <c r="AOS728" s="5"/>
      <c r="AOT728" s="5"/>
      <c r="AOU728" s="5"/>
      <c r="AOV728" s="5"/>
      <c r="AOW728" s="5"/>
      <c r="AOX728" s="5"/>
      <c r="AOY728" s="5"/>
      <c r="AOZ728" s="5"/>
      <c r="APA728" s="5"/>
      <c r="APB728" s="5"/>
      <c r="APC728" s="5"/>
      <c r="APD728" s="5"/>
      <c r="APE728" s="5"/>
      <c r="APF728" s="5"/>
      <c r="APG728" s="5"/>
      <c r="APH728" s="5"/>
      <c r="API728" s="5"/>
      <c r="APJ728" s="5"/>
      <c r="APK728" s="5"/>
      <c r="APL728" s="5"/>
      <c r="APM728" s="5"/>
      <c r="APN728" s="5"/>
      <c r="APO728" s="5"/>
      <c r="APP728" s="5"/>
      <c r="APQ728" s="5"/>
      <c r="APR728" s="5"/>
      <c r="APS728" s="5"/>
      <c r="APT728" s="5"/>
      <c r="APU728" s="5"/>
      <c r="APV728" s="5"/>
      <c r="APW728" s="5"/>
      <c r="APX728" s="5"/>
      <c r="APY728" s="5"/>
      <c r="APZ728" s="5"/>
      <c r="AQA728" s="5"/>
      <c r="AQB728" s="5"/>
      <c r="AQC728" s="5"/>
      <c r="AQD728" s="5"/>
      <c r="AQE728" s="5"/>
      <c r="AQF728" s="5"/>
      <c r="AQG728" s="5"/>
      <c r="AQH728" s="5"/>
      <c r="AQI728" s="5"/>
      <c r="AQJ728" s="5"/>
      <c r="AQK728" s="5"/>
      <c r="AQL728" s="5"/>
      <c r="AQM728" s="5"/>
      <c r="AQN728" s="5"/>
      <c r="AQO728" s="5"/>
      <c r="AQP728" s="5"/>
      <c r="AQQ728" s="5"/>
      <c r="AQR728" s="5"/>
      <c r="AQS728" s="5"/>
      <c r="AQT728" s="5"/>
      <c r="AQU728" s="5"/>
      <c r="AQV728" s="5"/>
      <c r="AQW728" s="5"/>
      <c r="AQX728" s="5"/>
      <c r="AQY728" s="5"/>
      <c r="AQZ728" s="5"/>
      <c r="ARA728" s="5"/>
      <c r="ARB728" s="5"/>
      <c r="ARC728" s="5"/>
      <c r="ARD728" s="5"/>
      <c r="ARE728" s="5"/>
      <c r="ARF728" s="5"/>
      <c r="ARG728" s="5"/>
      <c r="ARH728" s="5"/>
      <c r="ARI728" s="5"/>
      <c r="ARJ728" s="5"/>
      <c r="ARK728" s="5"/>
      <c r="ARL728" s="5"/>
      <c r="ARM728" s="5"/>
      <c r="ARN728" s="5"/>
      <c r="ARO728" s="5"/>
      <c r="ARP728" s="5"/>
      <c r="ARQ728" s="5"/>
      <c r="ARR728" s="5"/>
      <c r="ARS728" s="5"/>
      <c r="ART728" s="5"/>
      <c r="ARU728" s="5"/>
      <c r="ARV728" s="5"/>
      <c r="ARW728" s="5"/>
      <c r="ARX728" s="5"/>
      <c r="ARY728" s="5"/>
      <c r="ARZ728" s="5"/>
      <c r="ASA728" s="5"/>
      <c r="ASB728" s="5"/>
      <c r="ASC728" s="5"/>
      <c r="ASD728" s="5"/>
      <c r="ASE728" s="5"/>
      <c r="ASF728" s="5"/>
      <c r="ASG728" s="5"/>
      <c r="ASH728" s="5"/>
      <c r="ASI728" s="5"/>
      <c r="ASJ728" s="5"/>
      <c r="ASK728" s="5"/>
      <c r="ASL728" s="5"/>
      <c r="ASM728" s="5"/>
      <c r="ASN728" s="5"/>
      <c r="ASO728" s="5"/>
      <c r="ASP728" s="5"/>
      <c r="ASQ728" s="5"/>
      <c r="ASR728" s="5"/>
      <c r="ASS728" s="5"/>
      <c r="AST728" s="5"/>
      <c r="ASU728" s="5"/>
      <c r="ASV728" s="5"/>
      <c r="ASW728" s="5"/>
      <c r="ASX728" s="5"/>
      <c r="ASY728" s="5"/>
      <c r="ASZ728" s="5"/>
      <c r="ATA728" s="5"/>
      <c r="ATB728" s="5"/>
      <c r="ATC728" s="5"/>
      <c r="ATD728" s="5"/>
      <c r="ATE728" s="5"/>
      <c r="ATF728" s="5"/>
      <c r="ATG728" s="5"/>
      <c r="ATH728" s="5"/>
      <c r="ATI728" s="5"/>
      <c r="ATJ728" s="5"/>
      <c r="ATK728" s="5"/>
      <c r="ATL728" s="5"/>
      <c r="ATM728" s="5"/>
      <c r="ATN728" s="5"/>
      <c r="ATO728" s="5"/>
      <c r="ATP728" s="5"/>
      <c r="ATQ728" s="5"/>
      <c r="ATR728" s="5"/>
      <c r="ATS728" s="5"/>
      <c r="ATT728" s="5"/>
      <c r="ATU728" s="5"/>
      <c r="ATV728" s="5"/>
      <c r="ATW728" s="5"/>
      <c r="ATX728" s="5"/>
    </row>
    <row r="729" spans="1:1220" s="67" customFormat="1" ht="12.75" customHeight="1" x14ac:dyDescent="0.35">
      <c r="A729" s="76" t="s">
        <v>229</v>
      </c>
      <c r="B729" s="99" t="s">
        <v>324</v>
      </c>
      <c r="C729" s="76" t="s">
        <v>2629</v>
      </c>
      <c r="D729" s="142" t="s">
        <v>2629</v>
      </c>
      <c r="E729" s="76"/>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5"/>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s="5"/>
      <c r="FG729" s="5"/>
      <c r="FH729" s="5"/>
      <c r="FI729" s="5"/>
      <c r="FJ729" s="5"/>
      <c r="FK729" s="5"/>
      <c r="FL729" s="5"/>
      <c r="FM729" s="5"/>
      <c r="FN729" s="5"/>
      <c r="FO729" s="5"/>
      <c r="FP729" s="5"/>
      <c r="FQ729" s="5"/>
      <c r="FR729" s="5"/>
      <c r="FS729" s="5"/>
      <c r="FT729" s="5"/>
      <c r="FU729" s="5"/>
      <c r="FV729" s="5"/>
      <c r="FW729" s="5"/>
      <c r="FX729" s="5"/>
      <c r="FY729" s="5"/>
      <c r="FZ729" s="5"/>
      <c r="GA729" s="5"/>
      <c r="GB729" s="5"/>
      <c r="GC729" s="5"/>
      <c r="GD729" s="5"/>
      <c r="GE729" s="5"/>
      <c r="GF729" s="5"/>
      <c r="GG729" s="5"/>
      <c r="GH729" s="5"/>
      <c r="GI729" s="5"/>
      <c r="GJ729" s="5"/>
      <c r="GK729" s="5"/>
      <c r="GL729" s="5"/>
      <c r="GM729" s="5"/>
      <c r="GN729" s="5"/>
      <c r="GO729" s="5"/>
      <c r="GP729" s="5"/>
      <c r="GQ729" s="5"/>
      <c r="GR729" s="5"/>
      <c r="GS729" s="5"/>
      <c r="GT729" s="5"/>
      <c r="GU729" s="5"/>
      <c r="GV729" s="5"/>
      <c r="GW729" s="5"/>
      <c r="GX729" s="5"/>
      <c r="GY729" s="5"/>
      <c r="GZ729" s="5"/>
      <c r="HA729" s="5"/>
      <c r="HB729" s="5"/>
      <c r="HC729" s="5"/>
      <c r="HD729" s="5"/>
      <c r="HE729" s="5"/>
      <c r="HF729" s="5"/>
      <c r="HG729" s="5"/>
      <c r="HH729" s="5"/>
      <c r="HI729" s="5"/>
      <c r="HJ729" s="5"/>
      <c r="HK729" s="5"/>
      <c r="HL729" s="5"/>
      <c r="HM729" s="5"/>
      <c r="HN729" s="5"/>
      <c r="HO729" s="5"/>
      <c r="HP729" s="5"/>
      <c r="HQ729" s="5"/>
      <c r="HR729" s="5"/>
      <c r="HS729" s="5"/>
      <c r="HT729" s="5"/>
      <c r="HU729" s="5"/>
      <c r="HV729" s="5"/>
      <c r="HW729" s="5"/>
      <c r="HX729" s="5"/>
      <c r="HY729" s="5"/>
      <c r="HZ729" s="5"/>
      <c r="IA729" s="5"/>
      <c r="IB729" s="5"/>
      <c r="IC729" s="5"/>
      <c r="ID729" s="5"/>
      <c r="IE729" s="5"/>
      <c r="IF729" s="5"/>
      <c r="IG729" s="5"/>
      <c r="IH729" s="5"/>
      <c r="II729" s="5"/>
      <c r="IJ729" s="5"/>
      <c r="IK729" s="5"/>
      <c r="IL729" s="5"/>
      <c r="IM729" s="5"/>
      <c r="IN729" s="5"/>
      <c r="IO729" s="5"/>
      <c r="IP729" s="5"/>
      <c r="IQ729" s="5"/>
      <c r="IR729" s="5"/>
      <c r="IS729" s="5"/>
      <c r="IT729" s="5"/>
      <c r="IU729" s="5"/>
      <c r="IV729" s="5"/>
      <c r="IW729" s="5"/>
      <c r="IX729" s="5"/>
      <c r="IY729" s="5"/>
      <c r="IZ729" s="5"/>
      <c r="JA729" s="5"/>
      <c r="JB729" s="5"/>
      <c r="JC729" s="5"/>
      <c r="JD729" s="5"/>
      <c r="JE729" s="5"/>
      <c r="JF729" s="5"/>
      <c r="JG729" s="5"/>
      <c r="JH729" s="5"/>
      <c r="JI729" s="5"/>
      <c r="JJ729" s="5"/>
      <c r="JK729" s="5"/>
      <c r="JL729" s="5"/>
      <c r="JM729" s="5"/>
      <c r="JN729" s="5"/>
      <c r="JO729" s="5"/>
      <c r="JP729" s="5"/>
      <c r="JQ729" s="5"/>
      <c r="JR729" s="5"/>
      <c r="JS729" s="5"/>
      <c r="JT729" s="5"/>
      <c r="JU729" s="5"/>
      <c r="JV729" s="5"/>
      <c r="JW729" s="5"/>
      <c r="JX729" s="5"/>
      <c r="JY729" s="5"/>
      <c r="JZ729" s="5"/>
      <c r="KA729" s="5"/>
      <c r="KB729" s="5"/>
      <c r="KC729" s="5"/>
      <c r="KD729" s="5"/>
      <c r="KE729" s="5"/>
      <c r="KF729" s="5"/>
      <c r="KG729" s="5"/>
      <c r="KH729" s="5"/>
      <c r="KI729" s="5"/>
      <c r="KJ729" s="5"/>
      <c r="KK729" s="5"/>
      <c r="KL729" s="5"/>
      <c r="KM729" s="5"/>
      <c r="KN729" s="5"/>
      <c r="KO729" s="5"/>
      <c r="KP729" s="5"/>
      <c r="KQ729" s="5"/>
      <c r="KR729" s="5"/>
      <c r="KS729" s="5"/>
      <c r="KT729" s="5"/>
      <c r="KU729" s="5"/>
      <c r="KV729" s="5"/>
      <c r="KW729" s="5"/>
      <c r="KX729" s="5"/>
      <c r="KY729" s="5"/>
      <c r="KZ729" s="5"/>
      <c r="LA729" s="5"/>
      <c r="LB729" s="5"/>
      <c r="LC729" s="5"/>
      <c r="LD729" s="5"/>
      <c r="LE729" s="5"/>
      <c r="LF729" s="5"/>
      <c r="LG729" s="5"/>
      <c r="LH729" s="5"/>
      <c r="LI729" s="5"/>
      <c r="LJ729" s="5"/>
      <c r="LK729" s="5"/>
      <c r="LL729" s="5"/>
      <c r="LM729" s="5"/>
      <c r="LN729" s="5"/>
      <c r="LO729" s="5"/>
      <c r="LP729" s="5"/>
      <c r="LQ729" s="5"/>
      <c r="LR729" s="5"/>
      <c r="LS729" s="5"/>
      <c r="LT729" s="5"/>
      <c r="LU729" s="5"/>
      <c r="LV729" s="5"/>
      <c r="LW729" s="5"/>
      <c r="LX729" s="5"/>
      <c r="LY729" s="5"/>
      <c r="LZ729" s="5"/>
      <c r="MA729" s="5"/>
      <c r="MB729" s="5"/>
      <c r="MC729" s="5"/>
      <c r="MD729" s="5"/>
      <c r="ME729" s="5"/>
      <c r="MF729" s="5"/>
      <c r="MG729" s="5"/>
      <c r="MH729" s="5"/>
      <c r="MI729" s="5"/>
      <c r="MJ729" s="5"/>
      <c r="MK729" s="5"/>
      <c r="ML729" s="5"/>
      <c r="MM729" s="5"/>
      <c r="MN729" s="5"/>
      <c r="MO729" s="5"/>
      <c r="MP729" s="5"/>
      <c r="MQ729" s="5"/>
      <c r="MR729" s="5"/>
      <c r="MS729" s="5"/>
      <c r="MT729" s="5"/>
      <c r="MU729" s="5"/>
      <c r="MV729" s="5"/>
      <c r="MW729" s="5"/>
      <c r="MX729" s="5"/>
      <c r="MY729" s="5"/>
      <c r="MZ729" s="5"/>
      <c r="NA729" s="5"/>
      <c r="NB729" s="5"/>
      <c r="NC729" s="5"/>
      <c r="ND729" s="5"/>
      <c r="NE729" s="5"/>
      <c r="NF729" s="5"/>
      <c r="NG729" s="5"/>
      <c r="NH729" s="5"/>
      <c r="NI729" s="5"/>
      <c r="NJ729" s="5"/>
      <c r="NK729" s="5"/>
      <c r="NL729" s="5"/>
      <c r="NM729" s="5"/>
      <c r="NN729" s="5"/>
      <c r="NO729" s="5"/>
      <c r="NP729" s="5"/>
      <c r="NQ729" s="5"/>
      <c r="NR729" s="5"/>
      <c r="NS729" s="5"/>
      <c r="NT729" s="5"/>
      <c r="NU729" s="5"/>
      <c r="NV729" s="5"/>
      <c r="NW729" s="5"/>
      <c r="NX729" s="5"/>
      <c r="NY729" s="5"/>
      <c r="NZ729" s="5"/>
      <c r="OA729" s="5"/>
      <c r="OB729" s="5"/>
      <c r="OC729" s="5"/>
      <c r="OD729" s="5"/>
      <c r="OE729" s="5"/>
      <c r="OF729" s="5"/>
      <c r="OG729" s="5"/>
      <c r="OH729" s="5"/>
      <c r="OI729" s="5"/>
      <c r="OJ729" s="5"/>
      <c r="OK729" s="5"/>
      <c r="OL729" s="5"/>
      <c r="OM729" s="5"/>
      <c r="ON729" s="5"/>
      <c r="OO729" s="5"/>
      <c r="OP729" s="5"/>
      <c r="OQ729" s="5"/>
      <c r="OR729" s="5"/>
      <c r="OS729" s="5"/>
      <c r="OT729" s="5"/>
      <c r="OU729" s="5"/>
      <c r="OV729" s="5"/>
      <c r="OW729" s="5"/>
      <c r="OX729" s="5"/>
      <c r="OY729" s="5"/>
      <c r="OZ729" s="5"/>
      <c r="PA729" s="5"/>
      <c r="PB729" s="5"/>
      <c r="PC729" s="5"/>
      <c r="PD729" s="5"/>
      <c r="PE729" s="5"/>
      <c r="PF729" s="5"/>
      <c r="PG729" s="5"/>
      <c r="PH729" s="5"/>
      <c r="PI729" s="5"/>
      <c r="PJ729" s="5"/>
      <c r="PK729" s="5"/>
      <c r="PL729" s="5"/>
      <c r="PM729" s="5"/>
      <c r="PN729" s="5"/>
      <c r="PO729" s="5"/>
      <c r="PP729" s="5"/>
      <c r="PQ729" s="5"/>
      <c r="PR729" s="5"/>
      <c r="PS729" s="5"/>
      <c r="PT729" s="5"/>
      <c r="PU729" s="5"/>
      <c r="PV729" s="5"/>
      <c r="PW729" s="5"/>
      <c r="PX729" s="5"/>
      <c r="PY729" s="5"/>
      <c r="PZ729" s="5"/>
      <c r="QA729" s="5"/>
      <c r="QB729" s="5"/>
      <c r="QC729" s="5"/>
      <c r="QD729" s="5"/>
      <c r="QE729" s="5"/>
      <c r="QF729" s="5"/>
      <c r="QG729" s="5"/>
      <c r="QH729" s="5"/>
      <c r="QI729" s="5"/>
      <c r="QJ729" s="5"/>
      <c r="QK729" s="5"/>
      <c r="QL729" s="5"/>
      <c r="QM729" s="5"/>
      <c r="QN729" s="5"/>
      <c r="QO729" s="5"/>
      <c r="QP729" s="5"/>
      <c r="QQ729" s="5"/>
      <c r="QR729" s="5"/>
      <c r="QS729" s="5"/>
      <c r="QT729" s="5"/>
      <c r="QU729" s="5"/>
      <c r="QV729" s="5"/>
      <c r="QW729" s="5"/>
      <c r="QX729" s="5"/>
      <c r="QY729" s="5"/>
      <c r="QZ729" s="5"/>
      <c r="RA729" s="5"/>
      <c r="RB729" s="5"/>
      <c r="RC729" s="5"/>
      <c r="RD729" s="5"/>
      <c r="RE729" s="5"/>
      <c r="RF729" s="5"/>
      <c r="RG729" s="5"/>
      <c r="RH729" s="5"/>
      <c r="RI729" s="5"/>
      <c r="RJ729" s="5"/>
      <c r="RK729" s="5"/>
      <c r="RL729" s="5"/>
      <c r="RM729" s="5"/>
      <c r="RN729" s="5"/>
      <c r="RO729" s="5"/>
      <c r="RP729" s="5"/>
      <c r="RQ729" s="5"/>
      <c r="RR729" s="5"/>
      <c r="RS729" s="5"/>
      <c r="RT729" s="5"/>
      <c r="RU729" s="5"/>
      <c r="RV729" s="5"/>
      <c r="RW729" s="5"/>
      <c r="RX729" s="5"/>
      <c r="RY729" s="5"/>
      <c r="RZ729" s="5"/>
      <c r="SA729" s="5"/>
      <c r="SB729" s="5"/>
      <c r="SC729" s="5"/>
      <c r="SD729" s="5"/>
      <c r="SE729" s="5"/>
      <c r="SF729" s="5"/>
      <c r="SG729" s="5"/>
      <c r="SH729" s="5"/>
      <c r="SI729" s="5"/>
      <c r="SJ729" s="5"/>
      <c r="SK729" s="5"/>
      <c r="SL729" s="5"/>
      <c r="SM729" s="5"/>
      <c r="SN729" s="5"/>
      <c r="SO729" s="5"/>
      <c r="SP729" s="5"/>
      <c r="SQ729" s="5"/>
      <c r="SR729" s="5"/>
      <c r="SS729" s="5"/>
      <c r="ST729" s="5"/>
      <c r="SU729" s="5"/>
      <c r="SV729" s="5"/>
      <c r="SW729" s="5"/>
      <c r="SX729" s="5"/>
      <c r="SY729" s="5"/>
      <c r="SZ729" s="5"/>
      <c r="TA729" s="5"/>
      <c r="TB729" s="5"/>
      <c r="TC729" s="5"/>
      <c r="TD729" s="5"/>
      <c r="TE729" s="5"/>
      <c r="TF729" s="5"/>
      <c r="TG729" s="5"/>
      <c r="TH729" s="5"/>
      <c r="TI729" s="5"/>
      <c r="TJ729" s="5"/>
      <c r="TK729" s="5"/>
      <c r="TL729" s="5"/>
      <c r="TM729" s="5"/>
      <c r="TN729" s="5"/>
      <c r="TO729" s="5"/>
      <c r="TP729" s="5"/>
      <c r="TQ729" s="5"/>
      <c r="TR729" s="5"/>
      <c r="TS729" s="5"/>
      <c r="TT729" s="5"/>
      <c r="TU729" s="5"/>
      <c r="TV729" s="5"/>
      <c r="TW729" s="5"/>
      <c r="TX729" s="5"/>
      <c r="TY729" s="5"/>
      <c r="TZ729" s="5"/>
      <c r="UA729" s="5"/>
      <c r="UB729" s="5"/>
      <c r="UC729" s="5"/>
      <c r="UD729" s="5"/>
      <c r="UE729" s="5"/>
      <c r="UF729" s="5"/>
      <c r="UG729" s="5"/>
      <c r="UH729" s="5"/>
      <c r="UI729" s="5"/>
      <c r="UJ729" s="5"/>
      <c r="UK729" s="5"/>
      <c r="UL729" s="5"/>
      <c r="UM729" s="5"/>
      <c r="UN729" s="5"/>
      <c r="UO729" s="5"/>
      <c r="UP729" s="5"/>
      <c r="UQ729" s="5"/>
      <c r="UR729" s="5"/>
      <c r="US729" s="5"/>
      <c r="UT729" s="5"/>
      <c r="UU729" s="5"/>
      <c r="UV729" s="5"/>
      <c r="UW729" s="5"/>
      <c r="UX729" s="5"/>
      <c r="UY729" s="5"/>
      <c r="UZ729" s="5"/>
      <c r="VA729" s="5"/>
      <c r="VB729" s="5"/>
      <c r="VC729" s="5"/>
      <c r="VD729" s="5"/>
      <c r="VE729" s="5"/>
      <c r="VF729" s="5"/>
      <c r="VG729" s="5"/>
      <c r="VH729" s="5"/>
      <c r="VI729" s="5"/>
      <c r="VJ729" s="5"/>
      <c r="VK729" s="5"/>
      <c r="VL729" s="5"/>
      <c r="VM729" s="5"/>
      <c r="VN729" s="5"/>
      <c r="VO729" s="5"/>
      <c r="VP729" s="5"/>
      <c r="VQ729" s="5"/>
      <c r="VR729" s="5"/>
      <c r="VS729" s="5"/>
      <c r="VT729" s="5"/>
      <c r="VU729" s="5"/>
      <c r="VV729" s="5"/>
      <c r="VW729" s="5"/>
      <c r="VX729" s="5"/>
      <c r="VY729" s="5"/>
      <c r="VZ729" s="5"/>
      <c r="WA729" s="5"/>
      <c r="WB729" s="5"/>
      <c r="WC729" s="5"/>
      <c r="WD729" s="5"/>
      <c r="WE729" s="5"/>
      <c r="WF729" s="5"/>
      <c r="WG729" s="5"/>
      <c r="WH729" s="5"/>
      <c r="WI729" s="5"/>
      <c r="WJ729" s="5"/>
      <c r="WK729" s="5"/>
      <c r="WL729" s="5"/>
      <c r="WM729" s="5"/>
      <c r="WN729" s="5"/>
      <c r="WO729" s="5"/>
      <c r="WP729" s="5"/>
      <c r="WQ729" s="5"/>
      <c r="WR729" s="5"/>
      <c r="WS729" s="5"/>
      <c r="WT729" s="5"/>
      <c r="WU729" s="5"/>
      <c r="WV729" s="5"/>
      <c r="WW729" s="5"/>
      <c r="WX729" s="5"/>
      <c r="WY729" s="5"/>
      <c r="WZ729" s="5"/>
      <c r="XA729" s="5"/>
      <c r="XB729" s="5"/>
      <c r="XC729" s="5"/>
      <c r="XD729" s="5"/>
      <c r="XE729" s="5"/>
      <c r="XF729" s="5"/>
      <c r="XG729" s="5"/>
      <c r="XH729" s="5"/>
      <c r="XI729" s="5"/>
      <c r="XJ729" s="5"/>
      <c r="XK729" s="5"/>
      <c r="XL729" s="5"/>
      <c r="XM729" s="5"/>
      <c r="XN729" s="5"/>
      <c r="XO729" s="5"/>
      <c r="XP729" s="5"/>
      <c r="XQ729" s="5"/>
      <c r="XR729" s="5"/>
      <c r="XS729" s="5"/>
      <c r="XT729" s="5"/>
      <c r="XU729" s="5"/>
      <c r="XV729" s="5"/>
      <c r="XW729" s="5"/>
      <c r="XX729" s="5"/>
      <c r="XY729" s="5"/>
      <c r="XZ729" s="5"/>
      <c r="YA729" s="5"/>
      <c r="YB729" s="5"/>
      <c r="YC729" s="5"/>
      <c r="YD729" s="5"/>
      <c r="YE729" s="5"/>
      <c r="YF729" s="5"/>
      <c r="YG729" s="5"/>
      <c r="YH729" s="5"/>
      <c r="YI729" s="5"/>
      <c r="YJ729" s="5"/>
      <c r="YK729" s="5"/>
      <c r="YL729" s="5"/>
      <c r="YM729" s="5"/>
      <c r="YN729" s="5"/>
      <c r="YO729" s="5"/>
      <c r="YP729" s="5"/>
      <c r="YQ729" s="5"/>
      <c r="YR729" s="5"/>
      <c r="YS729" s="5"/>
      <c r="YT729" s="5"/>
      <c r="YU729" s="5"/>
      <c r="YV729" s="5"/>
      <c r="YW729" s="5"/>
      <c r="YX729" s="5"/>
      <c r="YY729" s="5"/>
      <c r="YZ729" s="5"/>
      <c r="ZA729" s="5"/>
      <c r="ZB729" s="5"/>
      <c r="ZC729" s="5"/>
      <c r="ZD729" s="5"/>
      <c r="ZE729" s="5"/>
      <c r="ZF729" s="5"/>
      <c r="ZG729" s="5"/>
      <c r="ZH729" s="5"/>
      <c r="ZI729" s="5"/>
      <c r="ZJ729" s="5"/>
      <c r="ZK729" s="5"/>
      <c r="ZL729" s="5"/>
      <c r="ZM729" s="5"/>
      <c r="ZN729" s="5"/>
      <c r="ZO729" s="5"/>
      <c r="ZP729" s="5"/>
      <c r="ZQ729" s="5"/>
      <c r="ZR729" s="5"/>
      <c r="ZS729" s="5"/>
      <c r="ZT729" s="5"/>
      <c r="ZU729" s="5"/>
      <c r="ZV729" s="5"/>
      <c r="ZW729" s="5"/>
      <c r="ZX729" s="5"/>
      <c r="ZY729" s="5"/>
      <c r="ZZ729" s="5"/>
      <c r="AAA729" s="5"/>
      <c r="AAB729" s="5"/>
      <c r="AAC729" s="5"/>
      <c r="AAD729" s="5"/>
      <c r="AAE729" s="5"/>
      <c r="AAF729" s="5"/>
      <c r="AAG729" s="5"/>
      <c r="AAH729" s="5"/>
      <c r="AAI729" s="5"/>
      <c r="AAJ729" s="5"/>
      <c r="AAK729" s="5"/>
      <c r="AAL729" s="5"/>
      <c r="AAM729" s="5"/>
      <c r="AAN729" s="5"/>
      <c r="AAO729" s="5"/>
      <c r="AAP729" s="5"/>
      <c r="AAQ729" s="5"/>
      <c r="AAR729" s="5"/>
      <c r="AAS729" s="5"/>
      <c r="AAT729" s="5"/>
      <c r="AAU729" s="5"/>
      <c r="AAV729" s="5"/>
      <c r="AAW729" s="5"/>
      <c r="AAX729" s="5"/>
      <c r="AAY729" s="5"/>
      <c r="AAZ729" s="5"/>
      <c r="ABA729" s="5"/>
      <c r="ABB729" s="5"/>
      <c r="ABC729" s="5"/>
      <c r="ABD729" s="5"/>
      <c r="ABE729" s="5"/>
      <c r="ABF729" s="5"/>
      <c r="ABG729" s="5"/>
      <c r="ABH729" s="5"/>
      <c r="ABI729" s="5"/>
      <c r="ABJ729" s="5"/>
      <c r="ABK729" s="5"/>
      <c r="ABL729" s="5"/>
      <c r="ABM729" s="5"/>
      <c r="ABN729" s="5"/>
      <c r="ABO729" s="5"/>
      <c r="ABP729" s="5"/>
      <c r="ABQ729" s="5"/>
      <c r="ABR729" s="5"/>
      <c r="ABS729" s="5"/>
      <c r="ABT729" s="5"/>
      <c r="ABU729" s="5"/>
      <c r="ABV729" s="5"/>
      <c r="ABW729" s="5"/>
      <c r="ABX729" s="5"/>
      <c r="ABY729" s="5"/>
      <c r="ABZ729" s="5"/>
      <c r="ACA729" s="5"/>
      <c r="ACB729" s="5"/>
      <c r="ACC729" s="5"/>
      <c r="ACD729" s="5"/>
      <c r="ACE729" s="5"/>
      <c r="ACF729" s="5"/>
      <c r="ACG729" s="5"/>
      <c r="ACH729" s="5"/>
      <c r="ACI729" s="5"/>
      <c r="ACJ729" s="5"/>
      <c r="ACK729" s="5"/>
      <c r="ACL729" s="5"/>
      <c r="ACM729" s="5"/>
      <c r="ACN729" s="5"/>
      <c r="ACO729" s="5"/>
      <c r="ACP729" s="5"/>
      <c r="ACQ729" s="5"/>
      <c r="ACR729" s="5"/>
      <c r="ACS729" s="5"/>
      <c r="ACT729" s="5"/>
      <c r="ACU729" s="5"/>
      <c r="ACV729" s="5"/>
      <c r="ACW729" s="5"/>
      <c r="ACX729" s="5"/>
      <c r="ACY729" s="5"/>
      <c r="ACZ729" s="5"/>
      <c r="ADA729" s="5"/>
      <c r="ADB729" s="5"/>
      <c r="ADC729" s="5"/>
      <c r="ADD729" s="5"/>
      <c r="ADE729" s="5"/>
      <c r="ADF729" s="5"/>
      <c r="ADG729" s="5"/>
      <c r="ADH729" s="5"/>
      <c r="ADI729" s="5"/>
      <c r="ADJ729" s="5"/>
      <c r="ADK729" s="5"/>
      <c r="ADL729" s="5"/>
      <c r="ADM729" s="5"/>
      <c r="ADN729" s="5"/>
      <c r="ADO729" s="5"/>
      <c r="ADP729" s="5"/>
      <c r="ADQ729" s="5"/>
      <c r="ADR729" s="5"/>
      <c r="ADS729" s="5"/>
      <c r="ADT729" s="5"/>
      <c r="ADU729" s="5"/>
      <c r="ADV729" s="5"/>
      <c r="ADW729" s="5"/>
      <c r="ADX729" s="5"/>
      <c r="ADY729" s="5"/>
      <c r="ADZ729" s="5"/>
      <c r="AEA729" s="5"/>
      <c r="AEB729" s="5"/>
      <c r="AEC729" s="5"/>
      <c r="AED729" s="5"/>
      <c r="AEE729" s="5"/>
      <c r="AEF729" s="5"/>
      <c r="AEG729" s="5"/>
      <c r="AEH729" s="5"/>
      <c r="AEI729" s="5"/>
      <c r="AEJ729" s="5"/>
      <c r="AEK729" s="5"/>
      <c r="AEL729" s="5"/>
      <c r="AEM729" s="5"/>
      <c r="AEN729" s="5"/>
      <c r="AEO729" s="5"/>
      <c r="AEP729" s="5"/>
      <c r="AEQ729" s="5"/>
      <c r="AER729" s="5"/>
      <c r="AES729" s="5"/>
      <c r="AET729" s="5"/>
      <c r="AEU729" s="5"/>
      <c r="AEV729" s="5"/>
      <c r="AEW729" s="5"/>
      <c r="AEX729" s="5"/>
      <c r="AEY729" s="5"/>
      <c r="AEZ729" s="5"/>
      <c r="AFA729" s="5"/>
      <c r="AFB729" s="5"/>
      <c r="AFC729" s="5"/>
      <c r="AFD729" s="5"/>
      <c r="AFE729" s="5"/>
      <c r="AFF729" s="5"/>
      <c r="AFG729" s="5"/>
      <c r="AFH729" s="5"/>
      <c r="AFI729" s="5"/>
      <c r="AFJ729" s="5"/>
      <c r="AFK729" s="5"/>
      <c r="AFL729" s="5"/>
      <c r="AFM729" s="5"/>
      <c r="AFN729" s="5"/>
      <c r="AFO729" s="5"/>
      <c r="AFP729" s="5"/>
      <c r="AFQ729" s="5"/>
      <c r="AFR729" s="5"/>
      <c r="AFS729" s="5"/>
      <c r="AFT729" s="5"/>
      <c r="AFU729" s="5"/>
      <c r="AFV729" s="5"/>
      <c r="AFW729" s="5"/>
      <c r="AFX729" s="5"/>
      <c r="AFY729" s="5"/>
      <c r="AFZ729" s="5"/>
      <c r="AGA729" s="5"/>
      <c r="AGB729" s="5"/>
      <c r="AGC729" s="5"/>
      <c r="AGD729" s="5"/>
      <c r="AGE729" s="5"/>
      <c r="AGF729" s="5"/>
      <c r="AGG729" s="5"/>
      <c r="AGH729" s="5"/>
      <c r="AGI729" s="5"/>
      <c r="AGJ729" s="5"/>
      <c r="AGK729" s="5"/>
      <c r="AGL729" s="5"/>
      <c r="AGM729" s="5"/>
      <c r="AGN729" s="5"/>
      <c r="AGO729" s="5"/>
      <c r="AGP729" s="5"/>
      <c r="AGQ729" s="5"/>
      <c r="AGR729" s="5"/>
      <c r="AGS729" s="5"/>
      <c r="AGT729" s="5"/>
      <c r="AGU729" s="5"/>
      <c r="AGV729" s="5"/>
      <c r="AGW729" s="5"/>
      <c r="AGX729" s="5"/>
      <c r="AGY729" s="5"/>
      <c r="AGZ729" s="5"/>
      <c r="AHA729" s="5"/>
      <c r="AHB729" s="5"/>
      <c r="AHC729" s="5"/>
      <c r="AHD729" s="5"/>
      <c r="AHE729" s="5"/>
      <c r="AHF729" s="5"/>
      <c r="AHG729" s="5"/>
      <c r="AHH729" s="5"/>
      <c r="AHI729" s="5"/>
      <c r="AHJ729" s="5"/>
      <c r="AHK729" s="5"/>
      <c r="AHL729" s="5"/>
      <c r="AHM729" s="5"/>
      <c r="AHN729" s="5"/>
      <c r="AHO729" s="5"/>
      <c r="AHP729" s="5"/>
      <c r="AHQ729" s="5"/>
      <c r="AHR729" s="5"/>
      <c r="AHS729" s="5"/>
      <c r="AHT729" s="5"/>
      <c r="AHU729" s="5"/>
      <c r="AHV729" s="5"/>
      <c r="AHW729" s="5"/>
      <c r="AHX729" s="5"/>
      <c r="AHY729" s="5"/>
      <c r="AHZ729" s="5"/>
      <c r="AIA729" s="5"/>
      <c r="AIB729" s="5"/>
      <c r="AIC729" s="5"/>
      <c r="AID729" s="5"/>
      <c r="AIE729" s="5"/>
      <c r="AIF729" s="5"/>
      <c r="AIG729" s="5"/>
      <c r="AIH729" s="5"/>
      <c r="AII729" s="5"/>
      <c r="AIJ729" s="5"/>
      <c r="AIK729" s="5"/>
      <c r="AIL729" s="5"/>
      <c r="AIM729" s="5"/>
      <c r="AIN729" s="5"/>
      <c r="AIO729" s="5"/>
      <c r="AIP729" s="5"/>
      <c r="AIQ729" s="5"/>
      <c r="AIR729" s="5"/>
      <c r="AIS729" s="5"/>
      <c r="AIT729" s="5"/>
      <c r="AIU729" s="5"/>
      <c r="AIV729" s="5"/>
      <c r="AIW729" s="5"/>
      <c r="AIX729" s="5"/>
      <c r="AIY729" s="5"/>
      <c r="AIZ729" s="5"/>
      <c r="AJA729" s="5"/>
      <c r="AJB729" s="5"/>
      <c r="AJC729" s="5"/>
      <c r="AJD729" s="5"/>
      <c r="AJE729" s="5"/>
      <c r="AJF729" s="5"/>
      <c r="AJG729" s="5"/>
      <c r="AJH729" s="5"/>
      <c r="AJI729" s="5"/>
      <c r="AJJ729" s="5"/>
      <c r="AJK729" s="5"/>
      <c r="AJL729" s="5"/>
      <c r="AJM729" s="5"/>
      <c r="AJN729" s="5"/>
      <c r="AJO729" s="5"/>
      <c r="AJP729" s="5"/>
      <c r="AJQ729" s="5"/>
      <c r="AJR729" s="5"/>
      <c r="AJS729" s="5"/>
      <c r="AJT729" s="5"/>
      <c r="AJU729" s="5"/>
      <c r="AJV729" s="5"/>
      <c r="AJW729" s="5"/>
      <c r="AJX729" s="5"/>
      <c r="AJY729" s="5"/>
      <c r="AJZ729" s="5"/>
      <c r="AKA729" s="5"/>
      <c r="AKB729" s="5"/>
      <c r="AKC729" s="5"/>
      <c r="AKD729" s="5"/>
      <c r="AKE729" s="5"/>
      <c r="AKF729" s="5"/>
      <c r="AKG729" s="5"/>
      <c r="AKH729" s="5"/>
      <c r="AKI729" s="5"/>
      <c r="AKJ729" s="5"/>
      <c r="AKK729" s="5"/>
      <c r="AKL729" s="5"/>
      <c r="AKM729" s="5"/>
      <c r="AKN729" s="5"/>
      <c r="AKO729" s="5"/>
      <c r="AKP729" s="5"/>
      <c r="AKQ729" s="5"/>
      <c r="AKR729" s="5"/>
      <c r="AKS729" s="5"/>
      <c r="AKT729" s="5"/>
      <c r="AKU729" s="5"/>
      <c r="AKV729" s="5"/>
      <c r="AKW729" s="5"/>
      <c r="AKX729" s="5"/>
      <c r="AKY729" s="5"/>
      <c r="AKZ729" s="5"/>
      <c r="ALA729" s="5"/>
      <c r="ALB729" s="5"/>
      <c r="ALC729" s="5"/>
      <c r="ALD729" s="5"/>
      <c r="ALE729" s="5"/>
      <c r="ALF729" s="5"/>
      <c r="ALG729" s="5"/>
      <c r="ALH729" s="5"/>
      <c r="ALI729" s="5"/>
      <c r="ALJ729" s="5"/>
      <c r="ALK729" s="5"/>
      <c r="ALL729" s="5"/>
      <c r="ALM729" s="5"/>
      <c r="ALN729" s="5"/>
      <c r="ALO729" s="5"/>
      <c r="ALP729" s="5"/>
      <c r="ALQ729" s="5"/>
      <c r="ALR729" s="5"/>
      <c r="ALS729" s="5"/>
      <c r="ALT729" s="5"/>
      <c r="ALU729" s="5"/>
      <c r="ALV729" s="5"/>
      <c r="ALW729" s="5"/>
      <c r="ALX729" s="5"/>
      <c r="ALY729" s="5"/>
      <c r="ALZ729" s="5"/>
      <c r="AMA729" s="5"/>
      <c r="AMB729" s="5"/>
      <c r="AMC729" s="5"/>
      <c r="AMD729" s="5"/>
      <c r="AME729" s="5"/>
      <c r="AMF729" s="5"/>
      <c r="AMG729" s="5"/>
      <c r="AMH729" s="5"/>
      <c r="AMI729" s="5"/>
      <c r="AMJ729" s="5"/>
      <c r="AMK729" s="5"/>
      <c r="AML729" s="5"/>
      <c r="AMM729" s="5"/>
      <c r="AMN729" s="5"/>
      <c r="AMO729" s="5"/>
      <c r="AMP729" s="5"/>
      <c r="AMQ729" s="5"/>
      <c r="AMR729" s="5"/>
      <c r="AMS729" s="5"/>
      <c r="AMT729" s="5"/>
      <c r="AMU729" s="5"/>
      <c r="AMV729" s="5"/>
      <c r="AMW729" s="5"/>
      <c r="AMX729" s="5"/>
      <c r="AMY729" s="5"/>
      <c r="AMZ729" s="5"/>
      <c r="ANA729" s="5"/>
      <c r="ANB729" s="5"/>
      <c r="ANC729" s="5"/>
      <c r="AND729" s="5"/>
      <c r="ANE729" s="5"/>
      <c r="ANF729" s="5"/>
      <c r="ANG729" s="5"/>
      <c r="ANH729" s="5"/>
      <c r="ANI729" s="5"/>
      <c r="ANJ729" s="5"/>
      <c r="ANK729" s="5"/>
      <c r="ANL729" s="5"/>
      <c r="ANM729" s="5"/>
      <c r="ANN729" s="5"/>
      <c r="ANO729" s="5"/>
      <c r="ANP729" s="5"/>
      <c r="ANQ729" s="5"/>
      <c r="ANR729" s="5"/>
      <c r="ANS729" s="5"/>
      <c r="ANT729" s="5"/>
      <c r="ANU729" s="5"/>
      <c r="ANV729" s="5"/>
      <c r="ANW729" s="5"/>
      <c r="ANX729" s="5"/>
      <c r="ANY729" s="5"/>
      <c r="ANZ729" s="5"/>
      <c r="AOA729" s="5"/>
      <c r="AOB729" s="5"/>
      <c r="AOC729" s="5"/>
      <c r="AOD729" s="5"/>
      <c r="AOE729" s="5"/>
      <c r="AOF729" s="5"/>
      <c r="AOG729" s="5"/>
      <c r="AOH729" s="5"/>
      <c r="AOI729" s="5"/>
      <c r="AOJ729" s="5"/>
      <c r="AOK729" s="5"/>
      <c r="AOL729" s="5"/>
      <c r="AOM729" s="5"/>
      <c r="AON729" s="5"/>
      <c r="AOO729" s="5"/>
      <c r="AOP729" s="5"/>
      <c r="AOQ729" s="5"/>
      <c r="AOR729" s="5"/>
      <c r="AOS729" s="5"/>
      <c r="AOT729" s="5"/>
      <c r="AOU729" s="5"/>
      <c r="AOV729" s="5"/>
      <c r="AOW729" s="5"/>
      <c r="AOX729" s="5"/>
      <c r="AOY729" s="5"/>
      <c r="AOZ729" s="5"/>
      <c r="APA729" s="5"/>
      <c r="APB729" s="5"/>
      <c r="APC729" s="5"/>
      <c r="APD729" s="5"/>
      <c r="APE729" s="5"/>
      <c r="APF729" s="5"/>
      <c r="APG729" s="5"/>
      <c r="APH729" s="5"/>
      <c r="API729" s="5"/>
      <c r="APJ729" s="5"/>
      <c r="APK729" s="5"/>
      <c r="APL729" s="5"/>
      <c r="APM729" s="5"/>
      <c r="APN729" s="5"/>
      <c r="APO729" s="5"/>
      <c r="APP729" s="5"/>
      <c r="APQ729" s="5"/>
      <c r="APR729" s="5"/>
      <c r="APS729" s="5"/>
      <c r="APT729" s="5"/>
      <c r="APU729" s="5"/>
      <c r="APV729" s="5"/>
      <c r="APW729" s="5"/>
      <c r="APX729" s="5"/>
      <c r="APY729" s="5"/>
      <c r="APZ729" s="5"/>
      <c r="AQA729" s="5"/>
      <c r="AQB729" s="5"/>
      <c r="AQC729" s="5"/>
      <c r="AQD729" s="5"/>
      <c r="AQE729" s="5"/>
      <c r="AQF729" s="5"/>
      <c r="AQG729" s="5"/>
      <c r="AQH729" s="5"/>
      <c r="AQI729" s="5"/>
      <c r="AQJ729" s="5"/>
      <c r="AQK729" s="5"/>
      <c r="AQL729" s="5"/>
      <c r="AQM729" s="5"/>
      <c r="AQN729" s="5"/>
      <c r="AQO729" s="5"/>
      <c r="AQP729" s="5"/>
      <c r="AQQ729" s="5"/>
      <c r="AQR729" s="5"/>
      <c r="AQS729" s="5"/>
      <c r="AQT729" s="5"/>
      <c r="AQU729" s="5"/>
      <c r="AQV729" s="5"/>
      <c r="AQW729" s="5"/>
      <c r="AQX729" s="5"/>
      <c r="AQY729" s="5"/>
      <c r="AQZ729" s="5"/>
      <c r="ARA729" s="5"/>
      <c r="ARB729" s="5"/>
      <c r="ARC729" s="5"/>
      <c r="ARD729" s="5"/>
      <c r="ARE729" s="5"/>
      <c r="ARF729" s="5"/>
      <c r="ARG729" s="5"/>
      <c r="ARH729" s="5"/>
      <c r="ARI729" s="5"/>
      <c r="ARJ729" s="5"/>
      <c r="ARK729" s="5"/>
      <c r="ARL729" s="5"/>
      <c r="ARM729" s="5"/>
      <c r="ARN729" s="5"/>
      <c r="ARO729" s="5"/>
      <c r="ARP729" s="5"/>
      <c r="ARQ729" s="5"/>
      <c r="ARR729" s="5"/>
      <c r="ARS729" s="5"/>
      <c r="ART729" s="5"/>
      <c r="ARU729" s="5"/>
      <c r="ARV729" s="5"/>
      <c r="ARW729" s="5"/>
      <c r="ARX729" s="5"/>
      <c r="ARY729" s="5"/>
      <c r="ARZ729" s="5"/>
      <c r="ASA729" s="5"/>
      <c r="ASB729" s="5"/>
      <c r="ASC729" s="5"/>
      <c r="ASD729" s="5"/>
      <c r="ASE729" s="5"/>
      <c r="ASF729" s="5"/>
      <c r="ASG729" s="5"/>
      <c r="ASH729" s="5"/>
      <c r="ASI729" s="5"/>
      <c r="ASJ729" s="5"/>
      <c r="ASK729" s="5"/>
      <c r="ASL729" s="5"/>
      <c r="ASM729" s="5"/>
      <c r="ASN729" s="5"/>
      <c r="ASO729" s="5"/>
      <c r="ASP729" s="5"/>
      <c r="ASQ729" s="5"/>
      <c r="ASR729" s="5"/>
      <c r="ASS729" s="5"/>
      <c r="AST729" s="5"/>
      <c r="ASU729" s="5"/>
      <c r="ASV729" s="5"/>
      <c r="ASW729" s="5"/>
      <c r="ASX729" s="5"/>
      <c r="ASY729" s="5"/>
      <c r="ASZ729" s="5"/>
      <c r="ATA729" s="5"/>
      <c r="ATB729" s="5"/>
      <c r="ATC729" s="5"/>
      <c r="ATD729" s="5"/>
      <c r="ATE729" s="5"/>
      <c r="ATF729" s="5"/>
      <c r="ATG729" s="5"/>
      <c r="ATH729" s="5"/>
      <c r="ATI729" s="5"/>
      <c r="ATJ729" s="5"/>
      <c r="ATK729" s="5"/>
      <c r="ATL729" s="5"/>
      <c r="ATM729" s="5"/>
      <c r="ATN729" s="5"/>
      <c r="ATO729" s="5"/>
      <c r="ATP729" s="5"/>
      <c r="ATQ729" s="5"/>
      <c r="ATR729" s="5"/>
      <c r="ATS729" s="5"/>
      <c r="ATT729" s="5"/>
      <c r="ATU729" s="5"/>
      <c r="ATV729" s="5"/>
      <c r="ATW729" s="5"/>
      <c r="ATX729" s="5"/>
    </row>
    <row r="730" spans="1:1220" s="67" customFormat="1" ht="12.75" customHeight="1" x14ac:dyDescent="0.35">
      <c r="A730" s="76" t="s">
        <v>229</v>
      </c>
      <c r="B730" s="99" t="s">
        <v>331</v>
      </c>
      <c r="C730" s="76" t="s">
        <v>2630</v>
      </c>
      <c r="D730" s="142" t="s">
        <v>2630</v>
      </c>
      <c r="E730" s="76"/>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c r="DM730" s="5"/>
      <c r="DN730" s="5"/>
      <c r="DO730" s="5"/>
      <c r="DP730" s="5"/>
      <c r="DQ730" s="5"/>
      <c r="DR730" s="5"/>
      <c r="DS730" s="5"/>
      <c r="DT730" s="5"/>
      <c r="DU730" s="5"/>
      <c r="DV730" s="5"/>
      <c r="DW730" s="5"/>
      <c r="DX730" s="5"/>
      <c r="DY730" s="5"/>
      <c r="DZ730" s="5"/>
      <c r="EA730" s="5"/>
      <c r="EB730" s="5"/>
      <c r="EC730" s="5"/>
      <c r="ED730" s="5"/>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s="5"/>
      <c r="FG730" s="5"/>
      <c r="FH730" s="5"/>
      <c r="FI730" s="5"/>
      <c r="FJ730" s="5"/>
      <c r="FK730" s="5"/>
      <c r="FL730" s="5"/>
      <c r="FM730" s="5"/>
      <c r="FN730" s="5"/>
      <c r="FO730" s="5"/>
      <c r="FP730" s="5"/>
      <c r="FQ730" s="5"/>
      <c r="FR730" s="5"/>
      <c r="FS730" s="5"/>
      <c r="FT730" s="5"/>
      <c r="FU730" s="5"/>
      <c r="FV730" s="5"/>
      <c r="FW730" s="5"/>
      <c r="FX730" s="5"/>
      <c r="FY730" s="5"/>
      <c r="FZ730" s="5"/>
      <c r="GA730" s="5"/>
      <c r="GB730" s="5"/>
      <c r="GC730" s="5"/>
      <c r="GD730" s="5"/>
      <c r="GE730" s="5"/>
      <c r="GF730" s="5"/>
      <c r="GG730" s="5"/>
      <c r="GH730" s="5"/>
      <c r="GI730" s="5"/>
      <c r="GJ730" s="5"/>
      <c r="GK730" s="5"/>
      <c r="GL730" s="5"/>
      <c r="GM730" s="5"/>
      <c r="GN730" s="5"/>
      <c r="GO730" s="5"/>
      <c r="GP730" s="5"/>
      <c r="GQ730" s="5"/>
      <c r="GR730" s="5"/>
      <c r="GS730" s="5"/>
      <c r="GT730" s="5"/>
      <c r="GU730" s="5"/>
      <c r="GV730" s="5"/>
      <c r="GW730" s="5"/>
      <c r="GX730" s="5"/>
      <c r="GY730" s="5"/>
      <c r="GZ730" s="5"/>
      <c r="HA730" s="5"/>
      <c r="HB730" s="5"/>
      <c r="HC730" s="5"/>
      <c r="HD730" s="5"/>
      <c r="HE730" s="5"/>
      <c r="HF730" s="5"/>
      <c r="HG730" s="5"/>
      <c r="HH730" s="5"/>
      <c r="HI730" s="5"/>
      <c r="HJ730" s="5"/>
      <c r="HK730" s="5"/>
      <c r="HL730" s="5"/>
      <c r="HM730" s="5"/>
      <c r="HN730" s="5"/>
      <c r="HO730" s="5"/>
      <c r="HP730" s="5"/>
      <c r="HQ730" s="5"/>
      <c r="HR730" s="5"/>
      <c r="HS730" s="5"/>
      <c r="HT730" s="5"/>
      <c r="HU730" s="5"/>
      <c r="HV730" s="5"/>
      <c r="HW730" s="5"/>
      <c r="HX730" s="5"/>
      <c r="HY730" s="5"/>
      <c r="HZ730" s="5"/>
      <c r="IA730" s="5"/>
      <c r="IB730" s="5"/>
      <c r="IC730" s="5"/>
      <c r="ID730" s="5"/>
      <c r="IE730" s="5"/>
      <c r="IF730" s="5"/>
      <c r="IG730" s="5"/>
      <c r="IH730" s="5"/>
      <c r="II730" s="5"/>
      <c r="IJ730" s="5"/>
      <c r="IK730" s="5"/>
      <c r="IL730" s="5"/>
      <c r="IM730" s="5"/>
      <c r="IN730" s="5"/>
      <c r="IO730" s="5"/>
      <c r="IP730" s="5"/>
      <c r="IQ730" s="5"/>
      <c r="IR730" s="5"/>
      <c r="IS730" s="5"/>
      <c r="IT730" s="5"/>
      <c r="IU730" s="5"/>
      <c r="IV730" s="5"/>
      <c r="IW730" s="5"/>
      <c r="IX730" s="5"/>
      <c r="IY730" s="5"/>
      <c r="IZ730" s="5"/>
      <c r="JA730" s="5"/>
      <c r="JB730" s="5"/>
      <c r="JC730" s="5"/>
      <c r="JD730" s="5"/>
      <c r="JE730" s="5"/>
      <c r="JF730" s="5"/>
      <c r="JG730" s="5"/>
      <c r="JH730" s="5"/>
      <c r="JI730" s="5"/>
      <c r="JJ730" s="5"/>
      <c r="JK730" s="5"/>
      <c r="JL730" s="5"/>
      <c r="JM730" s="5"/>
      <c r="JN730" s="5"/>
      <c r="JO730" s="5"/>
      <c r="JP730" s="5"/>
      <c r="JQ730" s="5"/>
      <c r="JR730" s="5"/>
      <c r="JS730" s="5"/>
      <c r="JT730" s="5"/>
      <c r="JU730" s="5"/>
      <c r="JV730" s="5"/>
      <c r="JW730" s="5"/>
      <c r="JX730" s="5"/>
      <c r="JY730" s="5"/>
      <c r="JZ730" s="5"/>
      <c r="KA730" s="5"/>
      <c r="KB730" s="5"/>
      <c r="KC730" s="5"/>
      <c r="KD730" s="5"/>
      <c r="KE730" s="5"/>
      <c r="KF730" s="5"/>
      <c r="KG730" s="5"/>
      <c r="KH730" s="5"/>
      <c r="KI730" s="5"/>
      <c r="KJ730" s="5"/>
      <c r="KK730" s="5"/>
      <c r="KL730" s="5"/>
      <c r="KM730" s="5"/>
      <c r="KN730" s="5"/>
      <c r="KO730" s="5"/>
      <c r="KP730" s="5"/>
      <c r="KQ730" s="5"/>
      <c r="KR730" s="5"/>
      <c r="KS730" s="5"/>
      <c r="KT730" s="5"/>
      <c r="KU730" s="5"/>
      <c r="KV730" s="5"/>
      <c r="KW730" s="5"/>
      <c r="KX730" s="5"/>
      <c r="KY730" s="5"/>
      <c r="KZ730" s="5"/>
      <c r="LA730" s="5"/>
      <c r="LB730" s="5"/>
      <c r="LC730" s="5"/>
      <c r="LD730" s="5"/>
      <c r="LE730" s="5"/>
      <c r="LF730" s="5"/>
      <c r="LG730" s="5"/>
      <c r="LH730" s="5"/>
      <c r="LI730" s="5"/>
      <c r="LJ730" s="5"/>
      <c r="LK730" s="5"/>
      <c r="LL730" s="5"/>
      <c r="LM730" s="5"/>
      <c r="LN730" s="5"/>
      <c r="LO730" s="5"/>
      <c r="LP730" s="5"/>
      <c r="LQ730" s="5"/>
      <c r="LR730" s="5"/>
      <c r="LS730" s="5"/>
      <c r="LT730" s="5"/>
      <c r="LU730" s="5"/>
      <c r="LV730" s="5"/>
      <c r="LW730" s="5"/>
      <c r="LX730" s="5"/>
      <c r="LY730" s="5"/>
      <c r="LZ730" s="5"/>
      <c r="MA730" s="5"/>
      <c r="MB730" s="5"/>
      <c r="MC730" s="5"/>
      <c r="MD730" s="5"/>
      <c r="ME730" s="5"/>
      <c r="MF730" s="5"/>
      <c r="MG730" s="5"/>
      <c r="MH730" s="5"/>
      <c r="MI730" s="5"/>
      <c r="MJ730" s="5"/>
      <c r="MK730" s="5"/>
      <c r="ML730" s="5"/>
      <c r="MM730" s="5"/>
      <c r="MN730" s="5"/>
      <c r="MO730" s="5"/>
      <c r="MP730" s="5"/>
      <c r="MQ730" s="5"/>
      <c r="MR730" s="5"/>
      <c r="MS730" s="5"/>
      <c r="MT730" s="5"/>
      <c r="MU730" s="5"/>
      <c r="MV730" s="5"/>
      <c r="MW730" s="5"/>
      <c r="MX730" s="5"/>
      <c r="MY730" s="5"/>
      <c r="MZ730" s="5"/>
      <c r="NA730" s="5"/>
      <c r="NB730" s="5"/>
      <c r="NC730" s="5"/>
      <c r="ND730" s="5"/>
      <c r="NE730" s="5"/>
      <c r="NF730" s="5"/>
      <c r="NG730" s="5"/>
      <c r="NH730" s="5"/>
      <c r="NI730" s="5"/>
      <c r="NJ730" s="5"/>
      <c r="NK730" s="5"/>
      <c r="NL730" s="5"/>
      <c r="NM730" s="5"/>
      <c r="NN730" s="5"/>
      <c r="NO730" s="5"/>
      <c r="NP730" s="5"/>
      <c r="NQ730" s="5"/>
      <c r="NR730" s="5"/>
      <c r="NS730" s="5"/>
      <c r="NT730" s="5"/>
      <c r="NU730" s="5"/>
      <c r="NV730" s="5"/>
      <c r="NW730" s="5"/>
      <c r="NX730" s="5"/>
      <c r="NY730" s="5"/>
      <c r="NZ730" s="5"/>
      <c r="OA730" s="5"/>
      <c r="OB730" s="5"/>
      <c r="OC730" s="5"/>
      <c r="OD730" s="5"/>
      <c r="OE730" s="5"/>
      <c r="OF730" s="5"/>
      <c r="OG730" s="5"/>
      <c r="OH730" s="5"/>
      <c r="OI730" s="5"/>
      <c r="OJ730" s="5"/>
      <c r="OK730" s="5"/>
      <c r="OL730" s="5"/>
      <c r="OM730" s="5"/>
      <c r="ON730" s="5"/>
      <c r="OO730" s="5"/>
      <c r="OP730" s="5"/>
      <c r="OQ730" s="5"/>
      <c r="OR730" s="5"/>
      <c r="OS730" s="5"/>
      <c r="OT730" s="5"/>
      <c r="OU730" s="5"/>
      <c r="OV730" s="5"/>
      <c r="OW730" s="5"/>
      <c r="OX730" s="5"/>
      <c r="OY730" s="5"/>
      <c r="OZ730" s="5"/>
      <c r="PA730" s="5"/>
      <c r="PB730" s="5"/>
      <c r="PC730" s="5"/>
      <c r="PD730" s="5"/>
      <c r="PE730" s="5"/>
      <c r="PF730" s="5"/>
      <c r="PG730" s="5"/>
      <c r="PH730" s="5"/>
      <c r="PI730" s="5"/>
      <c r="PJ730" s="5"/>
      <c r="PK730" s="5"/>
      <c r="PL730" s="5"/>
      <c r="PM730" s="5"/>
      <c r="PN730" s="5"/>
      <c r="PO730" s="5"/>
      <c r="PP730" s="5"/>
      <c r="PQ730" s="5"/>
      <c r="PR730" s="5"/>
      <c r="PS730" s="5"/>
      <c r="PT730" s="5"/>
      <c r="PU730" s="5"/>
      <c r="PV730" s="5"/>
      <c r="PW730" s="5"/>
      <c r="PX730" s="5"/>
      <c r="PY730" s="5"/>
      <c r="PZ730" s="5"/>
      <c r="QA730" s="5"/>
      <c r="QB730" s="5"/>
      <c r="QC730" s="5"/>
      <c r="QD730" s="5"/>
      <c r="QE730" s="5"/>
      <c r="QF730" s="5"/>
      <c r="QG730" s="5"/>
      <c r="QH730" s="5"/>
      <c r="QI730" s="5"/>
      <c r="QJ730" s="5"/>
      <c r="QK730" s="5"/>
      <c r="QL730" s="5"/>
      <c r="QM730" s="5"/>
      <c r="QN730" s="5"/>
      <c r="QO730" s="5"/>
      <c r="QP730" s="5"/>
      <c r="QQ730" s="5"/>
      <c r="QR730" s="5"/>
      <c r="QS730" s="5"/>
      <c r="QT730" s="5"/>
      <c r="QU730" s="5"/>
      <c r="QV730" s="5"/>
      <c r="QW730" s="5"/>
      <c r="QX730" s="5"/>
      <c r="QY730" s="5"/>
      <c r="QZ730" s="5"/>
      <c r="RA730" s="5"/>
      <c r="RB730" s="5"/>
      <c r="RC730" s="5"/>
      <c r="RD730" s="5"/>
      <c r="RE730" s="5"/>
      <c r="RF730" s="5"/>
      <c r="RG730" s="5"/>
      <c r="RH730" s="5"/>
      <c r="RI730" s="5"/>
      <c r="RJ730" s="5"/>
      <c r="RK730" s="5"/>
      <c r="RL730" s="5"/>
      <c r="RM730" s="5"/>
      <c r="RN730" s="5"/>
      <c r="RO730" s="5"/>
      <c r="RP730" s="5"/>
      <c r="RQ730" s="5"/>
      <c r="RR730" s="5"/>
      <c r="RS730" s="5"/>
      <c r="RT730" s="5"/>
      <c r="RU730" s="5"/>
      <c r="RV730" s="5"/>
      <c r="RW730" s="5"/>
      <c r="RX730" s="5"/>
      <c r="RY730" s="5"/>
      <c r="RZ730" s="5"/>
      <c r="SA730" s="5"/>
      <c r="SB730" s="5"/>
      <c r="SC730" s="5"/>
      <c r="SD730" s="5"/>
      <c r="SE730" s="5"/>
      <c r="SF730" s="5"/>
      <c r="SG730" s="5"/>
      <c r="SH730" s="5"/>
      <c r="SI730" s="5"/>
      <c r="SJ730" s="5"/>
      <c r="SK730" s="5"/>
      <c r="SL730" s="5"/>
      <c r="SM730" s="5"/>
      <c r="SN730" s="5"/>
      <c r="SO730" s="5"/>
      <c r="SP730" s="5"/>
      <c r="SQ730" s="5"/>
      <c r="SR730" s="5"/>
      <c r="SS730" s="5"/>
      <c r="ST730" s="5"/>
      <c r="SU730" s="5"/>
      <c r="SV730" s="5"/>
      <c r="SW730" s="5"/>
      <c r="SX730" s="5"/>
      <c r="SY730" s="5"/>
      <c r="SZ730" s="5"/>
      <c r="TA730" s="5"/>
      <c r="TB730" s="5"/>
      <c r="TC730" s="5"/>
      <c r="TD730" s="5"/>
      <c r="TE730" s="5"/>
      <c r="TF730" s="5"/>
      <c r="TG730" s="5"/>
      <c r="TH730" s="5"/>
      <c r="TI730" s="5"/>
      <c r="TJ730" s="5"/>
      <c r="TK730" s="5"/>
      <c r="TL730" s="5"/>
      <c r="TM730" s="5"/>
      <c r="TN730" s="5"/>
      <c r="TO730" s="5"/>
      <c r="TP730" s="5"/>
      <c r="TQ730" s="5"/>
      <c r="TR730" s="5"/>
      <c r="TS730" s="5"/>
      <c r="TT730" s="5"/>
      <c r="TU730" s="5"/>
      <c r="TV730" s="5"/>
      <c r="TW730" s="5"/>
      <c r="TX730" s="5"/>
      <c r="TY730" s="5"/>
      <c r="TZ730" s="5"/>
      <c r="UA730" s="5"/>
      <c r="UB730" s="5"/>
      <c r="UC730" s="5"/>
      <c r="UD730" s="5"/>
      <c r="UE730" s="5"/>
      <c r="UF730" s="5"/>
      <c r="UG730" s="5"/>
      <c r="UH730" s="5"/>
      <c r="UI730" s="5"/>
      <c r="UJ730" s="5"/>
      <c r="UK730" s="5"/>
      <c r="UL730" s="5"/>
      <c r="UM730" s="5"/>
      <c r="UN730" s="5"/>
      <c r="UO730" s="5"/>
      <c r="UP730" s="5"/>
      <c r="UQ730" s="5"/>
      <c r="UR730" s="5"/>
      <c r="US730" s="5"/>
      <c r="UT730" s="5"/>
      <c r="UU730" s="5"/>
      <c r="UV730" s="5"/>
      <c r="UW730" s="5"/>
      <c r="UX730" s="5"/>
      <c r="UY730" s="5"/>
      <c r="UZ730" s="5"/>
      <c r="VA730" s="5"/>
      <c r="VB730" s="5"/>
      <c r="VC730" s="5"/>
      <c r="VD730" s="5"/>
      <c r="VE730" s="5"/>
      <c r="VF730" s="5"/>
      <c r="VG730" s="5"/>
      <c r="VH730" s="5"/>
      <c r="VI730" s="5"/>
      <c r="VJ730" s="5"/>
      <c r="VK730" s="5"/>
      <c r="VL730" s="5"/>
      <c r="VM730" s="5"/>
      <c r="VN730" s="5"/>
      <c r="VO730" s="5"/>
      <c r="VP730" s="5"/>
      <c r="VQ730" s="5"/>
      <c r="VR730" s="5"/>
      <c r="VS730" s="5"/>
      <c r="VT730" s="5"/>
      <c r="VU730" s="5"/>
      <c r="VV730" s="5"/>
      <c r="VW730" s="5"/>
      <c r="VX730" s="5"/>
      <c r="VY730" s="5"/>
      <c r="VZ730" s="5"/>
      <c r="WA730" s="5"/>
      <c r="WB730" s="5"/>
      <c r="WC730" s="5"/>
      <c r="WD730" s="5"/>
      <c r="WE730" s="5"/>
      <c r="WF730" s="5"/>
      <c r="WG730" s="5"/>
      <c r="WH730" s="5"/>
      <c r="WI730" s="5"/>
      <c r="WJ730" s="5"/>
      <c r="WK730" s="5"/>
      <c r="WL730" s="5"/>
      <c r="WM730" s="5"/>
      <c r="WN730" s="5"/>
      <c r="WO730" s="5"/>
      <c r="WP730" s="5"/>
      <c r="WQ730" s="5"/>
      <c r="WR730" s="5"/>
      <c r="WS730" s="5"/>
      <c r="WT730" s="5"/>
      <c r="WU730" s="5"/>
      <c r="WV730" s="5"/>
      <c r="WW730" s="5"/>
      <c r="WX730" s="5"/>
      <c r="WY730" s="5"/>
      <c r="WZ730" s="5"/>
      <c r="XA730" s="5"/>
      <c r="XB730" s="5"/>
      <c r="XC730" s="5"/>
      <c r="XD730" s="5"/>
      <c r="XE730" s="5"/>
      <c r="XF730" s="5"/>
      <c r="XG730" s="5"/>
      <c r="XH730" s="5"/>
      <c r="XI730" s="5"/>
      <c r="XJ730" s="5"/>
      <c r="XK730" s="5"/>
      <c r="XL730" s="5"/>
      <c r="XM730" s="5"/>
      <c r="XN730" s="5"/>
      <c r="XO730" s="5"/>
      <c r="XP730" s="5"/>
      <c r="XQ730" s="5"/>
      <c r="XR730" s="5"/>
      <c r="XS730" s="5"/>
      <c r="XT730" s="5"/>
      <c r="XU730" s="5"/>
      <c r="XV730" s="5"/>
      <c r="XW730" s="5"/>
      <c r="XX730" s="5"/>
      <c r="XY730" s="5"/>
      <c r="XZ730" s="5"/>
      <c r="YA730" s="5"/>
      <c r="YB730" s="5"/>
      <c r="YC730" s="5"/>
      <c r="YD730" s="5"/>
      <c r="YE730" s="5"/>
      <c r="YF730" s="5"/>
      <c r="YG730" s="5"/>
      <c r="YH730" s="5"/>
      <c r="YI730" s="5"/>
      <c r="YJ730" s="5"/>
      <c r="YK730" s="5"/>
      <c r="YL730" s="5"/>
      <c r="YM730" s="5"/>
      <c r="YN730" s="5"/>
      <c r="YO730" s="5"/>
      <c r="YP730" s="5"/>
      <c r="YQ730" s="5"/>
      <c r="YR730" s="5"/>
      <c r="YS730" s="5"/>
      <c r="YT730" s="5"/>
      <c r="YU730" s="5"/>
      <c r="YV730" s="5"/>
      <c r="YW730" s="5"/>
      <c r="YX730" s="5"/>
      <c r="YY730" s="5"/>
      <c r="YZ730" s="5"/>
      <c r="ZA730" s="5"/>
      <c r="ZB730" s="5"/>
      <c r="ZC730" s="5"/>
      <c r="ZD730" s="5"/>
      <c r="ZE730" s="5"/>
      <c r="ZF730" s="5"/>
      <c r="ZG730" s="5"/>
      <c r="ZH730" s="5"/>
      <c r="ZI730" s="5"/>
      <c r="ZJ730" s="5"/>
      <c r="ZK730" s="5"/>
      <c r="ZL730" s="5"/>
      <c r="ZM730" s="5"/>
      <c r="ZN730" s="5"/>
      <c r="ZO730" s="5"/>
      <c r="ZP730" s="5"/>
      <c r="ZQ730" s="5"/>
      <c r="ZR730" s="5"/>
      <c r="ZS730" s="5"/>
      <c r="ZT730" s="5"/>
      <c r="ZU730" s="5"/>
      <c r="ZV730" s="5"/>
      <c r="ZW730" s="5"/>
      <c r="ZX730" s="5"/>
      <c r="ZY730" s="5"/>
      <c r="ZZ730" s="5"/>
      <c r="AAA730" s="5"/>
      <c r="AAB730" s="5"/>
      <c r="AAC730" s="5"/>
      <c r="AAD730" s="5"/>
      <c r="AAE730" s="5"/>
      <c r="AAF730" s="5"/>
      <c r="AAG730" s="5"/>
      <c r="AAH730" s="5"/>
      <c r="AAI730" s="5"/>
      <c r="AAJ730" s="5"/>
      <c r="AAK730" s="5"/>
      <c r="AAL730" s="5"/>
      <c r="AAM730" s="5"/>
      <c r="AAN730" s="5"/>
      <c r="AAO730" s="5"/>
      <c r="AAP730" s="5"/>
      <c r="AAQ730" s="5"/>
      <c r="AAR730" s="5"/>
      <c r="AAS730" s="5"/>
      <c r="AAT730" s="5"/>
      <c r="AAU730" s="5"/>
      <c r="AAV730" s="5"/>
      <c r="AAW730" s="5"/>
      <c r="AAX730" s="5"/>
      <c r="AAY730" s="5"/>
      <c r="AAZ730" s="5"/>
      <c r="ABA730" s="5"/>
      <c r="ABB730" s="5"/>
      <c r="ABC730" s="5"/>
      <c r="ABD730" s="5"/>
      <c r="ABE730" s="5"/>
      <c r="ABF730" s="5"/>
      <c r="ABG730" s="5"/>
      <c r="ABH730" s="5"/>
      <c r="ABI730" s="5"/>
      <c r="ABJ730" s="5"/>
      <c r="ABK730" s="5"/>
      <c r="ABL730" s="5"/>
      <c r="ABM730" s="5"/>
      <c r="ABN730" s="5"/>
      <c r="ABO730" s="5"/>
      <c r="ABP730" s="5"/>
      <c r="ABQ730" s="5"/>
      <c r="ABR730" s="5"/>
      <c r="ABS730" s="5"/>
      <c r="ABT730" s="5"/>
      <c r="ABU730" s="5"/>
      <c r="ABV730" s="5"/>
      <c r="ABW730" s="5"/>
      <c r="ABX730" s="5"/>
      <c r="ABY730" s="5"/>
      <c r="ABZ730" s="5"/>
      <c r="ACA730" s="5"/>
      <c r="ACB730" s="5"/>
      <c r="ACC730" s="5"/>
      <c r="ACD730" s="5"/>
      <c r="ACE730" s="5"/>
      <c r="ACF730" s="5"/>
      <c r="ACG730" s="5"/>
      <c r="ACH730" s="5"/>
      <c r="ACI730" s="5"/>
      <c r="ACJ730" s="5"/>
      <c r="ACK730" s="5"/>
      <c r="ACL730" s="5"/>
      <c r="ACM730" s="5"/>
      <c r="ACN730" s="5"/>
      <c r="ACO730" s="5"/>
      <c r="ACP730" s="5"/>
      <c r="ACQ730" s="5"/>
      <c r="ACR730" s="5"/>
      <c r="ACS730" s="5"/>
      <c r="ACT730" s="5"/>
      <c r="ACU730" s="5"/>
      <c r="ACV730" s="5"/>
      <c r="ACW730" s="5"/>
      <c r="ACX730" s="5"/>
      <c r="ACY730" s="5"/>
      <c r="ACZ730" s="5"/>
      <c r="ADA730" s="5"/>
      <c r="ADB730" s="5"/>
      <c r="ADC730" s="5"/>
      <c r="ADD730" s="5"/>
      <c r="ADE730" s="5"/>
      <c r="ADF730" s="5"/>
      <c r="ADG730" s="5"/>
      <c r="ADH730" s="5"/>
      <c r="ADI730" s="5"/>
      <c r="ADJ730" s="5"/>
      <c r="ADK730" s="5"/>
      <c r="ADL730" s="5"/>
      <c r="ADM730" s="5"/>
      <c r="ADN730" s="5"/>
      <c r="ADO730" s="5"/>
      <c r="ADP730" s="5"/>
      <c r="ADQ730" s="5"/>
      <c r="ADR730" s="5"/>
      <c r="ADS730" s="5"/>
      <c r="ADT730" s="5"/>
      <c r="ADU730" s="5"/>
      <c r="ADV730" s="5"/>
      <c r="ADW730" s="5"/>
      <c r="ADX730" s="5"/>
      <c r="ADY730" s="5"/>
      <c r="ADZ730" s="5"/>
      <c r="AEA730" s="5"/>
      <c r="AEB730" s="5"/>
      <c r="AEC730" s="5"/>
      <c r="AED730" s="5"/>
      <c r="AEE730" s="5"/>
      <c r="AEF730" s="5"/>
      <c r="AEG730" s="5"/>
      <c r="AEH730" s="5"/>
      <c r="AEI730" s="5"/>
      <c r="AEJ730" s="5"/>
      <c r="AEK730" s="5"/>
      <c r="AEL730" s="5"/>
      <c r="AEM730" s="5"/>
      <c r="AEN730" s="5"/>
      <c r="AEO730" s="5"/>
      <c r="AEP730" s="5"/>
      <c r="AEQ730" s="5"/>
      <c r="AER730" s="5"/>
      <c r="AES730" s="5"/>
      <c r="AET730" s="5"/>
      <c r="AEU730" s="5"/>
      <c r="AEV730" s="5"/>
      <c r="AEW730" s="5"/>
      <c r="AEX730" s="5"/>
      <c r="AEY730" s="5"/>
      <c r="AEZ730" s="5"/>
      <c r="AFA730" s="5"/>
      <c r="AFB730" s="5"/>
      <c r="AFC730" s="5"/>
      <c r="AFD730" s="5"/>
      <c r="AFE730" s="5"/>
      <c r="AFF730" s="5"/>
      <c r="AFG730" s="5"/>
      <c r="AFH730" s="5"/>
      <c r="AFI730" s="5"/>
      <c r="AFJ730" s="5"/>
      <c r="AFK730" s="5"/>
      <c r="AFL730" s="5"/>
      <c r="AFM730" s="5"/>
      <c r="AFN730" s="5"/>
      <c r="AFO730" s="5"/>
      <c r="AFP730" s="5"/>
      <c r="AFQ730" s="5"/>
      <c r="AFR730" s="5"/>
      <c r="AFS730" s="5"/>
      <c r="AFT730" s="5"/>
      <c r="AFU730" s="5"/>
      <c r="AFV730" s="5"/>
      <c r="AFW730" s="5"/>
      <c r="AFX730" s="5"/>
      <c r="AFY730" s="5"/>
      <c r="AFZ730" s="5"/>
      <c r="AGA730" s="5"/>
      <c r="AGB730" s="5"/>
      <c r="AGC730" s="5"/>
      <c r="AGD730" s="5"/>
      <c r="AGE730" s="5"/>
      <c r="AGF730" s="5"/>
      <c r="AGG730" s="5"/>
      <c r="AGH730" s="5"/>
      <c r="AGI730" s="5"/>
      <c r="AGJ730" s="5"/>
      <c r="AGK730" s="5"/>
      <c r="AGL730" s="5"/>
      <c r="AGM730" s="5"/>
      <c r="AGN730" s="5"/>
      <c r="AGO730" s="5"/>
      <c r="AGP730" s="5"/>
      <c r="AGQ730" s="5"/>
      <c r="AGR730" s="5"/>
      <c r="AGS730" s="5"/>
      <c r="AGT730" s="5"/>
      <c r="AGU730" s="5"/>
      <c r="AGV730" s="5"/>
      <c r="AGW730" s="5"/>
      <c r="AGX730" s="5"/>
      <c r="AGY730" s="5"/>
      <c r="AGZ730" s="5"/>
      <c r="AHA730" s="5"/>
      <c r="AHB730" s="5"/>
      <c r="AHC730" s="5"/>
      <c r="AHD730" s="5"/>
      <c r="AHE730" s="5"/>
      <c r="AHF730" s="5"/>
      <c r="AHG730" s="5"/>
      <c r="AHH730" s="5"/>
      <c r="AHI730" s="5"/>
      <c r="AHJ730" s="5"/>
      <c r="AHK730" s="5"/>
      <c r="AHL730" s="5"/>
      <c r="AHM730" s="5"/>
      <c r="AHN730" s="5"/>
      <c r="AHO730" s="5"/>
      <c r="AHP730" s="5"/>
      <c r="AHQ730" s="5"/>
      <c r="AHR730" s="5"/>
      <c r="AHS730" s="5"/>
      <c r="AHT730" s="5"/>
      <c r="AHU730" s="5"/>
      <c r="AHV730" s="5"/>
      <c r="AHW730" s="5"/>
      <c r="AHX730" s="5"/>
      <c r="AHY730" s="5"/>
      <c r="AHZ730" s="5"/>
      <c r="AIA730" s="5"/>
      <c r="AIB730" s="5"/>
      <c r="AIC730" s="5"/>
      <c r="AID730" s="5"/>
      <c r="AIE730" s="5"/>
      <c r="AIF730" s="5"/>
      <c r="AIG730" s="5"/>
      <c r="AIH730" s="5"/>
      <c r="AII730" s="5"/>
      <c r="AIJ730" s="5"/>
      <c r="AIK730" s="5"/>
      <c r="AIL730" s="5"/>
      <c r="AIM730" s="5"/>
      <c r="AIN730" s="5"/>
      <c r="AIO730" s="5"/>
      <c r="AIP730" s="5"/>
      <c r="AIQ730" s="5"/>
      <c r="AIR730" s="5"/>
      <c r="AIS730" s="5"/>
      <c r="AIT730" s="5"/>
      <c r="AIU730" s="5"/>
      <c r="AIV730" s="5"/>
      <c r="AIW730" s="5"/>
      <c r="AIX730" s="5"/>
      <c r="AIY730" s="5"/>
      <c r="AIZ730" s="5"/>
      <c r="AJA730" s="5"/>
      <c r="AJB730" s="5"/>
      <c r="AJC730" s="5"/>
      <c r="AJD730" s="5"/>
      <c r="AJE730" s="5"/>
      <c r="AJF730" s="5"/>
      <c r="AJG730" s="5"/>
      <c r="AJH730" s="5"/>
      <c r="AJI730" s="5"/>
      <c r="AJJ730" s="5"/>
      <c r="AJK730" s="5"/>
      <c r="AJL730" s="5"/>
      <c r="AJM730" s="5"/>
      <c r="AJN730" s="5"/>
      <c r="AJO730" s="5"/>
      <c r="AJP730" s="5"/>
      <c r="AJQ730" s="5"/>
      <c r="AJR730" s="5"/>
      <c r="AJS730" s="5"/>
      <c r="AJT730" s="5"/>
      <c r="AJU730" s="5"/>
      <c r="AJV730" s="5"/>
      <c r="AJW730" s="5"/>
      <c r="AJX730" s="5"/>
      <c r="AJY730" s="5"/>
      <c r="AJZ730" s="5"/>
      <c r="AKA730" s="5"/>
      <c r="AKB730" s="5"/>
      <c r="AKC730" s="5"/>
      <c r="AKD730" s="5"/>
      <c r="AKE730" s="5"/>
      <c r="AKF730" s="5"/>
      <c r="AKG730" s="5"/>
      <c r="AKH730" s="5"/>
      <c r="AKI730" s="5"/>
      <c r="AKJ730" s="5"/>
      <c r="AKK730" s="5"/>
      <c r="AKL730" s="5"/>
      <c r="AKM730" s="5"/>
      <c r="AKN730" s="5"/>
      <c r="AKO730" s="5"/>
      <c r="AKP730" s="5"/>
      <c r="AKQ730" s="5"/>
      <c r="AKR730" s="5"/>
      <c r="AKS730" s="5"/>
      <c r="AKT730" s="5"/>
      <c r="AKU730" s="5"/>
      <c r="AKV730" s="5"/>
      <c r="AKW730" s="5"/>
      <c r="AKX730" s="5"/>
      <c r="AKY730" s="5"/>
      <c r="AKZ730" s="5"/>
      <c r="ALA730" s="5"/>
      <c r="ALB730" s="5"/>
      <c r="ALC730" s="5"/>
      <c r="ALD730" s="5"/>
      <c r="ALE730" s="5"/>
      <c r="ALF730" s="5"/>
      <c r="ALG730" s="5"/>
      <c r="ALH730" s="5"/>
      <c r="ALI730" s="5"/>
      <c r="ALJ730" s="5"/>
      <c r="ALK730" s="5"/>
      <c r="ALL730" s="5"/>
      <c r="ALM730" s="5"/>
      <c r="ALN730" s="5"/>
      <c r="ALO730" s="5"/>
      <c r="ALP730" s="5"/>
      <c r="ALQ730" s="5"/>
      <c r="ALR730" s="5"/>
      <c r="ALS730" s="5"/>
      <c r="ALT730" s="5"/>
      <c r="ALU730" s="5"/>
      <c r="ALV730" s="5"/>
      <c r="ALW730" s="5"/>
      <c r="ALX730" s="5"/>
      <c r="ALY730" s="5"/>
      <c r="ALZ730" s="5"/>
      <c r="AMA730" s="5"/>
      <c r="AMB730" s="5"/>
      <c r="AMC730" s="5"/>
      <c r="AMD730" s="5"/>
      <c r="AME730" s="5"/>
      <c r="AMF730" s="5"/>
      <c r="AMG730" s="5"/>
      <c r="AMH730" s="5"/>
      <c r="AMI730" s="5"/>
      <c r="AMJ730" s="5"/>
      <c r="AMK730" s="5"/>
      <c r="AML730" s="5"/>
      <c r="AMM730" s="5"/>
      <c r="AMN730" s="5"/>
      <c r="AMO730" s="5"/>
      <c r="AMP730" s="5"/>
      <c r="AMQ730" s="5"/>
      <c r="AMR730" s="5"/>
      <c r="AMS730" s="5"/>
      <c r="AMT730" s="5"/>
      <c r="AMU730" s="5"/>
      <c r="AMV730" s="5"/>
      <c r="AMW730" s="5"/>
      <c r="AMX730" s="5"/>
      <c r="AMY730" s="5"/>
      <c r="AMZ730" s="5"/>
      <c r="ANA730" s="5"/>
      <c r="ANB730" s="5"/>
      <c r="ANC730" s="5"/>
      <c r="AND730" s="5"/>
      <c r="ANE730" s="5"/>
      <c r="ANF730" s="5"/>
      <c r="ANG730" s="5"/>
      <c r="ANH730" s="5"/>
      <c r="ANI730" s="5"/>
      <c r="ANJ730" s="5"/>
      <c r="ANK730" s="5"/>
      <c r="ANL730" s="5"/>
      <c r="ANM730" s="5"/>
      <c r="ANN730" s="5"/>
      <c r="ANO730" s="5"/>
      <c r="ANP730" s="5"/>
      <c r="ANQ730" s="5"/>
      <c r="ANR730" s="5"/>
      <c r="ANS730" s="5"/>
      <c r="ANT730" s="5"/>
      <c r="ANU730" s="5"/>
      <c r="ANV730" s="5"/>
      <c r="ANW730" s="5"/>
      <c r="ANX730" s="5"/>
      <c r="ANY730" s="5"/>
      <c r="ANZ730" s="5"/>
      <c r="AOA730" s="5"/>
      <c r="AOB730" s="5"/>
      <c r="AOC730" s="5"/>
      <c r="AOD730" s="5"/>
      <c r="AOE730" s="5"/>
      <c r="AOF730" s="5"/>
      <c r="AOG730" s="5"/>
      <c r="AOH730" s="5"/>
      <c r="AOI730" s="5"/>
      <c r="AOJ730" s="5"/>
      <c r="AOK730" s="5"/>
      <c r="AOL730" s="5"/>
      <c r="AOM730" s="5"/>
      <c r="AON730" s="5"/>
      <c r="AOO730" s="5"/>
      <c r="AOP730" s="5"/>
      <c r="AOQ730" s="5"/>
      <c r="AOR730" s="5"/>
      <c r="AOS730" s="5"/>
      <c r="AOT730" s="5"/>
      <c r="AOU730" s="5"/>
      <c r="AOV730" s="5"/>
      <c r="AOW730" s="5"/>
      <c r="AOX730" s="5"/>
      <c r="AOY730" s="5"/>
      <c r="AOZ730" s="5"/>
      <c r="APA730" s="5"/>
      <c r="APB730" s="5"/>
      <c r="APC730" s="5"/>
      <c r="APD730" s="5"/>
      <c r="APE730" s="5"/>
      <c r="APF730" s="5"/>
      <c r="APG730" s="5"/>
      <c r="APH730" s="5"/>
      <c r="API730" s="5"/>
      <c r="APJ730" s="5"/>
      <c r="APK730" s="5"/>
      <c r="APL730" s="5"/>
      <c r="APM730" s="5"/>
      <c r="APN730" s="5"/>
      <c r="APO730" s="5"/>
      <c r="APP730" s="5"/>
      <c r="APQ730" s="5"/>
      <c r="APR730" s="5"/>
      <c r="APS730" s="5"/>
      <c r="APT730" s="5"/>
      <c r="APU730" s="5"/>
      <c r="APV730" s="5"/>
      <c r="APW730" s="5"/>
      <c r="APX730" s="5"/>
      <c r="APY730" s="5"/>
      <c r="APZ730" s="5"/>
      <c r="AQA730" s="5"/>
      <c r="AQB730" s="5"/>
      <c r="AQC730" s="5"/>
      <c r="AQD730" s="5"/>
      <c r="AQE730" s="5"/>
      <c r="AQF730" s="5"/>
      <c r="AQG730" s="5"/>
      <c r="AQH730" s="5"/>
      <c r="AQI730" s="5"/>
      <c r="AQJ730" s="5"/>
      <c r="AQK730" s="5"/>
      <c r="AQL730" s="5"/>
      <c r="AQM730" s="5"/>
      <c r="AQN730" s="5"/>
      <c r="AQO730" s="5"/>
      <c r="AQP730" s="5"/>
      <c r="AQQ730" s="5"/>
      <c r="AQR730" s="5"/>
      <c r="AQS730" s="5"/>
      <c r="AQT730" s="5"/>
      <c r="AQU730" s="5"/>
      <c r="AQV730" s="5"/>
      <c r="AQW730" s="5"/>
      <c r="AQX730" s="5"/>
      <c r="AQY730" s="5"/>
      <c r="AQZ730" s="5"/>
      <c r="ARA730" s="5"/>
      <c r="ARB730" s="5"/>
      <c r="ARC730" s="5"/>
      <c r="ARD730" s="5"/>
      <c r="ARE730" s="5"/>
      <c r="ARF730" s="5"/>
      <c r="ARG730" s="5"/>
      <c r="ARH730" s="5"/>
      <c r="ARI730" s="5"/>
      <c r="ARJ730" s="5"/>
      <c r="ARK730" s="5"/>
      <c r="ARL730" s="5"/>
      <c r="ARM730" s="5"/>
      <c r="ARN730" s="5"/>
      <c r="ARO730" s="5"/>
      <c r="ARP730" s="5"/>
      <c r="ARQ730" s="5"/>
      <c r="ARR730" s="5"/>
      <c r="ARS730" s="5"/>
      <c r="ART730" s="5"/>
      <c r="ARU730" s="5"/>
      <c r="ARV730" s="5"/>
      <c r="ARW730" s="5"/>
      <c r="ARX730" s="5"/>
      <c r="ARY730" s="5"/>
      <c r="ARZ730" s="5"/>
      <c r="ASA730" s="5"/>
      <c r="ASB730" s="5"/>
      <c r="ASC730" s="5"/>
      <c r="ASD730" s="5"/>
      <c r="ASE730" s="5"/>
      <c r="ASF730" s="5"/>
      <c r="ASG730" s="5"/>
      <c r="ASH730" s="5"/>
      <c r="ASI730" s="5"/>
      <c r="ASJ730" s="5"/>
      <c r="ASK730" s="5"/>
      <c r="ASL730" s="5"/>
      <c r="ASM730" s="5"/>
      <c r="ASN730" s="5"/>
      <c r="ASO730" s="5"/>
      <c r="ASP730" s="5"/>
      <c r="ASQ730" s="5"/>
      <c r="ASR730" s="5"/>
      <c r="ASS730" s="5"/>
      <c r="AST730" s="5"/>
      <c r="ASU730" s="5"/>
      <c r="ASV730" s="5"/>
      <c r="ASW730" s="5"/>
      <c r="ASX730" s="5"/>
      <c r="ASY730" s="5"/>
      <c r="ASZ730" s="5"/>
      <c r="ATA730" s="5"/>
      <c r="ATB730" s="5"/>
      <c r="ATC730" s="5"/>
      <c r="ATD730" s="5"/>
      <c r="ATE730" s="5"/>
      <c r="ATF730" s="5"/>
      <c r="ATG730" s="5"/>
      <c r="ATH730" s="5"/>
      <c r="ATI730" s="5"/>
      <c r="ATJ730" s="5"/>
      <c r="ATK730" s="5"/>
      <c r="ATL730" s="5"/>
      <c r="ATM730" s="5"/>
      <c r="ATN730" s="5"/>
      <c r="ATO730" s="5"/>
      <c r="ATP730" s="5"/>
      <c r="ATQ730" s="5"/>
      <c r="ATR730" s="5"/>
      <c r="ATS730" s="5"/>
      <c r="ATT730" s="5"/>
      <c r="ATU730" s="5"/>
      <c r="ATV730" s="5"/>
      <c r="ATW730" s="5"/>
      <c r="ATX730" s="5"/>
    </row>
    <row r="731" spans="1:1220" s="67" customFormat="1" ht="12.75" customHeight="1" x14ac:dyDescent="0.35">
      <c r="A731" s="76" t="s">
        <v>229</v>
      </c>
      <c r="B731" s="99" t="s">
        <v>335</v>
      </c>
      <c r="C731" s="76" t="s">
        <v>2631</v>
      </c>
      <c r="D731" s="142" t="s">
        <v>2631</v>
      </c>
      <c r="E731" s="76"/>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c r="DT731" s="5"/>
      <c r="DU731" s="5"/>
      <c r="DV731" s="5"/>
      <c r="DW731" s="5"/>
      <c r="DX731" s="5"/>
      <c r="DY731" s="5"/>
      <c r="DZ731" s="5"/>
      <c r="EA731" s="5"/>
      <c r="EB731" s="5"/>
      <c r="EC731" s="5"/>
      <c r="ED731" s="5"/>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s="5"/>
      <c r="FG731" s="5"/>
      <c r="FH731" s="5"/>
      <c r="FI731" s="5"/>
      <c r="FJ731" s="5"/>
      <c r="FK731" s="5"/>
      <c r="FL731" s="5"/>
      <c r="FM731" s="5"/>
      <c r="FN731" s="5"/>
      <c r="FO731" s="5"/>
      <c r="FP731" s="5"/>
      <c r="FQ731" s="5"/>
      <c r="FR731" s="5"/>
      <c r="FS731" s="5"/>
      <c r="FT731" s="5"/>
      <c r="FU731" s="5"/>
      <c r="FV731" s="5"/>
      <c r="FW731" s="5"/>
      <c r="FX731" s="5"/>
      <c r="FY731" s="5"/>
      <c r="FZ731" s="5"/>
      <c r="GA731" s="5"/>
      <c r="GB731" s="5"/>
      <c r="GC731" s="5"/>
      <c r="GD731" s="5"/>
      <c r="GE731" s="5"/>
      <c r="GF731" s="5"/>
      <c r="GG731" s="5"/>
      <c r="GH731" s="5"/>
      <c r="GI731" s="5"/>
      <c r="GJ731" s="5"/>
      <c r="GK731" s="5"/>
      <c r="GL731" s="5"/>
      <c r="GM731" s="5"/>
      <c r="GN731" s="5"/>
      <c r="GO731" s="5"/>
      <c r="GP731" s="5"/>
      <c r="GQ731" s="5"/>
      <c r="GR731" s="5"/>
      <c r="GS731" s="5"/>
      <c r="GT731" s="5"/>
      <c r="GU731" s="5"/>
      <c r="GV731" s="5"/>
      <c r="GW731" s="5"/>
      <c r="GX731" s="5"/>
      <c r="GY731" s="5"/>
      <c r="GZ731" s="5"/>
      <c r="HA731" s="5"/>
      <c r="HB731" s="5"/>
      <c r="HC731" s="5"/>
      <c r="HD731" s="5"/>
      <c r="HE731" s="5"/>
      <c r="HF731" s="5"/>
      <c r="HG731" s="5"/>
      <c r="HH731" s="5"/>
      <c r="HI731" s="5"/>
      <c r="HJ731" s="5"/>
      <c r="HK731" s="5"/>
      <c r="HL731" s="5"/>
      <c r="HM731" s="5"/>
      <c r="HN731" s="5"/>
      <c r="HO731" s="5"/>
      <c r="HP731" s="5"/>
      <c r="HQ731" s="5"/>
      <c r="HR731" s="5"/>
      <c r="HS731" s="5"/>
      <c r="HT731" s="5"/>
      <c r="HU731" s="5"/>
      <c r="HV731" s="5"/>
      <c r="HW731" s="5"/>
      <c r="HX731" s="5"/>
      <c r="HY731" s="5"/>
      <c r="HZ731" s="5"/>
      <c r="IA731" s="5"/>
      <c r="IB731" s="5"/>
      <c r="IC731" s="5"/>
      <c r="ID731" s="5"/>
      <c r="IE731" s="5"/>
      <c r="IF731" s="5"/>
      <c r="IG731" s="5"/>
      <c r="IH731" s="5"/>
      <c r="II731" s="5"/>
      <c r="IJ731" s="5"/>
      <c r="IK731" s="5"/>
      <c r="IL731" s="5"/>
      <c r="IM731" s="5"/>
      <c r="IN731" s="5"/>
      <c r="IO731" s="5"/>
      <c r="IP731" s="5"/>
      <c r="IQ731" s="5"/>
      <c r="IR731" s="5"/>
      <c r="IS731" s="5"/>
      <c r="IT731" s="5"/>
      <c r="IU731" s="5"/>
      <c r="IV731" s="5"/>
      <c r="IW731" s="5"/>
      <c r="IX731" s="5"/>
      <c r="IY731" s="5"/>
      <c r="IZ731" s="5"/>
      <c r="JA731" s="5"/>
      <c r="JB731" s="5"/>
      <c r="JC731" s="5"/>
      <c r="JD731" s="5"/>
      <c r="JE731" s="5"/>
      <c r="JF731" s="5"/>
      <c r="JG731" s="5"/>
      <c r="JH731" s="5"/>
      <c r="JI731" s="5"/>
      <c r="JJ731" s="5"/>
      <c r="JK731" s="5"/>
      <c r="JL731" s="5"/>
      <c r="JM731" s="5"/>
      <c r="JN731" s="5"/>
      <c r="JO731" s="5"/>
      <c r="JP731" s="5"/>
      <c r="JQ731" s="5"/>
      <c r="JR731" s="5"/>
      <c r="JS731" s="5"/>
      <c r="JT731" s="5"/>
      <c r="JU731" s="5"/>
      <c r="JV731" s="5"/>
      <c r="JW731" s="5"/>
      <c r="JX731" s="5"/>
      <c r="JY731" s="5"/>
      <c r="JZ731" s="5"/>
      <c r="KA731" s="5"/>
      <c r="KB731" s="5"/>
      <c r="KC731" s="5"/>
      <c r="KD731" s="5"/>
      <c r="KE731" s="5"/>
      <c r="KF731" s="5"/>
      <c r="KG731" s="5"/>
      <c r="KH731" s="5"/>
      <c r="KI731" s="5"/>
      <c r="KJ731" s="5"/>
      <c r="KK731" s="5"/>
      <c r="KL731" s="5"/>
      <c r="KM731" s="5"/>
      <c r="KN731" s="5"/>
      <c r="KO731" s="5"/>
      <c r="KP731" s="5"/>
      <c r="KQ731" s="5"/>
      <c r="KR731" s="5"/>
      <c r="KS731" s="5"/>
      <c r="KT731" s="5"/>
      <c r="KU731" s="5"/>
      <c r="KV731" s="5"/>
      <c r="KW731" s="5"/>
      <c r="KX731" s="5"/>
      <c r="KY731" s="5"/>
      <c r="KZ731" s="5"/>
      <c r="LA731" s="5"/>
      <c r="LB731" s="5"/>
      <c r="LC731" s="5"/>
      <c r="LD731" s="5"/>
      <c r="LE731" s="5"/>
      <c r="LF731" s="5"/>
      <c r="LG731" s="5"/>
      <c r="LH731" s="5"/>
      <c r="LI731" s="5"/>
      <c r="LJ731" s="5"/>
      <c r="LK731" s="5"/>
      <c r="LL731" s="5"/>
      <c r="LM731" s="5"/>
      <c r="LN731" s="5"/>
      <c r="LO731" s="5"/>
      <c r="LP731" s="5"/>
      <c r="LQ731" s="5"/>
      <c r="LR731" s="5"/>
      <c r="LS731" s="5"/>
      <c r="LT731" s="5"/>
      <c r="LU731" s="5"/>
      <c r="LV731" s="5"/>
      <c r="LW731" s="5"/>
      <c r="LX731" s="5"/>
      <c r="LY731" s="5"/>
      <c r="LZ731" s="5"/>
      <c r="MA731" s="5"/>
      <c r="MB731" s="5"/>
      <c r="MC731" s="5"/>
      <c r="MD731" s="5"/>
      <c r="ME731" s="5"/>
      <c r="MF731" s="5"/>
      <c r="MG731" s="5"/>
      <c r="MH731" s="5"/>
      <c r="MI731" s="5"/>
      <c r="MJ731" s="5"/>
      <c r="MK731" s="5"/>
      <c r="ML731" s="5"/>
      <c r="MM731" s="5"/>
      <c r="MN731" s="5"/>
      <c r="MO731" s="5"/>
      <c r="MP731" s="5"/>
      <c r="MQ731" s="5"/>
      <c r="MR731" s="5"/>
      <c r="MS731" s="5"/>
      <c r="MT731" s="5"/>
      <c r="MU731" s="5"/>
      <c r="MV731" s="5"/>
      <c r="MW731" s="5"/>
      <c r="MX731" s="5"/>
      <c r="MY731" s="5"/>
      <c r="MZ731" s="5"/>
      <c r="NA731" s="5"/>
      <c r="NB731" s="5"/>
      <c r="NC731" s="5"/>
      <c r="ND731" s="5"/>
      <c r="NE731" s="5"/>
      <c r="NF731" s="5"/>
      <c r="NG731" s="5"/>
      <c r="NH731" s="5"/>
      <c r="NI731" s="5"/>
      <c r="NJ731" s="5"/>
      <c r="NK731" s="5"/>
      <c r="NL731" s="5"/>
      <c r="NM731" s="5"/>
      <c r="NN731" s="5"/>
      <c r="NO731" s="5"/>
      <c r="NP731" s="5"/>
      <c r="NQ731" s="5"/>
      <c r="NR731" s="5"/>
      <c r="NS731" s="5"/>
      <c r="NT731" s="5"/>
      <c r="NU731" s="5"/>
      <c r="NV731" s="5"/>
      <c r="NW731" s="5"/>
      <c r="NX731" s="5"/>
      <c r="NY731" s="5"/>
      <c r="NZ731" s="5"/>
      <c r="OA731" s="5"/>
      <c r="OB731" s="5"/>
      <c r="OC731" s="5"/>
      <c r="OD731" s="5"/>
      <c r="OE731" s="5"/>
      <c r="OF731" s="5"/>
      <c r="OG731" s="5"/>
      <c r="OH731" s="5"/>
      <c r="OI731" s="5"/>
      <c r="OJ731" s="5"/>
      <c r="OK731" s="5"/>
      <c r="OL731" s="5"/>
      <c r="OM731" s="5"/>
      <c r="ON731" s="5"/>
      <c r="OO731" s="5"/>
      <c r="OP731" s="5"/>
      <c r="OQ731" s="5"/>
      <c r="OR731" s="5"/>
      <c r="OS731" s="5"/>
      <c r="OT731" s="5"/>
      <c r="OU731" s="5"/>
      <c r="OV731" s="5"/>
      <c r="OW731" s="5"/>
      <c r="OX731" s="5"/>
      <c r="OY731" s="5"/>
      <c r="OZ731" s="5"/>
      <c r="PA731" s="5"/>
      <c r="PB731" s="5"/>
      <c r="PC731" s="5"/>
      <c r="PD731" s="5"/>
      <c r="PE731" s="5"/>
      <c r="PF731" s="5"/>
      <c r="PG731" s="5"/>
      <c r="PH731" s="5"/>
      <c r="PI731" s="5"/>
      <c r="PJ731" s="5"/>
      <c r="PK731" s="5"/>
      <c r="PL731" s="5"/>
      <c r="PM731" s="5"/>
      <c r="PN731" s="5"/>
      <c r="PO731" s="5"/>
      <c r="PP731" s="5"/>
      <c r="PQ731" s="5"/>
      <c r="PR731" s="5"/>
      <c r="PS731" s="5"/>
      <c r="PT731" s="5"/>
      <c r="PU731" s="5"/>
      <c r="PV731" s="5"/>
      <c r="PW731" s="5"/>
      <c r="PX731" s="5"/>
      <c r="PY731" s="5"/>
      <c r="PZ731" s="5"/>
      <c r="QA731" s="5"/>
      <c r="QB731" s="5"/>
      <c r="QC731" s="5"/>
      <c r="QD731" s="5"/>
      <c r="QE731" s="5"/>
      <c r="QF731" s="5"/>
      <c r="QG731" s="5"/>
      <c r="QH731" s="5"/>
      <c r="QI731" s="5"/>
      <c r="QJ731" s="5"/>
      <c r="QK731" s="5"/>
      <c r="QL731" s="5"/>
      <c r="QM731" s="5"/>
      <c r="QN731" s="5"/>
      <c r="QO731" s="5"/>
      <c r="QP731" s="5"/>
      <c r="QQ731" s="5"/>
      <c r="QR731" s="5"/>
      <c r="QS731" s="5"/>
      <c r="QT731" s="5"/>
      <c r="QU731" s="5"/>
      <c r="QV731" s="5"/>
      <c r="QW731" s="5"/>
      <c r="QX731" s="5"/>
      <c r="QY731" s="5"/>
      <c r="QZ731" s="5"/>
      <c r="RA731" s="5"/>
      <c r="RB731" s="5"/>
      <c r="RC731" s="5"/>
      <c r="RD731" s="5"/>
      <c r="RE731" s="5"/>
      <c r="RF731" s="5"/>
      <c r="RG731" s="5"/>
      <c r="RH731" s="5"/>
      <c r="RI731" s="5"/>
      <c r="RJ731" s="5"/>
      <c r="RK731" s="5"/>
      <c r="RL731" s="5"/>
      <c r="RM731" s="5"/>
      <c r="RN731" s="5"/>
      <c r="RO731" s="5"/>
      <c r="RP731" s="5"/>
      <c r="RQ731" s="5"/>
      <c r="RR731" s="5"/>
      <c r="RS731" s="5"/>
      <c r="RT731" s="5"/>
      <c r="RU731" s="5"/>
      <c r="RV731" s="5"/>
      <c r="RW731" s="5"/>
      <c r="RX731" s="5"/>
      <c r="RY731" s="5"/>
      <c r="RZ731" s="5"/>
      <c r="SA731" s="5"/>
      <c r="SB731" s="5"/>
      <c r="SC731" s="5"/>
      <c r="SD731" s="5"/>
      <c r="SE731" s="5"/>
      <c r="SF731" s="5"/>
      <c r="SG731" s="5"/>
      <c r="SH731" s="5"/>
      <c r="SI731" s="5"/>
      <c r="SJ731" s="5"/>
      <c r="SK731" s="5"/>
      <c r="SL731" s="5"/>
      <c r="SM731" s="5"/>
      <c r="SN731" s="5"/>
      <c r="SO731" s="5"/>
      <c r="SP731" s="5"/>
      <c r="SQ731" s="5"/>
      <c r="SR731" s="5"/>
      <c r="SS731" s="5"/>
      <c r="ST731" s="5"/>
      <c r="SU731" s="5"/>
      <c r="SV731" s="5"/>
      <c r="SW731" s="5"/>
      <c r="SX731" s="5"/>
      <c r="SY731" s="5"/>
      <c r="SZ731" s="5"/>
      <c r="TA731" s="5"/>
      <c r="TB731" s="5"/>
      <c r="TC731" s="5"/>
      <c r="TD731" s="5"/>
      <c r="TE731" s="5"/>
      <c r="TF731" s="5"/>
      <c r="TG731" s="5"/>
      <c r="TH731" s="5"/>
      <c r="TI731" s="5"/>
      <c r="TJ731" s="5"/>
      <c r="TK731" s="5"/>
      <c r="TL731" s="5"/>
      <c r="TM731" s="5"/>
      <c r="TN731" s="5"/>
      <c r="TO731" s="5"/>
      <c r="TP731" s="5"/>
      <c r="TQ731" s="5"/>
      <c r="TR731" s="5"/>
      <c r="TS731" s="5"/>
      <c r="TT731" s="5"/>
      <c r="TU731" s="5"/>
      <c r="TV731" s="5"/>
      <c r="TW731" s="5"/>
      <c r="TX731" s="5"/>
      <c r="TY731" s="5"/>
      <c r="TZ731" s="5"/>
      <c r="UA731" s="5"/>
      <c r="UB731" s="5"/>
      <c r="UC731" s="5"/>
      <c r="UD731" s="5"/>
      <c r="UE731" s="5"/>
      <c r="UF731" s="5"/>
      <c r="UG731" s="5"/>
      <c r="UH731" s="5"/>
      <c r="UI731" s="5"/>
      <c r="UJ731" s="5"/>
      <c r="UK731" s="5"/>
      <c r="UL731" s="5"/>
      <c r="UM731" s="5"/>
      <c r="UN731" s="5"/>
      <c r="UO731" s="5"/>
      <c r="UP731" s="5"/>
      <c r="UQ731" s="5"/>
      <c r="UR731" s="5"/>
      <c r="US731" s="5"/>
      <c r="UT731" s="5"/>
      <c r="UU731" s="5"/>
      <c r="UV731" s="5"/>
      <c r="UW731" s="5"/>
      <c r="UX731" s="5"/>
      <c r="UY731" s="5"/>
      <c r="UZ731" s="5"/>
      <c r="VA731" s="5"/>
      <c r="VB731" s="5"/>
      <c r="VC731" s="5"/>
      <c r="VD731" s="5"/>
      <c r="VE731" s="5"/>
      <c r="VF731" s="5"/>
      <c r="VG731" s="5"/>
      <c r="VH731" s="5"/>
      <c r="VI731" s="5"/>
      <c r="VJ731" s="5"/>
      <c r="VK731" s="5"/>
      <c r="VL731" s="5"/>
      <c r="VM731" s="5"/>
      <c r="VN731" s="5"/>
      <c r="VO731" s="5"/>
      <c r="VP731" s="5"/>
      <c r="VQ731" s="5"/>
      <c r="VR731" s="5"/>
      <c r="VS731" s="5"/>
      <c r="VT731" s="5"/>
      <c r="VU731" s="5"/>
      <c r="VV731" s="5"/>
      <c r="VW731" s="5"/>
      <c r="VX731" s="5"/>
      <c r="VY731" s="5"/>
      <c r="VZ731" s="5"/>
      <c r="WA731" s="5"/>
      <c r="WB731" s="5"/>
      <c r="WC731" s="5"/>
      <c r="WD731" s="5"/>
      <c r="WE731" s="5"/>
      <c r="WF731" s="5"/>
      <c r="WG731" s="5"/>
      <c r="WH731" s="5"/>
      <c r="WI731" s="5"/>
      <c r="WJ731" s="5"/>
      <c r="WK731" s="5"/>
      <c r="WL731" s="5"/>
      <c r="WM731" s="5"/>
      <c r="WN731" s="5"/>
      <c r="WO731" s="5"/>
      <c r="WP731" s="5"/>
      <c r="WQ731" s="5"/>
      <c r="WR731" s="5"/>
      <c r="WS731" s="5"/>
      <c r="WT731" s="5"/>
      <c r="WU731" s="5"/>
      <c r="WV731" s="5"/>
      <c r="WW731" s="5"/>
      <c r="WX731" s="5"/>
      <c r="WY731" s="5"/>
      <c r="WZ731" s="5"/>
      <c r="XA731" s="5"/>
      <c r="XB731" s="5"/>
      <c r="XC731" s="5"/>
      <c r="XD731" s="5"/>
      <c r="XE731" s="5"/>
      <c r="XF731" s="5"/>
      <c r="XG731" s="5"/>
      <c r="XH731" s="5"/>
      <c r="XI731" s="5"/>
      <c r="XJ731" s="5"/>
      <c r="XK731" s="5"/>
      <c r="XL731" s="5"/>
      <c r="XM731" s="5"/>
      <c r="XN731" s="5"/>
      <c r="XO731" s="5"/>
      <c r="XP731" s="5"/>
      <c r="XQ731" s="5"/>
      <c r="XR731" s="5"/>
      <c r="XS731" s="5"/>
      <c r="XT731" s="5"/>
      <c r="XU731" s="5"/>
      <c r="XV731" s="5"/>
      <c r="XW731" s="5"/>
      <c r="XX731" s="5"/>
      <c r="XY731" s="5"/>
      <c r="XZ731" s="5"/>
      <c r="YA731" s="5"/>
      <c r="YB731" s="5"/>
      <c r="YC731" s="5"/>
      <c r="YD731" s="5"/>
      <c r="YE731" s="5"/>
      <c r="YF731" s="5"/>
      <c r="YG731" s="5"/>
      <c r="YH731" s="5"/>
      <c r="YI731" s="5"/>
      <c r="YJ731" s="5"/>
      <c r="YK731" s="5"/>
      <c r="YL731" s="5"/>
      <c r="YM731" s="5"/>
      <c r="YN731" s="5"/>
      <c r="YO731" s="5"/>
      <c r="YP731" s="5"/>
      <c r="YQ731" s="5"/>
      <c r="YR731" s="5"/>
      <c r="YS731" s="5"/>
      <c r="YT731" s="5"/>
      <c r="YU731" s="5"/>
      <c r="YV731" s="5"/>
      <c r="YW731" s="5"/>
      <c r="YX731" s="5"/>
      <c r="YY731" s="5"/>
      <c r="YZ731" s="5"/>
      <c r="ZA731" s="5"/>
      <c r="ZB731" s="5"/>
      <c r="ZC731" s="5"/>
      <c r="ZD731" s="5"/>
      <c r="ZE731" s="5"/>
      <c r="ZF731" s="5"/>
      <c r="ZG731" s="5"/>
      <c r="ZH731" s="5"/>
      <c r="ZI731" s="5"/>
      <c r="ZJ731" s="5"/>
      <c r="ZK731" s="5"/>
      <c r="ZL731" s="5"/>
      <c r="ZM731" s="5"/>
      <c r="ZN731" s="5"/>
      <c r="ZO731" s="5"/>
      <c r="ZP731" s="5"/>
      <c r="ZQ731" s="5"/>
      <c r="ZR731" s="5"/>
      <c r="ZS731" s="5"/>
      <c r="ZT731" s="5"/>
      <c r="ZU731" s="5"/>
      <c r="ZV731" s="5"/>
      <c r="ZW731" s="5"/>
      <c r="ZX731" s="5"/>
      <c r="ZY731" s="5"/>
      <c r="ZZ731" s="5"/>
      <c r="AAA731" s="5"/>
      <c r="AAB731" s="5"/>
      <c r="AAC731" s="5"/>
      <c r="AAD731" s="5"/>
      <c r="AAE731" s="5"/>
      <c r="AAF731" s="5"/>
      <c r="AAG731" s="5"/>
      <c r="AAH731" s="5"/>
      <c r="AAI731" s="5"/>
      <c r="AAJ731" s="5"/>
      <c r="AAK731" s="5"/>
      <c r="AAL731" s="5"/>
      <c r="AAM731" s="5"/>
      <c r="AAN731" s="5"/>
      <c r="AAO731" s="5"/>
      <c r="AAP731" s="5"/>
      <c r="AAQ731" s="5"/>
      <c r="AAR731" s="5"/>
      <c r="AAS731" s="5"/>
      <c r="AAT731" s="5"/>
      <c r="AAU731" s="5"/>
      <c r="AAV731" s="5"/>
      <c r="AAW731" s="5"/>
      <c r="AAX731" s="5"/>
      <c r="AAY731" s="5"/>
      <c r="AAZ731" s="5"/>
      <c r="ABA731" s="5"/>
      <c r="ABB731" s="5"/>
      <c r="ABC731" s="5"/>
      <c r="ABD731" s="5"/>
      <c r="ABE731" s="5"/>
      <c r="ABF731" s="5"/>
      <c r="ABG731" s="5"/>
      <c r="ABH731" s="5"/>
      <c r="ABI731" s="5"/>
      <c r="ABJ731" s="5"/>
      <c r="ABK731" s="5"/>
      <c r="ABL731" s="5"/>
      <c r="ABM731" s="5"/>
      <c r="ABN731" s="5"/>
      <c r="ABO731" s="5"/>
      <c r="ABP731" s="5"/>
      <c r="ABQ731" s="5"/>
      <c r="ABR731" s="5"/>
      <c r="ABS731" s="5"/>
      <c r="ABT731" s="5"/>
      <c r="ABU731" s="5"/>
      <c r="ABV731" s="5"/>
      <c r="ABW731" s="5"/>
      <c r="ABX731" s="5"/>
      <c r="ABY731" s="5"/>
      <c r="ABZ731" s="5"/>
      <c r="ACA731" s="5"/>
      <c r="ACB731" s="5"/>
      <c r="ACC731" s="5"/>
      <c r="ACD731" s="5"/>
      <c r="ACE731" s="5"/>
      <c r="ACF731" s="5"/>
      <c r="ACG731" s="5"/>
      <c r="ACH731" s="5"/>
      <c r="ACI731" s="5"/>
      <c r="ACJ731" s="5"/>
      <c r="ACK731" s="5"/>
      <c r="ACL731" s="5"/>
      <c r="ACM731" s="5"/>
      <c r="ACN731" s="5"/>
      <c r="ACO731" s="5"/>
      <c r="ACP731" s="5"/>
      <c r="ACQ731" s="5"/>
      <c r="ACR731" s="5"/>
      <c r="ACS731" s="5"/>
      <c r="ACT731" s="5"/>
      <c r="ACU731" s="5"/>
      <c r="ACV731" s="5"/>
      <c r="ACW731" s="5"/>
      <c r="ACX731" s="5"/>
      <c r="ACY731" s="5"/>
      <c r="ACZ731" s="5"/>
      <c r="ADA731" s="5"/>
      <c r="ADB731" s="5"/>
      <c r="ADC731" s="5"/>
      <c r="ADD731" s="5"/>
      <c r="ADE731" s="5"/>
      <c r="ADF731" s="5"/>
      <c r="ADG731" s="5"/>
      <c r="ADH731" s="5"/>
      <c r="ADI731" s="5"/>
      <c r="ADJ731" s="5"/>
      <c r="ADK731" s="5"/>
      <c r="ADL731" s="5"/>
      <c r="ADM731" s="5"/>
      <c r="ADN731" s="5"/>
      <c r="ADO731" s="5"/>
      <c r="ADP731" s="5"/>
      <c r="ADQ731" s="5"/>
      <c r="ADR731" s="5"/>
      <c r="ADS731" s="5"/>
      <c r="ADT731" s="5"/>
      <c r="ADU731" s="5"/>
      <c r="ADV731" s="5"/>
      <c r="ADW731" s="5"/>
      <c r="ADX731" s="5"/>
      <c r="ADY731" s="5"/>
      <c r="ADZ731" s="5"/>
      <c r="AEA731" s="5"/>
      <c r="AEB731" s="5"/>
      <c r="AEC731" s="5"/>
      <c r="AED731" s="5"/>
      <c r="AEE731" s="5"/>
      <c r="AEF731" s="5"/>
      <c r="AEG731" s="5"/>
      <c r="AEH731" s="5"/>
      <c r="AEI731" s="5"/>
      <c r="AEJ731" s="5"/>
      <c r="AEK731" s="5"/>
      <c r="AEL731" s="5"/>
      <c r="AEM731" s="5"/>
      <c r="AEN731" s="5"/>
      <c r="AEO731" s="5"/>
      <c r="AEP731" s="5"/>
      <c r="AEQ731" s="5"/>
      <c r="AER731" s="5"/>
      <c r="AES731" s="5"/>
      <c r="AET731" s="5"/>
      <c r="AEU731" s="5"/>
      <c r="AEV731" s="5"/>
      <c r="AEW731" s="5"/>
      <c r="AEX731" s="5"/>
      <c r="AEY731" s="5"/>
      <c r="AEZ731" s="5"/>
      <c r="AFA731" s="5"/>
      <c r="AFB731" s="5"/>
      <c r="AFC731" s="5"/>
      <c r="AFD731" s="5"/>
      <c r="AFE731" s="5"/>
      <c r="AFF731" s="5"/>
      <c r="AFG731" s="5"/>
      <c r="AFH731" s="5"/>
      <c r="AFI731" s="5"/>
      <c r="AFJ731" s="5"/>
      <c r="AFK731" s="5"/>
      <c r="AFL731" s="5"/>
      <c r="AFM731" s="5"/>
      <c r="AFN731" s="5"/>
      <c r="AFO731" s="5"/>
      <c r="AFP731" s="5"/>
      <c r="AFQ731" s="5"/>
      <c r="AFR731" s="5"/>
      <c r="AFS731" s="5"/>
      <c r="AFT731" s="5"/>
      <c r="AFU731" s="5"/>
      <c r="AFV731" s="5"/>
      <c r="AFW731" s="5"/>
      <c r="AFX731" s="5"/>
      <c r="AFY731" s="5"/>
      <c r="AFZ731" s="5"/>
      <c r="AGA731" s="5"/>
      <c r="AGB731" s="5"/>
      <c r="AGC731" s="5"/>
      <c r="AGD731" s="5"/>
      <c r="AGE731" s="5"/>
      <c r="AGF731" s="5"/>
      <c r="AGG731" s="5"/>
      <c r="AGH731" s="5"/>
      <c r="AGI731" s="5"/>
      <c r="AGJ731" s="5"/>
      <c r="AGK731" s="5"/>
      <c r="AGL731" s="5"/>
      <c r="AGM731" s="5"/>
      <c r="AGN731" s="5"/>
      <c r="AGO731" s="5"/>
      <c r="AGP731" s="5"/>
      <c r="AGQ731" s="5"/>
      <c r="AGR731" s="5"/>
      <c r="AGS731" s="5"/>
      <c r="AGT731" s="5"/>
      <c r="AGU731" s="5"/>
      <c r="AGV731" s="5"/>
      <c r="AGW731" s="5"/>
      <c r="AGX731" s="5"/>
      <c r="AGY731" s="5"/>
      <c r="AGZ731" s="5"/>
      <c r="AHA731" s="5"/>
      <c r="AHB731" s="5"/>
      <c r="AHC731" s="5"/>
      <c r="AHD731" s="5"/>
      <c r="AHE731" s="5"/>
      <c r="AHF731" s="5"/>
      <c r="AHG731" s="5"/>
      <c r="AHH731" s="5"/>
      <c r="AHI731" s="5"/>
      <c r="AHJ731" s="5"/>
      <c r="AHK731" s="5"/>
      <c r="AHL731" s="5"/>
      <c r="AHM731" s="5"/>
      <c r="AHN731" s="5"/>
      <c r="AHO731" s="5"/>
      <c r="AHP731" s="5"/>
      <c r="AHQ731" s="5"/>
      <c r="AHR731" s="5"/>
      <c r="AHS731" s="5"/>
      <c r="AHT731" s="5"/>
      <c r="AHU731" s="5"/>
      <c r="AHV731" s="5"/>
      <c r="AHW731" s="5"/>
      <c r="AHX731" s="5"/>
      <c r="AHY731" s="5"/>
      <c r="AHZ731" s="5"/>
      <c r="AIA731" s="5"/>
      <c r="AIB731" s="5"/>
      <c r="AIC731" s="5"/>
      <c r="AID731" s="5"/>
      <c r="AIE731" s="5"/>
      <c r="AIF731" s="5"/>
      <c r="AIG731" s="5"/>
      <c r="AIH731" s="5"/>
      <c r="AII731" s="5"/>
      <c r="AIJ731" s="5"/>
      <c r="AIK731" s="5"/>
      <c r="AIL731" s="5"/>
      <c r="AIM731" s="5"/>
      <c r="AIN731" s="5"/>
      <c r="AIO731" s="5"/>
      <c r="AIP731" s="5"/>
      <c r="AIQ731" s="5"/>
      <c r="AIR731" s="5"/>
      <c r="AIS731" s="5"/>
      <c r="AIT731" s="5"/>
      <c r="AIU731" s="5"/>
      <c r="AIV731" s="5"/>
      <c r="AIW731" s="5"/>
      <c r="AIX731" s="5"/>
      <c r="AIY731" s="5"/>
      <c r="AIZ731" s="5"/>
      <c r="AJA731" s="5"/>
      <c r="AJB731" s="5"/>
      <c r="AJC731" s="5"/>
      <c r="AJD731" s="5"/>
      <c r="AJE731" s="5"/>
      <c r="AJF731" s="5"/>
      <c r="AJG731" s="5"/>
      <c r="AJH731" s="5"/>
      <c r="AJI731" s="5"/>
      <c r="AJJ731" s="5"/>
      <c r="AJK731" s="5"/>
      <c r="AJL731" s="5"/>
      <c r="AJM731" s="5"/>
      <c r="AJN731" s="5"/>
      <c r="AJO731" s="5"/>
      <c r="AJP731" s="5"/>
      <c r="AJQ731" s="5"/>
      <c r="AJR731" s="5"/>
      <c r="AJS731" s="5"/>
      <c r="AJT731" s="5"/>
      <c r="AJU731" s="5"/>
      <c r="AJV731" s="5"/>
      <c r="AJW731" s="5"/>
      <c r="AJX731" s="5"/>
      <c r="AJY731" s="5"/>
      <c r="AJZ731" s="5"/>
      <c r="AKA731" s="5"/>
      <c r="AKB731" s="5"/>
      <c r="AKC731" s="5"/>
      <c r="AKD731" s="5"/>
      <c r="AKE731" s="5"/>
      <c r="AKF731" s="5"/>
      <c r="AKG731" s="5"/>
      <c r="AKH731" s="5"/>
      <c r="AKI731" s="5"/>
      <c r="AKJ731" s="5"/>
      <c r="AKK731" s="5"/>
      <c r="AKL731" s="5"/>
      <c r="AKM731" s="5"/>
      <c r="AKN731" s="5"/>
      <c r="AKO731" s="5"/>
      <c r="AKP731" s="5"/>
      <c r="AKQ731" s="5"/>
      <c r="AKR731" s="5"/>
      <c r="AKS731" s="5"/>
      <c r="AKT731" s="5"/>
      <c r="AKU731" s="5"/>
      <c r="AKV731" s="5"/>
      <c r="AKW731" s="5"/>
      <c r="AKX731" s="5"/>
      <c r="AKY731" s="5"/>
      <c r="AKZ731" s="5"/>
      <c r="ALA731" s="5"/>
      <c r="ALB731" s="5"/>
      <c r="ALC731" s="5"/>
      <c r="ALD731" s="5"/>
      <c r="ALE731" s="5"/>
      <c r="ALF731" s="5"/>
      <c r="ALG731" s="5"/>
      <c r="ALH731" s="5"/>
      <c r="ALI731" s="5"/>
      <c r="ALJ731" s="5"/>
      <c r="ALK731" s="5"/>
      <c r="ALL731" s="5"/>
      <c r="ALM731" s="5"/>
      <c r="ALN731" s="5"/>
      <c r="ALO731" s="5"/>
      <c r="ALP731" s="5"/>
      <c r="ALQ731" s="5"/>
      <c r="ALR731" s="5"/>
      <c r="ALS731" s="5"/>
      <c r="ALT731" s="5"/>
      <c r="ALU731" s="5"/>
      <c r="ALV731" s="5"/>
      <c r="ALW731" s="5"/>
      <c r="ALX731" s="5"/>
      <c r="ALY731" s="5"/>
      <c r="ALZ731" s="5"/>
      <c r="AMA731" s="5"/>
      <c r="AMB731" s="5"/>
      <c r="AMC731" s="5"/>
      <c r="AMD731" s="5"/>
      <c r="AME731" s="5"/>
      <c r="AMF731" s="5"/>
      <c r="AMG731" s="5"/>
      <c r="AMH731" s="5"/>
      <c r="AMI731" s="5"/>
      <c r="AMJ731" s="5"/>
      <c r="AMK731" s="5"/>
      <c r="AML731" s="5"/>
      <c r="AMM731" s="5"/>
      <c r="AMN731" s="5"/>
      <c r="AMO731" s="5"/>
      <c r="AMP731" s="5"/>
      <c r="AMQ731" s="5"/>
      <c r="AMR731" s="5"/>
      <c r="AMS731" s="5"/>
      <c r="AMT731" s="5"/>
      <c r="AMU731" s="5"/>
      <c r="AMV731" s="5"/>
      <c r="AMW731" s="5"/>
      <c r="AMX731" s="5"/>
      <c r="AMY731" s="5"/>
      <c r="AMZ731" s="5"/>
      <c r="ANA731" s="5"/>
      <c r="ANB731" s="5"/>
      <c r="ANC731" s="5"/>
      <c r="AND731" s="5"/>
      <c r="ANE731" s="5"/>
      <c r="ANF731" s="5"/>
      <c r="ANG731" s="5"/>
      <c r="ANH731" s="5"/>
      <c r="ANI731" s="5"/>
      <c r="ANJ731" s="5"/>
      <c r="ANK731" s="5"/>
      <c r="ANL731" s="5"/>
      <c r="ANM731" s="5"/>
      <c r="ANN731" s="5"/>
      <c r="ANO731" s="5"/>
      <c r="ANP731" s="5"/>
      <c r="ANQ731" s="5"/>
      <c r="ANR731" s="5"/>
      <c r="ANS731" s="5"/>
      <c r="ANT731" s="5"/>
      <c r="ANU731" s="5"/>
      <c r="ANV731" s="5"/>
      <c r="ANW731" s="5"/>
      <c r="ANX731" s="5"/>
      <c r="ANY731" s="5"/>
      <c r="ANZ731" s="5"/>
      <c r="AOA731" s="5"/>
      <c r="AOB731" s="5"/>
      <c r="AOC731" s="5"/>
      <c r="AOD731" s="5"/>
      <c r="AOE731" s="5"/>
      <c r="AOF731" s="5"/>
      <c r="AOG731" s="5"/>
      <c r="AOH731" s="5"/>
      <c r="AOI731" s="5"/>
      <c r="AOJ731" s="5"/>
      <c r="AOK731" s="5"/>
      <c r="AOL731" s="5"/>
      <c r="AOM731" s="5"/>
      <c r="AON731" s="5"/>
      <c r="AOO731" s="5"/>
      <c r="AOP731" s="5"/>
      <c r="AOQ731" s="5"/>
      <c r="AOR731" s="5"/>
      <c r="AOS731" s="5"/>
      <c r="AOT731" s="5"/>
      <c r="AOU731" s="5"/>
      <c r="AOV731" s="5"/>
      <c r="AOW731" s="5"/>
      <c r="AOX731" s="5"/>
      <c r="AOY731" s="5"/>
      <c r="AOZ731" s="5"/>
      <c r="APA731" s="5"/>
      <c r="APB731" s="5"/>
      <c r="APC731" s="5"/>
      <c r="APD731" s="5"/>
      <c r="APE731" s="5"/>
      <c r="APF731" s="5"/>
      <c r="APG731" s="5"/>
      <c r="APH731" s="5"/>
      <c r="API731" s="5"/>
      <c r="APJ731" s="5"/>
      <c r="APK731" s="5"/>
      <c r="APL731" s="5"/>
      <c r="APM731" s="5"/>
      <c r="APN731" s="5"/>
      <c r="APO731" s="5"/>
      <c r="APP731" s="5"/>
      <c r="APQ731" s="5"/>
      <c r="APR731" s="5"/>
      <c r="APS731" s="5"/>
      <c r="APT731" s="5"/>
      <c r="APU731" s="5"/>
      <c r="APV731" s="5"/>
      <c r="APW731" s="5"/>
      <c r="APX731" s="5"/>
      <c r="APY731" s="5"/>
      <c r="APZ731" s="5"/>
      <c r="AQA731" s="5"/>
      <c r="AQB731" s="5"/>
      <c r="AQC731" s="5"/>
      <c r="AQD731" s="5"/>
      <c r="AQE731" s="5"/>
      <c r="AQF731" s="5"/>
      <c r="AQG731" s="5"/>
      <c r="AQH731" s="5"/>
      <c r="AQI731" s="5"/>
      <c r="AQJ731" s="5"/>
      <c r="AQK731" s="5"/>
      <c r="AQL731" s="5"/>
      <c r="AQM731" s="5"/>
      <c r="AQN731" s="5"/>
      <c r="AQO731" s="5"/>
      <c r="AQP731" s="5"/>
      <c r="AQQ731" s="5"/>
      <c r="AQR731" s="5"/>
      <c r="AQS731" s="5"/>
      <c r="AQT731" s="5"/>
      <c r="AQU731" s="5"/>
      <c r="AQV731" s="5"/>
      <c r="AQW731" s="5"/>
      <c r="AQX731" s="5"/>
      <c r="AQY731" s="5"/>
      <c r="AQZ731" s="5"/>
      <c r="ARA731" s="5"/>
      <c r="ARB731" s="5"/>
      <c r="ARC731" s="5"/>
      <c r="ARD731" s="5"/>
      <c r="ARE731" s="5"/>
      <c r="ARF731" s="5"/>
      <c r="ARG731" s="5"/>
      <c r="ARH731" s="5"/>
      <c r="ARI731" s="5"/>
      <c r="ARJ731" s="5"/>
      <c r="ARK731" s="5"/>
      <c r="ARL731" s="5"/>
      <c r="ARM731" s="5"/>
      <c r="ARN731" s="5"/>
      <c r="ARO731" s="5"/>
      <c r="ARP731" s="5"/>
      <c r="ARQ731" s="5"/>
      <c r="ARR731" s="5"/>
      <c r="ARS731" s="5"/>
      <c r="ART731" s="5"/>
      <c r="ARU731" s="5"/>
      <c r="ARV731" s="5"/>
      <c r="ARW731" s="5"/>
      <c r="ARX731" s="5"/>
      <c r="ARY731" s="5"/>
      <c r="ARZ731" s="5"/>
      <c r="ASA731" s="5"/>
      <c r="ASB731" s="5"/>
      <c r="ASC731" s="5"/>
      <c r="ASD731" s="5"/>
      <c r="ASE731" s="5"/>
      <c r="ASF731" s="5"/>
      <c r="ASG731" s="5"/>
      <c r="ASH731" s="5"/>
      <c r="ASI731" s="5"/>
      <c r="ASJ731" s="5"/>
      <c r="ASK731" s="5"/>
      <c r="ASL731" s="5"/>
      <c r="ASM731" s="5"/>
      <c r="ASN731" s="5"/>
      <c r="ASO731" s="5"/>
      <c r="ASP731" s="5"/>
      <c r="ASQ731" s="5"/>
      <c r="ASR731" s="5"/>
      <c r="ASS731" s="5"/>
      <c r="AST731" s="5"/>
      <c r="ASU731" s="5"/>
      <c r="ASV731" s="5"/>
      <c r="ASW731" s="5"/>
      <c r="ASX731" s="5"/>
      <c r="ASY731" s="5"/>
      <c r="ASZ731" s="5"/>
      <c r="ATA731" s="5"/>
      <c r="ATB731" s="5"/>
      <c r="ATC731" s="5"/>
      <c r="ATD731" s="5"/>
      <c r="ATE731" s="5"/>
      <c r="ATF731" s="5"/>
      <c r="ATG731" s="5"/>
      <c r="ATH731" s="5"/>
      <c r="ATI731" s="5"/>
      <c r="ATJ731" s="5"/>
      <c r="ATK731" s="5"/>
      <c r="ATL731" s="5"/>
      <c r="ATM731" s="5"/>
      <c r="ATN731" s="5"/>
      <c r="ATO731" s="5"/>
      <c r="ATP731" s="5"/>
      <c r="ATQ731" s="5"/>
      <c r="ATR731" s="5"/>
      <c r="ATS731" s="5"/>
      <c r="ATT731" s="5"/>
      <c r="ATU731" s="5"/>
      <c r="ATV731" s="5"/>
      <c r="ATW731" s="5"/>
      <c r="ATX731" s="5"/>
    </row>
    <row r="732" spans="1:1220" s="67" customFormat="1" ht="12.75" customHeight="1" x14ac:dyDescent="0.35">
      <c r="A732" s="76" t="s">
        <v>229</v>
      </c>
      <c r="B732" s="99" t="s">
        <v>340</v>
      </c>
      <c r="C732" s="76" t="s">
        <v>2632</v>
      </c>
      <c r="D732" s="142" t="s">
        <v>2632</v>
      </c>
      <c r="E732" s="76"/>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c r="DN732" s="5"/>
      <c r="DO732" s="5"/>
      <c r="DP732" s="5"/>
      <c r="DQ732" s="5"/>
      <c r="DR732" s="5"/>
      <c r="DS732" s="5"/>
      <c r="DT732" s="5"/>
      <c r="DU732" s="5"/>
      <c r="DV732" s="5"/>
      <c r="DW732" s="5"/>
      <c r="DX732" s="5"/>
      <c r="DY732" s="5"/>
      <c r="DZ732" s="5"/>
      <c r="EA732" s="5"/>
      <c r="EB732" s="5"/>
      <c r="EC732" s="5"/>
      <c r="ED732" s="5"/>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s="5"/>
      <c r="FG732" s="5"/>
      <c r="FH732" s="5"/>
      <c r="FI732" s="5"/>
      <c r="FJ732" s="5"/>
      <c r="FK732" s="5"/>
      <c r="FL732" s="5"/>
      <c r="FM732" s="5"/>
      <c r="FN732" s="5"/>
      <c r="FO732" s="5"/>
      <c r="FP732" s="5"/>
      <c r="FQ732" s="5"/>
      <c r="FR732" s="5"/>
      <c r="FS732" s="5"/>
      <c r="FT732" s="5"/>
      <c r="FU732" s="5"/>
      <c r="FV732" s="5"/>
      <c r="FW732" s="5"/>
      <c r="FX732" s="5"/>
      <c r="FY732" s="5"/>
      <c r="FZ732" s="5"/>
      <c r="GA732" s="5"/>
      <c r="GB732" s="5"/>
      <c r="GC732" s="5"/>
      <c r="GD732" s="5"/>
      <c r="GE732" s="5"/>
      <c r="GF732" s="5"/>
      <c r="GG732" s="5"/>
      <c r="GH732" s="5"/>
      <c r="GI732" s="5"/>
      <c r="GJ732" s="5"/>
      <c r="GK732" s="5"/>
      <c r="GL732" s="5"/>
      <c r="GM732" s="5"/>
      <c r="GN732" s="5"/>
      <c r="GO732" s="5"/>
      <c r="GP732" s="5"/>
      <c r="GQ732" s="5"/>
      <c r="GR732" s="5"/>
      <c r="GS732" s="5"/>
      <c r="GT732" s="5"/>
      <c r="GU732" s="5"/>
      <c r="GV732" s="5"/>
      <c r="GW732" s="5"/>
      <c r="GX732" s="5"/>
      <c r="GY732" s="5"/>
      <c r="GZ732" s="5"/>
      <c r="HA732" s="5"/>
      <c r="HB732" s="5"/>
      <c r="HC732" s="5"/>
      <c r="HD732" s="5"/>
      <c r="HE732" s="5"/>
      <c r="HF732" s="5"/>
      <c r="HG732" s="5"/>
      <c r="HH732" s="5"/>
      <c r="HI732" s="5"/>
      <c r="HJ732" s="5"/>
      <c r="HK732" s="5"/>
      <c r="HL732" s="5"/>
      <c r="HM732" s="5"/>
      <c r="HN732" s="5"/>
      <c r="HO732" s="5"/>
      <c r="HP732" s="5"/>
      <c r="HQ732" s="5"/>
      <c r="HR732" s="5"/>
      <c r="HS732" s="5"/>
      <c r="HT732" s="5"/>
      <c r="HU732" s="5"/>
      <c r="HV732" s="5"/>
      <c r="HW732" s="5"/>
      <c r="HX732" s="5"/>
      <c r="HY732" s="5"/>
      <c r="HZ732" s="5"/>
      <c r="IA732" s="5"/>
      <c r="IB732" s="5"/>
      <c r="IC732" s="5"/>
      <c r="ID732" s="5"/>
      <c r="IE732" s="5"/>
      <c r="IF732" s="5"/>
      <c r="IG732" s="5"/>
      <c r="IH732" s="5"/>
      <c r="II732" s="5"/>
      <c r="IJ732" s="5"/>
      <c r="IK732" s="5"/>
      <c r="IL732" s="5"/>
      <c r="IM732" s="5"/>
      <c r="IN732" s="5"/>
      <c r="IO732" s="5"/>
      <c r="IP732" s="5"/>
      <c r="IQ732" s="5"/>
      <c r="IR732" s="5"/>
      <c r="IS732" s="5"/>
      <c r="IT732" s="5"/>
      <c r="IU732" s="5"/>
      <c r="IV732" s="5"/>
      <c r="IW732" s="5"/>
      <c r="IX732" s="5"/>
      <c r="IY732" s="5"/>
      <c r="IZ732" s="5"/>
      <c r="JA732" s="5"/>
      <c r="JB732" s="5"/>
      <c r="JC732" s="5"/>
      <c r="JD732" s="5"/>
      <c r="JE732" s="5"/>
      <c r="JF732" s="5"/>
      <c r="JG732" s="5"/>
      <c r="JH732" s="5"/>
      <c r="JI732" s="5"/>
      <c r="JJ732" s="5"/>
      <c r="JK732" s="5"/>
      <c r="JL732" s="5"/>
      <c r="JM732" s="5"/>
      <c r="JN732" s="5"/>
      <c r="JO732" s="5"/>
      <c r="JP732" s="5"/>
      <c r="JQ732" s="5"/>
      <c r="JR732" s="5"/>
      <c r="JS732" s="5"/>
      <c r="JT732" s="5"/>
      <c r="JU732" s="5"/>
      <c r="JV732" s="5"/>
      <c r="JW732" s="5"/>
      <c r="JX732" s="5"/>
      <c r="JY732" s="5"/>
      <c r="JZ732" s="5"/>
      <c r="KA732" s="5"/>
      <c r="KB732" s="5"/>
      <c r="KC732" s="5"/>
      <c r="KD732" s="5"/>
      <c r="KE732" s="5"/>
      <c r="KF732" s="5"/>
      <c r="KG732" s="5"/>
      <c r="KH732" s="5"/>
      <c r="KI732" s="5"/>
      <c r="KJ732" s="5"/>
      <c r="KK732" s="5"/>
      <c r="KL732" s="5"/>
      <c r="KM732" s="5"/>
      <c r="KN732" s="5"/>
      <c r="KO732" s="5"/>
      <c r="KP732" s="5"/>
      <c r="KQ732" s="5"/>
      <c r="KR732" s="5"/>
      <c r="KS732" s="5"/>
      <c r="KT732" s="5"/>
      <c r="KU732" s="5"/>
      <c r="KV732" s="5"/>
      <c r="KW732" s="5"/>
      <c r="KX732" s="5"/>
      <c r="KY732" s="5"/>
      <c r="KZ732" s="5"/>
      <c r="LA732" s="5"/>
      <c r="LB732" s="5"/>
      <c r="LC732" s="5"/>
      <c r="LD732" s="5"/>
      <c r="LE732" s="5"/>
      <c r="LF732" s="5"/>
      <c r="LG732" s="5"/>
      <c r="LH732" s="5"/>
      <c r="LI732" s="5"/>
      <c r="LJ732" s="5"/>
      <c r="LK732" s="5"/>
      <c r="LL732" s="5"/>
      <c r="LM732" s="5"/>
      <c r="LN732" s="5"/>
      <c r="LO732" s="5"/>
      <c r="LP732" s="5"/>
      <c r="LQ732" s="5"/>
      <c r="LR732" s="5"/>
      <c r="LS732" s="5"/>
      <c r="LT732" s="5"/>
      <c r="LU732" s="5"/>
      <c r="LV732" s="5"/>
      <c r="LW732" s="5"/>
      <c r="LX732" s="5"/>
      <c r="LY732" s="5"/>
      <c r="LZ732" s="5"/>
      <c r="MA732" s="5"/>
      <c r="MB732" s="5"/>
      <c r="MC732" s="5"/>
      <c r="MD732" s="5"/>
      <c r="ME732" s="5"/>
      <c r="MF732" s="5"/>
      <c r="MG732" s="5"/>
      <c r="MH732" s="5"/>
      <c r="MI732" s="5"/>
      <c r="MJ732" s="5"/>
      <c r="MK732" s="5"/>
      <c r="ML732" s="5"/>
      <c r="MM732" s="5"/>
      <c r="MN732" s="5"/>
      <c r="MO732" s="5"/>
      <c r="MP732" s="5"/>
      <c r="MQ732" s="5"/>
      <c r="MR732" s="5"/>
      <c r="MS732" s="5"/>
      <c r="MT732" s="5"/>
      <c r="MU732" s="5"/>
      <c r="MV732" s="5"/>
      <c r="MW732" s="5"/>
      <c r="MX732" s="5"/>
      <c r="MY732" s="5"/>
      <c r="MZ732" s="5"/>
      <c r="NA732" s="5"/>
      <c r="NB732" s="5"/>
      <c r="NC732" s="5"/>
      <c r="ND732" s="5"/>
      <c r="NE732" s="5"/>
      <c r="NF732" s="5"/>
      <c r="NG732" s="5"/>
      <c r="NH732" s="5"/>
      <c r="NI732" s="5"/>
      <c r="NJ732" s="5"/>
      <c r="NK732" s="5"/>
      <c r="NL732" s="5"/>
      <c r="NM732" s="5"/>
      <c r="NN732" s="5"/>
      <c r="NO732" s="5"/>
      <c r="NP732" s="5"/>
      <c r="NQ732" s="5"/>
      <c r="NR732" s="5"/>
      <c r="NS732" s="5"/>
      <c r="NT732" s="5"/>
      <c r="NU732" s="5"/>
      <c r="NV732" s="5"/>
      <c r="NW732" s="5"/>
      <c r="NX732" s="5"/>
      <c r="NY732" s="5"/>
      <c r="NZ732" s="5"/>
      <c r="OA732" s="5"/>
      <c r="OB732" s="5"/>
      <c r="OC732" s="5"/>
      <c r="OD732" s="5"/>
      <c r="OE732" s="5"/>
      <c r="OF732" s="5"/>
      <c r="OG732" s="5"/>
      <c r="OH732" s="5"/>
      <c r="OI732" s="5"/>
      <c r="OJ732" s="5"/>
      <c r="OK732" s="5"/>
      <c r="OL732" s="5"/>
      <c r="OM732" s="5"/>
      <c r="ON732" s="5"/>
      <c r="OO732" s="5"/>
      <c r="OP732" s="5"/>
      <c r="OQ732" s="5"/>
      <c r="OR732" s="5"/>
      <c r="OS732" s="5"/>
      <c r="OT732" s="5"/>
      <c r="OU732" s="5"/>
      <c r="OV732" s="5"/>
      <c r="OW732" s="5"/>
      <c r="OX732" s="5"/>
      <c r="OY732" s="5"/>
      <c r="OZ732" s="5"/>
      <c r="PA732" s="5"/>
      <c r="PB732" s="5"/>
      <c r="PC732" s="5"/>
      <c r="PD732" s="5"/>
      <c r="PE732" s="5"/>
      <c r="PF732" s="5"/>
      <c r="PG732" s="5"/>
      <c r="PH732" s="5"/>
      <c r="PI732" s="5"/>
      <c r="PJ732" s="5"/>
      <c r="PK732" s="5"/>
      <c r="PL732" s="5"/>
      <c r="PM732" s="5"/>
      <c r="PN732" s="5"/>
      <c r="PO732" s="5"/>
      <c r="PP732" s="5"/>
      <c r="PQ732" s="5"/>
      <c r="PR732" s="5"/>
      <c r="PS732" s="5"/>
      <c r="PT732" s="5"/>
      <c r="PU732" s="5"/>
      <c r="PV732" s="5"/>
      <c r="PW732" s="5"/>
      <c r="PX732" s="5"/>
      <c r="PY732" s="5"/>
      <c r="PZ732" s="5"/>
      <c r="QA732" s="5"/>
      <c r="QB732" s="5"/>
      <c r="QC732" s="5"/>
      <c r="QD732" s="5"/>
      <c r="QE732" s="5"/>
      <c r="QF732" s="5"/>
      <c r="QG732" s="5"/>
      <c r="QH732" s="5"/>
      <c r="QI732" s="5"/>
      <c r="QJ732" s="5"/>
      <c r="QK732" s="5"/>
      <c r="QL732" s="5"/>
      <c r="QM732" s="5"/>
      <c r="QN732" s="5"/>
      <c r="QO732" s="5"/>
      <c r="QP732" s="5"/>
      <c r="QQ732" s="5"/>
      <c r="QR732" s="5"/>
      <c r="QS732" s="5"/>
      <c r="QT732" s="5"/>
      <c r="QU732" s="5"/>
      <c r="QV732" s="5"/>
      <c r="QW732" s="5"/>
      <c r="QX732" s="5"/>
      <c r="QY732" s="5"/>
      <c r="QZ732" s="5"/>
      <c r="RA732" s="5"/>
      <c r="RB732" s="5"/>
      <c r="RC732" s="5"/>
      <c r="RD732" s="5"/>
      <c r="RE732" s="5"/>
      <c r="RF732" s="5"/>
      <c r="RG732" s="5"/>
      <c r="RH732" s="5"/>
      <c r="RI732" s="5"/>
      <c r="RJ732" s="5"/>
      <c r="RK732" s="5"/>
      <c r="RL732" s="5"/>
      <c r="RM732" s="5"/>
      <c r="RN732" s="5"/>
      <c r="RO732" s="5"/>
      <c r="RP732" s="5"/>
      <c r="RQ732" s="5"/>
      <c r="RR732" s="5"/>
      <c r="RS732" s="5"/>
      <c r="RT732" s="5"/>
      <c r="RU732" s="5"/>
      <c r="RV732" s="5"/>
      <c r="RW732" s="5"/>
      <c r="RX732" s="5"/>
      <c r="RY732" s="5"/>
      <c r="RZ732" s="5"/>
      <c r="SA732" s="5"/>
      <c r="SB732" s="5"/>
      <c r="SC732" s="5"/>
      <c r="SD732" s="5"/>
      <c r="SE732" s="5"/>
      <c r="SF732" s="5"/>
      <c r="SG732" s="5"/>
      <c r="SH732" s="5"/>
      <c r="SI732" s="5"/>
      <c r="SJ732" s="5"/>
      <c r="SK732" s="5"/>
      <c r="SL732" s="5"/>
      <c r="SM732" s="5"/>
      <c r="SN732" s="5"/>
      <c r="SO732" s="5"/>
      <c r="SP732" s="5"/>
      <c r="SQ732" s="5"/>
      <c r="SR732" s="5"/>
      <c r="SS732" s="5"/>
      <c r="ST732" s="5"/>
      <c r="SU732" s="5"/>
      <c r="SV732" s="5"/>
      <c r="SW732" s="5"/>
      <c r="SX732" s="5"/>
      <c r="SY732" s="5"/>
      <c r="SZ732" s="5"/>
      <c r="TA732" s="5"/>
      <c r="TB732" s="5"/>
      <c r="TC732" s="5"/>
      <c r="TD732" s="5"/>
      <c r="TE732" s="5"/>
      <c r="TF732" s="5"/>
      <c r="TG732" s="5"/>
      <c r="TH732" s="5"/>
      <c r="TI732" s="5"/>
      <c r="TJ732" s="5"/>
      <c r="TK732" s="5"/>
      <c r="TL732" s="5"/>
      <c r="TM732" s="5"/>
      <c r="TN732" s="5"/>
      <c r="TO732" s="5"/>
      <c r="TP732" s="5"/>
      <c r="TQ732" s="5"/>
      <c r="TR732" s="5"/>
      <c r="TS732" s="5"/>
      <c r="TT732" s="5"/>
      <c r="TU732" s="5"/>
      <c r="TV732" s="5"/>
      <c r="TW732" s="5"/>
      <c r="TX732" s="5"/>
      <c r="TY732" s="5"/>
      <c r="TZ732" s="5"/>
      <c r="UA732" s="5"/>
      <c r="UB732" s="5"/>
      <c r="UC732" s="5"/>
      <c r="UD732" s="5"/>
      <c r="UE732" s="5"/>
      <c r="UF732" s="5"/>
      <c r="UG732" s="5"/>
      <c r="UH732" s="5"/>
      <c r="UI732" s="5"/>
      <c r="UJ732" s="5"/>
      <c r="UK732" s="5"/>
      <c r="UL732" s="5"/>
      <c r="UM732" s="5"/>
      <c r="UN732" s="5"/>
      <c r="UO732" s="5"/>
      <c r="UP732" s="5"/>
      <c r="UQ732" s="5"/>
      <c r="UR732" s="5"/>
      <c r="US732" s="5"/>
      <c r="UT732" s="5"/>
      <c r="UU732" s="5"/>
      <c r="UV732" s="5"/>
      <c r="UW732" s="5"/>
      <c r="UX732" s="5"/>
      <c r="UY732" s="5"/>
      <c r="UZ732" s="5"/>
      <c r="VA732" s="5"/>
      <c r="VB732" s="5"/>
      <c r="VC732" s="5"/>
      <c r="VD732" s="5"/>
      <c r="VE732" s="5"/>
      <c r="VF732" s="5"/>
      <c r="VG732" s="5"/>
      <c r="VH732" s="5"/>
      <c r="VI732" s="5"/>
      <c r="VJ732" s="5"/>
      <c r="VK732" s="5"/>
      <c r="VL732" s="5"/>
      <c r="VM732" s="5"/>
      <c r="VN732" s="5"/>
      <c r="VO732" s="5"/>
      <c r="VP732" s="5"/>
      <c r="VQ732" s="5"/>
      <c r="VR732" s="5"/>
      <c r="VS732" s="5"/>
      <c r="VT732" s="5"/>
      <c r="VU732" s="5"/>
      <c r="VV732" s="5"/>
      <c r="VW732" s="5"/>
      <c r="VX732" s="5"/>
      <c r="VY732" s="5"/>
      <c r="VZ732" s="5"/>
      <c r="WA732" s="5"/>
      <c r="WB732" s="5"/>
      <c r="WC732" s="5"/>
      <c r="WD732" s="5"/>
      <c r="WE732" s="5"/>
      <c r="WF732" s="5"/>
      <c r="WG732" s="5"/>
      <c r="WH732" s="5"/>
      <c r="WI732" s="5"/>
      <c r="WJ732" s="5"/>
      <c r="WK732" s="5"/>
      <c r="WL732" s="5"/>
      <c r="WM732" s="5"/>
      <c r="WN732" s="5"/>
      <c r="WO732" s="5"/>
      <c r="WP732" s="5"/>
      <c r="WQ732" s="5"/>
      <c r="WR732" s="5"/>
      <c r="WS732" s="5"/>
      <c r="WT732" s="5"/>
      <c r="WU732" s="5"/>
      <c r="WV732" s="5"/>
      <c r="WW732" s="5"/>
      <c r="WX732" s="5"/>
      <c r="WY732" s="5"/>
      <c r="WZ732" s="5"/>
      <c r="XA732" s="5"/>
      <c r="XB732" s="5"/>
      <c r="XC732" s="5"/>
      <c r="XD732" s="5"/>
      <c r="XE732" s="5"/>
      <c r="XF732" s="5"/>
      <c r="XG732" s="5"/>
      <c r="XH732" s="5"/>
      <c r="XI732" s="5"/>
      <c r="XJ732" s="5"/>
      <c r="XK732" s="5"/>
      <c r="XL732" s="5"/>
      <c r="XM732" s="5"/>
      <c r="XN732" s="5"/>
      <c r="XO732" s="5"/>
      <c r="XP732" s="5"/>
      <c r="XQ732" s="5"/>
      <c r="XR732" s="5"/>
      <c r="XS732" s="5"/>
      <c r="XT732" s="5"/>
      <c r="XU732" s="5"/>
      <c r="XV732" s="5"/>
      <c r="XW732" s="5"/>
      <c r="XX732" s="5"/>
      <c r="XY732" s="5"/>
      <c r="XZ732" s="5"/>
      <c r="YA732" s="5"/>
      <c r="YB732" s="5"/>
      <c r="YC732" s="5"/>
      <c r="YD732" s="5"/>
      <c r="YE732" s="5"/>
      <c r="YF732" s="5"/>
      <c r="YG732" s="5"/>
      <c r="YH732" s="5"/>
      <c r="YI732" s="5"/>
      <c r="YJ732" s="5"/>
      <c r="YK732" s="5"/>
      <c r="YL732" s="5"/>
      <c r="YM732" s="5"/>
      <c r="YN732" s="5"/>
      <c r="YO732" s="5"/>
      <c r="YP732" s="5"/>
      <c r="YQ732" s="5"/>
      <c r="YR732" s="5"/>
      <c r="YS732" s="5"/>
      <c r="YT732" s="5"/>
      <c r="YU732" s="5"/>
      <c r="YV732" s="5"/>
      <c r="YW732" s="5"/>
      <c r="YX732" s="5"/>
      <c r="YY732" s="5"/>
      <c r="YZ732" s="5"/>
      <c r="ZA732" s="5"/>
      <c r="ZB732" s="5"/>
      <c r="ZC732" s="5"/>
      <c r="ZD732" s="5"/>
      <c r="ZE732" s="5"/>
      <c r="ZF732" s="5"/>
      <c r="ZG732" s="5"/>
      <c r="ZH732" s="5"/>
      <c r="ZI732" s="5"/>
      <c r="ZJ732" s="5"/>
      <c r="ZK732" s="5"/>
      <c r="ZL732" s="5"/>
      <c r="ZM732" s="5"/>
      <c r="ZN732" s="5"/>
      <c r="ZO732" s="5"/>
      <c r="ZP732" s="5"/>
      <c r="ZQ732" s="5"/>
      <c r="ZR732" s="5"/>
      <c r="ZS732" s="5"/>
      <c r="ZT732" s="5"/>
      <c r="ZU732" s="5"/>
      <c r="ZV732" s="5"/>
      <c r="ZW732" s="5"/>
      <c r="ZX732" s="5"/>
      <c r="ZY732" s="5"/>
      <c r="ZZ732" s="5"/>
      <c r="AAA732" s="5"/>
      <c r="AAB732" s="5"/>
      <c r="AAC732" s="5"/>
      <c r="AAD732" s="5"/>
      <c r="AAE732" s="5"/>
      <c r="AAF732" s="5"/>
      <c r="AAG732" s="5"/>
      <c r="AAH732" s="5"/>
      <c r="AAI732" s="5"/>
      <c r="AAJ732" s="5"/>
      <c r="AAK732" s="5"/>
      <c r="AAL732" s="5"/>
      <c r="AAM732" s="5"/>
      <c r="AAN732" s="5"/>
      <c r="AAO732" s="5"/>
      <c r="AAP732" s="5"/>
      <c r="AAQ732" s="5"/>
      <c r="AAR732" s="5"/>
      <c r="AAS732" s="5"/>
      <c r="AAT732" s="5"/>
      <c r="AAU732" s="5"/>
      <c r="AAV732" s="5"/>
      <c r="AAW732" s="5"/>
      <c r="AAX732" s="5"/>
      <c r="AAY732" s="5"/>
      <c r="AAZ732" s="5"/>
      <c r="ABA732" s="5"/>
      <c r="ABB732" s="5"/>
      <c r="ABC732" s="5"/>
      <c r="ABD732" s="5"/>
      <c r="ABE732" s="5"/>
      <c r="ABF732" s="5"/>
      <c r="ABG732" s="5"/>
      <c r="ABH732" s="5"/>
      <c r="ABI732" s="5"/>
      <c r="ABJ732" s="5"/>
      <c r="ABK732" s="5"/>
      <c r="ABL732" s="5"/>
      <c r="ABM732" s="5"/>
      <c r="ABN732" s="5"/>
      <c r="ABO732" s="5"/>
      <c r="ABP732" s="5"/>
      <c r="ABQ732" s="5"/>
      <c r="ABR732" s="5"/>
      <c r="ABS732" s="5"/>
      <c r="ABT732" s="5"/>
      <c r="ABU732" s="5"/>
      <c r="ABV732" s="5"/>
      <c r="ABW732" s="5"/>
      <c r="ABX732" s="5"/>
      <c r="ABY732" s="5"/>
      <c r="ABZ732" s="5"/>
      <c r="ACA732" s="5"/>
      <c r="ACB732" s="5"/>
      <c r="ACC732" s="5"/>
      <c r="ACD732" s="5"/>
      <c r="ACE732" s="5"/>
      <c r="ACF732" s="5"/>
      <c r="ACG732" s="5"/>
      <c r="ACH732" s="5"/>
      <c r="ACI732" s="5"/>
      <c r="ACJ732" s="5"/>
      <c r="ACK732" s="5"/>
      <c r="ACL732" s="5"/>
      <c r="ACM732" s="5"/>
      <c r="ACN732" s="5"/>
      <c r="ACO732" s="5"/>
      <c r="ACP732" s="5"/>
      <c r="ACQ732" s="5"/>
      <c r="ACR732" s="5"/>
      <c r="ACS732" s="5"/>
      <c r="ACT732" s="5"/>
      <c r="ACU732" s="5"/>
      <c r="ACV732" s="5"/>
      <c r="ACW732" s="5"/>
      <c r="ACX732" s="5"/>
      <c r="ACY732" s="5"/>
      <c r="ACZ732" s="5"/>
      <c r="ADA732" s="5"/>
      <c r="ADB732" s="5"/>
      <c r="ADC732" s="5"/>
      <c r="ADD732" s="5"/>
      <c r="ADE732" s="5"/>
      <c r="ADF732" s="5"/>
      <c r="ADG732" s="5"/>
      <c r="ADH732" s="5"/>
      <c r="ADI732" s="5"/>
      <c r="ADJ732" s="5"/>
      <c r="ADK732" s="5"/>
      <c r="ADL732" s="5"/>
      <c r="ADM732" s="5"/>
      <c r="ADN732" s="5"/>
      <c r="ADO732" s="5"/>
      <c r="ADP732" s="5"/>
      <c r="ADQ732" s="5"/>
      <c r="ADR732" s="5"/>
      <c r="ADS732" s="5"/>
      <c r="ADT732" s="5"/>
      <c r="ADU732" s="5"/>
      <c r="ADV732" s="5"/>
      <c r="ADW732" s="5"/>
      <c r="ADX732" s="5"/>
      <c r="ADY732" s="5"/>
      <c r="ADZ732" s="5"/>
      <c r="AEA732" s="5"/>
      <c r="AEB732" s="5"/>
      <c r="AEC732" s="5"/>
      <c r="AED732" s="5"/>
      <c r="AEE732" s="5"/>
      <c r="AEF732" s="5"/>
      <c r="AEG732" s="5"/>
      <c r="AEH732" s="5"/>
      <c r="AEI732" s="5"/>
      <c r="AEJ732" s="5"/>
      <c r="AEK732" s="5"/>
      <c r="AEL732" s="5"/>
      <c r="AEM732" s="5"/>
      <c r="AEN732" s="5"/>
      <c r="AEO732" s="5"/>
      <c r="AEP732" s="5"/>
      <c r="AEQ732" s="5"/>
      <c r="AER732" s="5"/>
      <c r="AES732" s="5"/>
      <c r="AET732" s="5"/>
      <c r="AEU732" s="5"/>
      <c r="AEV732" s="5"/>
      <c r="AEW732" s="5"/>
      <c r="AEX732" s="5"/>
      <c r="AEY732" s="5"/>
      <c r="AEZ732" s="5"/>
      <c r="AFA732" s="5"/>
      <c r="AFB732" s="5"/>
      <c r="AFC732" s="5"/>
      <c r="AFD732" s="5"/>
      <c r="AFE732" s="5"/>
      <c r="AFF732" s="5"/>
      <c r="AFG732" s="5"/>
      <c r="AFH732" s="5"/>
      <c r="AFI732" s="5"/>
      <c r="AFJ732" s="5"/>
      <c r="AFK732" s="5"/>
      <c r="AFL732" s="5"/>
      <c r="AFM732" s="5"/>
      <c r="AFN732" s="5"/>
      <c r="AFO732" s="5"/>
      <c r="AFP732" s="5"/>
      <c r="AFQ732" s="5"/>
      <c r="AFR732" s="5"/>
      <c r="AFS732" s="5"/>
      <c r="AFT732" s="5"/>
      <c r="AFU732" s="5"/>
      <c r="AFV732" s="5"/>
      <c r="AFW732" s="5"/>
      <c r="AFX732" s="5"/>
      <c r="AFY732" s="5"/>
      <c r="AFZ732" s="5"/>
      <c r="AGA732" s="5"/>
      <c r="AGB732" s="5"/>
      <c r="AGC732" s="5"/>
      <c r="AGD732" s="5"/>
      <c r="AGE732" s="5"/>
      <c r="AGF732" s="5"/>
      <c r="AGG732" s="5"/>
      <c r="AGH732" s="5"/>
      <c r="AGI732" s="5"/>
      <c r="AGJ732" s="5"/>
      <c r="AGK732" s="5"/>
      <c r="AGL732" s="5"/>
      <c r="AGM732" s="5"/>
      <c r="AGN732" s="5"/>
      <c r="AGO732" s="5"/>
      <c r="AGP732" s="5"/>
      <c r="AGQ732" s="5"/>
      <c r="AGR732" s="5"/>
      <c r="AGS732" s="5"/>
      <c r="AGT732" s="5"/>
      <c r="AGU732" s="5"/>
      <c r="AGV732" s="5"/>
      <c r="AGW732" s="5"/>
      <c r="AGX732" s="5"/>
      <c r="AGY732" s="5"/>
      <c r="AGZ732" s="5"/>
      <c r="AHA732" s="5"/>
      <c r="AHB732" s="5"/>
      <c r="AHC732" s="5"/>
      <c r="AHD732" s="5"/>
      <c r="AHE732" s="5"/>
      <c r="AHF732" s="5"/>
      <c r="AHG732" s="5"/>
      <c r="AHH732" s="5"/>
      <c r="AHI732" s="5"/>
      <c r="AHJ732" s="5"/>
      <c r="AHK732" s="5"/>
      <c r="AHL732" s="5"/>
      <c r="AHM732" s="5"/>
      <c r="AHN732" s="5"/>
      <c r="AHO732" s="5"/>
      <c r="AHP732" s="5"/>
      <c r="AHQ732" s="5"/>
      <c r="AHR732" s="5"/>
      <c r="AHS732" s="5"/>
      <c r="AHT732" s="5"/>
      <c r="AHU732" s="5"/>
      <c r="AHV732" s="5"/>
      <c r="AHW732" s="5"/>
      <c r="AHX732" s="5"/>
      <c r="AHY732" s="5"/>
      <c r="AHZ732" s="5"/>
      <c r="AIA732" s="5"/>
      <c r="AIB732" s="5"/>
      <c r="AIC732" s="5"/>
      <c r="AID732" s="5"/>
      <c r="AIE732" s="5"/>
      <c r="AIF732" s="5"/>
      <c r="AIG732" s="5"/>
      <c r="AIH732" s="5"/>
      <c r="AII732" s="5"/>
      <c r="AIJ732" s="5"/>
      <c r="AIK732" s="5"/>
      <c r="AIL732" s="5"/>
      <c r="AIM732" s="5"/>
      <c r="AIN732" s="5"/>
      <c r="AIO732" s="5"/>
      <c r="AIP732" s="5"/>
      <c r="AIQ732" s="5"/>
      <c r="AIR732" s="5"/>
      <c r="AIS732" s="5"/>
      <c r="AIT732" s="5"/>
      <c r="AIU732" s="5"/>
      <c r="AIV732" s="5"/>
      <c r="AIW732" s="5"/>
      <c r="AIX732" s="5"/>
      <c r="AIY732" s="5"/>
      <c r="AIZ732" s="5"/>
      <c r="AJA732" s="5"/>
      <c r="AJB732" s="5"/>
      <c r="AJC732" s="5"/>
      <c r="AJD732" s="5"/>
      <c r="AJE732" s="5"/>
      <c r="AJF732" s="5"/>
      <c r="AJG732" s="5"/>
      <c r="AJH732" s="5"/>
      <c r="AJI732" s="5"/>
      <c r="AJJ732" s="5"/>
      <c r="AJK732" s="5"/>
      <c r="AJL732" s="5"/>
      <c r="AJM732" s="5"/>
      <c r="AJN732" s="5"/>
      <c r="AJO732" s="5"/>
      <c r="AJP732" s="5"/>
      <c r="AJQ732" s="5"/>
      <c r="AJR732" s="5"/>
      <c r="AJS732" s="5"/>
      <c r="AJT732" s="5"/>
      <c r="AJU732" s="5"/>
      <c r="AJV732" s="5"/>
      <c r="AJW732" s="5"/>
      <c r="AJX732" s="5"/>
      <c r="AJY732" s="5"/>
      <c r="AJZ732" s="5"/>
      <c r="AKA732" s="5"/>
      <c r="AKB732" s="5"/>
      <c r="AKC732" s="5"/>
      <c r="AKD732" s="5"/>
      <c r="AKE732" s="5"/>
      <c r="AKF732" s="5"/>
      <c r="AKG732" s="5"/>
      <c r="AKH732" s="5"/>
      <c r="AKI732" s="5"/>
      <c r="AKJ732" s="5"/>
      <c r="AKK732" s="5"/>
      <c r="AKL732" s="5"/>
      <c r="AKM732" s="5"/>
      <c r="AKN732" s="5"/>
      <c r="AKO732" s="5"/>
      <c r="AKP732" s="5"/>
      <c r="AKQ732" s="5"/>
      <c r="AKR732" s="5"/>
      <c r="AKS732" s="5"/>
      <c r="AKT732" s="5"/>
      <c r="AKU732" s="5"/>
      <c r="AKV732" s="5"/>
      <c r="AKW732" s="5"/>
      <c r="AKX732" s="5"/>
      <c r="AKY732" s="5"/>
      <c r="AKZ732" s="5"/>
      <c r="ALA732" s="5"/>
      <c r="ALB732" s="5"/>
      <c r="ALC732" s="5"/>
      <c r="ALD732" s="5"/>
      <c r="ALE732" s="5"/>
      <c r="ALF732" s="5"/>
      <c r="ALG732" s="5"/>
      <c r="ALH732" s="5"/>
      <c r="ALI732" s="5"/>
      <c r="ALJ732" s="5"/>
      <c r="ALK732" s="5"/>
      <c r="ALL732" s="5"/>
      <c r="ALM732" s="5"/>
      <c r="ALN732" s="5"/>
      <c r="ALO732" s="5"/>
      <c r="ALP732" s="5"/>
      <c r="ALQ732" s="5"/>
      <c r="ALR732" s="5"/>
      <c r="ALS732" s="5"/>
      <c r="ALT732" s="5"/>
      <c r="ALU732" s="5"/>
      <c r="ALV732" s="5"/>
      <c r="ALW732" s="5"/>
      <c r="ALX732" s="5"/>
      <c r="ALY732" s="5"/>
      <c r="ALZ732" s="5"/>
      <c r="AMA732" s="5"/>
      <c r="AMB732" s="5"/>
      <c r="AMC732" s="5"/>
      <c r="AMD732" s="5"/>
      <c r="AME732" s="5"/>
      <c r="AMF732" s="5"/>
      <c r="AMG732" s="5"/>
      <c r="AMH732" s="5"/>
      <c r="AMI732" s="5"/>
      <c r="AMJ732" s="5"/>
      <c r="AMK732" s="5"/>
      <c r="AML732" s="5"/>
      <c r="AMM732" s="5"/>
      <c r="AMN732" s="5"/>
      <c r="AMO732" s="5"/>
      <c r="AMP732" s="5"/>
      <c r="AMQ732" s="5"/>
      <c r="AMR732" s="5"/>
      <c r="AMS732" s="5"/>
      <c r="AMT732" s="5"/>
      <c r="AMU732" s="5"/>
      <c r="AMV732" s="5"/>
      <c r="AMW732" s="5"/>
      <c r="AMX732" s="5"/>
      <c r="AMY732" s="5"/>
      <c r="AMZ732" s="5"/>
      <c r="ANA732" s="5"/>
      <c r="ANB732" s="5"/>
      <c r="ANC732" s="5"/>
      <c r="AND732" s="5"/>
      <c r="ANE732" s="5"/>
      <c r="ANF732" s="5"/>
      <c r="ANG732" s="5"/>
      <c r="ANH732" s="5"/>
      <c r="ANI732" s="5"/>
      <c r="ANJ732" s="5"/>
      <c r="ANK732" s="5"/>
      <c r="ANL732" s="5"/>
      <c r="ANM732" s="5"/>
      <c r="ANN732" s="5"/>
      <c r="ANO732" s="5"/>
      <c r="ANP732" s="5"/>
      <c r="ANQ732" s="5"/>
      <c r="ANR732" s="5"/>
      <c r="ANS732" s="5"/>
      <c r="ANT732" s="5"/>
      <c r="ANU732" s="5"/>
      <c r="ANV732" s="5"/>
      <c r="ANW732" s="5"/>
      <c r="ANX732" s="5"/>
      <c r="ANY732" s="5"/>
      <c r="ANZ732" s="5"/>
      <c r="AOA732" s="5"/>
      <c r="AOB732" s="5"/>
      <c r="AOC732" s="5"/>
      <c r="AOD732" s="5"/>
      <c r="AOE732" s="5"/>
      <c r="AOF732" s="5"/>
      <c r="AOG732" s="5"/>
      <c r="AOH732" s="5"/>
      <c r="AOI732" s="5"/>
      <c r="AOJ732" s="5"/>
      <c r="AOK732" s="5"/>
      <c r="AOL732" s="5"/>
      <c r="AOM732" s="5"/>
      <c r="AON732" s="5"/>
      <c r="AOO732" s="5"/>
      <c r="AOP732" s="5"/>
      <c r="AOQ732" s="5"/>
      <c r="AOR732" s="5"/>
      <c r="AOS732" s="5"/>
      <c r="AOT732" s="5"/>
      <c r="AOU732" s="5"/>
      <c r="AOV732" s="5"/>
      <c r="AOW732" s="5"/>
      <c r="AOX732" s="5"/>
      <c r="AOY732" s="5"/>
      <c r="AOZ732" s="5"/>
      <c r="APA732" s="5"/>
      <c r="APB732" s="5"/>
      <c r="APC732" s="5"/>
      <c r="APD732" s="5"/>
      <c r="APE732" s="5"/>
      <c r="APF732" s="5"/>
      <c r="APG732" s="5"/>
      <c r="APH732" s="5"/>
      <c r="API732" s="5"/>
      <c r="APJ732" s="5"/>
      <c r="APK732" s="5"/>
      <c r="APL732" s="5"/>
      <c r="APM732" s="5"/>
      <c r="APN732" s="5"/>
      <c r="APO732" s="5"/>
      <c r="APP732" s="5"/>
      <c r="APQ732" s="5"/>
      <c r="APR732" s="5"/>
      <c r="APS732" s="5"/>
      <c r="APT732" s="5"/>
      <c r="APU732" s="5"/>
      <c r="APV732" s="5"/>
      <c r="APW732" s="5"/>
      <c r="APX732" s="5"/>
      <c r="APY732" s="5"/>
      <c r="APZ732" s="5"/>
      <c r="AQA732" s="5"/>
      <c r="AQB732" s="5"/>
      <c r="AQC732" s="5"/>
      <c r="AQD732" s="5"/>
      <c r="AQE732" s="5"/>
      <c r="AQF732" s="5"/>
      <c r="AQG732" s="5"/>
      <c r="AQH732" s="5"/>
      <c r="AQI732" s="5"/>
      <c r="AQJ732" s="5"/>
      <c r="AQK732" s="5"/>
      <c r="AQL732" s="5"/>
      <c r="AQM732" s="5"/>
      <c r="AQN732" s="5"/>
      <c r="AQO732" s="5"/>
      <c r="AQP732" s="5"/>
      <c r="AQQ732" s="5"/>
      <c r="AQR732" s="5"/>
      <c r="AQS732" s="5"/>
      <c r="AQT732" s="5"/>
      <c r="AQU732" s="5"/>
      <c r="AQV732" s="5"/>
      <c r="AQW732" s="5"/>
      <c r="AQX732" s="5"/>
      <c r="AQY732" s="5"/>
      <c r="AQZ732" s="5"/>
      <c r="ARA732" s="5"/>
      <c r="ARB732" s="5"/>
      <c r="ARC732" s="5"/>
      <c r="ARD732" s="5"/>
      <c r="ARE732" s="5"/>
      <c r="ARF732" s="5"/>
      <c r="ARG732" s="5"/>
      <c r="ARH732" s="5"/>
      <c r="ARI732" s="5"/>
      <c r="ARJ732" s="5"/>
      <c r="ARK732" s="5"/>
      <c r="ARL732" s="5"/>
      <c r="ARM732" s="5"/>
      <c r="ARN732" s="5"/>
      <c r="ARO732" s="5"/>
      <c r="ARP732" s="5"/>
      <c r="ARQ732" s="5"/>
      <c r="ARR732" s="5"/>
      <c r="ARS732" s="5"/>
      <c r="ART732" s="5"/>
      <c r="ARU732" s="5"/>
      <c r="ARV732" s="5"/>
      <c r="ARW732" s="5"/>
      <c r="ARX732" s="5"/>
      <c r="ARY732" s="5"/>
      <c r="ARZ732" s="5"/>
      <c r="ASA732" s="5"/>
      <c r="ASB732" s="5"/>
      <c r="ASC732" s="5"/>
      <c r="ASD732" s="5"/>
      <c r="ASE732" s="5"/>
      <c r="ASF732" s="5"/>
      <c r="ASG732" s="5"/>
      <c r="ASH732" s="5"/>
      <c r="ASI732" s="5"/>
      <c r="ASJ732" s="5"/>
      <c r="ASK732" s="5"/>
      <c r="ASL732" s="5"/>
      <c r="ASM732" s="5"/>
      <c r="ASN732" s="5"/>
      <c r="ASO732" s="5"/>
      <c r="ASP732" s="5"/>
      <c r="ASQ732" s="5"/>
      <c r="ASR732" s="5"/>
      <c r="ASS732" s="5"/>
      <c r="AST732" s="5"/>
      <c r="ASU732" s="5"/>
      <c r="ASV732" s="5"/>
      <c r="ASW732" s="5"/>
      <c r="ASX732" s="5"/>
      <c r="ASY732" s="5"/>
      <c r="ASZ732" s="5"/>
      <c r="ATA732" s="5"/>
      <c r="ATB732" s="5"/>
      <c r="ATC732" s="5"/>
      <c r="ATD732" s="5"/>
      <c r="ATE732" s="5"/>
      <c r="ATF732" s="5"/>
      <c r="ATG732" s="5"/>
      <c r="ATH732" s="5"/>
      <c r="ATI732" s="5"/>
      <c r="ATJ732" s="5"/>
      <c r="ATK732" s="5"/>
      <c r="ATL732" s="5"/>
      <c r="ATM732" s="5"/>
      <c r="ATN732" s="5"/>
      <c r="ATO732" s="5"/>
      <c r="ATP732" s="5"/>
      <c r="ATQ732" s="5"/>
      <c r="ATR732" s="5"/>
      <c r="ATS732" s="5"/>
      <c r="ATT732" s="5"/>
      <c r="ATU732" s="5"/>
      <c r="ATV732" s="5"/>
      <c r="ATW732" s="5"/>
      <c r="ATX732" s="5"/>
    </row>
    <row r="733" spans="1:1220" s="67" customFormat="1" ht="12.75" customHeight="1" x14ac:dyDescent="0.35">
      <c r="A733" s="76" t="s">
        <v>229</v>
      </c>
      <c r="B733" s="99" t="s">
        <v>344</v>
      </c>
      <c r="C733" s="76" t="s">
        <v>2633</v>
      </c>
      <c r="D733" s="142" t="s">
        <v>2633</v>
      </c>
      <c r="E733" s="76"/>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c r="DX733" s="5"/>
      <c r="DY733" s="5"/>
      <c r="DZ733" s="5"/>
      <c r="EA733" s="5"/>
      <c r="EB733" s="5"/>
      <c r="EC733" s="5"/>
      <c r="ED733" s="5"/>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s="5"/>
      <c r="FG733" s="5"/>
      <c r="FH733" s="5"/>
      <c r="FI733" s="5"/>
      <c r="FJ733" s="5"/>
      <c r="FK733" s="5"/>
      <c r="FL733" s="5"/>
      <c r="FM733" s="5"/>
      <c r="FN733" s="5"/>
      <c r="FO733" s="5"/>
      <c r="FP733" s="5"/>
      <c r="FQ733" s="5"/>
      <c r="FR733" s="5"/>
      <c r="FS733" s="5"/>
      <c r="FT733" s="5"/>
      <c r="FU733" s="5"/>
      <c r="FV733" s="5"/>
      <c r="FW733" s="5"/>
      <c r="FX733" s="5"/>
      <c r="FY733" s="5"/>
      <c r="FZ733" s="5"/>
      <c r="GA733" s="5"/>
      <c r="GB733" s="5"/>
      <c r="GC733" s="5"/>
      <c r="GD733" s="5"/>
      <c r="GE733" s="5"/>
      <c r="GF733" s="5"/>
      <c r="GG733" s="5"/>
      <c r="GH733" s="5"/>
      <c r="GI733" s="5"/>
      <c r="GJ733" s="5"/>
      <c r="GK733" s="5"/>
      <c r="GL733" s="5"/>
      <c r="GM733" s="5"/>
      <c r="GN733" s="5"/>
      <c r="GO733" s="5"/>
      <c r="GP733" s="5"/>
      <c r="GQ733" s="5"/>
      <c r="GR733" s="5"/>
      <c r="GS733" s="5"/>
      <c r="GT733" s="5"/>
      <c r="GU733" s="5"/>
      <c r="GV733" s="5"/>
      <c r="GW733" s="5"/>
      <c r="GX733" s="5"/>
      <c r="GY733" s="5"/>
      <c r="GZ733" s="5"/>
      <c r="HA733" s="5"/>
      <c r="HB733" s="5"/>
      <c r="HC733" s="5"/>
      <c r="HD733" s="5"/>
      <c r="HE733" s="5"/>
      <c r="HF733" s="5"/>
      <c r="HG733" s="5"/>
      <c r="HH733" s="5"/>
      <c r="HI733" s="5"/>
      <c r="HJ733" s="5"/>
      <c r="HK733" s="5"/>
      <c r="HL733" s="5"/>
      <c r="HM733" s="5"/>
      <c r="HN733" s="5"/>
      <c r="HO733" s="5"/>
      <c r="HP733" s="5"/>
      <c r="HQ733" s="5"/>
      <c r="HR733" s="5"/>
      <c r="HS733" s="5"/>
      <c r="HT733" s="5"/>
      <c r="HU733" s="5"/>
      <c r="HV733" s="5"/>
      <c r="HW733" s="5"/>
      <c r="HX733" s="5"/>
      <c r="HY733" s="5"/>
      <c r="HZ733" s="5"/>
      <c r="IA733" s="5"/>
      <c r="IB733" s="5"/>
      <c r="IC733" s="5"/>
      <c r="ID733" s="5"/>
      <c r="IE733" s="5"/>
      <c r="IF733" s="5"/>
      <c r="IG733" s="5"/>
      <c r="IH733" s="5"/>
      <c r="II733" s="5"/>
      <c r="IJ733" s="5"/>
      <c r="IK733" s="5"/>
      <c r="IL733" s="5"/>
      <c r="IM733" s="5"/>
      <c r="IN733" s="5"/>
      <c r="IO733" s="5"/>
      <c r="IP733" s="5"/>
      <c r="IQ733" s="5"/>
      <c r="IR733" s="5"/>
      <c r="IS733" s="5"/>
      <c r="IT733" s="5"/>
      <c r="IU733" s="5"/>
      <c r="IV733" s="5"/>
      <c r="IW733" s="5"/>
      <c r="IX733" s="5"/>
      <c r="IY733" s="5"/>
      <c r="IZ733" s="5"/>
      <c r="JA733" s="5"/>
      <c r="JB733" s="5"/>
      <c r="JC733" s="5"/>
      <c r="JD733" s="5"/>
      <c r="JE733" s="5"/>
      <c r="JF733" s="5"/>
      <c r="JG733" s="5"/>
      <c r="JH733" s="5"/>
      <c r="JI733" s="5"/>
      <c r="JJ733" s="5"/>
      <c r="JK733" s="5"/>
      <c r="JL733" s="5"/>
      <c r="JM733" s="5"/>
      <c r="JN733" s="5"/>
      <c r="JO733" s="5"/>
      <c r="JP733" s="5"/>
      <c r="JQ733" s="5"/>
      <c r="JR733" s="5"/>
      <c r="JS733" s="5"/>
      <c r="JT733" s="5"/>
      <c r="JU733" s="5"/>
      <c r="JV733" s="5"/>
      <c r="JW733" s="5"/>
      <c r="JX733" s="5"/>
      <c r="JY733" s="5"/>
      <c r="JZ733" s="5"/>
      <c r="KA733" s="5"/>
      <c r="KB733" s="5"/>
      <c r="KC733" s="5"/>
      <c r="KD733" s="5"/>
      <c r="KE733" s="5"/>
      <c r="KF733" s="5"/>
      <c r="KG733" s="5"/>
      <c r="KH733" s="5"/>
      <c r="KI733" s="5"/>
      <c r="KJ733" s="5"/>
      <c r="KK733" s="5"/>
      <c r="KL733" s="5"/>
      <c r="KM733" s="5"/>
      <c r="KN733" s="5"/>
      <c r="KO733" s="5"/>
      <c r="KP733" s="5"/>
      <c r="KQ733" s="5"/>
      <c r="KR733" s="5"/>
      <c r="KS733" s="5"/>
      <c r="KT733" s="5"/>
      <c r="KU733" s="5"/>
      <c r="KV733" s="5"/>
      <c r="KW733" s="5"/>
      <c r="KX733" s="5"/>
      <c r="KY733" s="5"/>
      <c r="KZ733" s="5"/>
      <c r="LA733" s="5"/>
      <c r="LB733" s="5"/>
      <c r="LC733" s="5"/>
      <c r="LD733" s="5"/>
      <c r="LE733" s="5"/>
      <c r="LF733" s="5"/>
      <c r="LG733" s="5"/>
      <c r="LH733" s="5"/>
      <c r="LI733" s="5"/>
      <c r="LJ733" s="5"/>
      <c r="LK733" s="5"/>
      <c r="LL733" s="5"/>
      <c r="LM733" s="5"/>
      <c r="LN733" s="5"/>
      <c r="LO733" s="5"/>
      <c r="LP733" s="5"/>
      <c r="LQ733" s="5"/>
      <c r="LR733" s="5"/>
      <c r="LS733" s="5"/>
      <c r="LT733" s="5"/>
      <c r="LU733" s="5"/>
      <c r="LV733" s="5"/>
      <c r="LW733" s="5"/>
      <c r="LX733" s="5"/>
      <c r="LY733" s="5"/>
      <c r="LZ733" s="5"/>
      <c r="MA733" s="5"/>
      <c r="MB733" s="5"/>
      <c r="MC733" s="5"/>
      <c r="MD733" s="5"/>
      <c r="ME733" s="5"/>
      <c r="MF733" s="5"/>
      <c r="MG733" s="5"/>
      <c r="MH733" s="5"/>
      <c r="MI733" s="5"/>
      <c r="MJ733" s="5"/>
      <c r="MK733" s="5"/>
      <c r="ML733" s="5"/>
      <c r="MM733" s="5"/>
      <c r="MN733" s="5"/>
      <c r="MO733" s="5"/>
      <c r="MP733" s="5"/>
      <c r="MQ733" s="5"/>
      <c r="MR733" s="5"/>
      <c r="MS733" s="5"/>
      <c r="MT733" s="5"/>
      <c r="MU733" s="5"/>
      <c r="MV733" s="5"/>
      <c r="MW733" s="5"/>
      <c r="MX733" s="5"/>
      <c r="MY733" s="5"/>
      <c r="MZ733" s="5"/>
      <c r="NA733" s="5"/>
      <c r="NB733" s="5"/>
      <c r="NC733" s="5"/>
      <c r="ND733" s="5"/>
      <c r="NE733" s="5"/>
      <c r="NF733" s="5"/>
      <c r="NG733" s="5"/>
      <c r="NH733" s="5"/>
      <c r="NI733" s="5"/>
      <c r="NJ733" s="5"/>
      <c r="NK733" s="5"/>
      <c r="NL733" s="5"/>
      <c r="NM733" s="5"/>
      <c r="NN733" s="5"/>
      <c r="NO733" s="5"/>
      <c r="NP733" s="5"/>
      <c r="NQ733" s="5"/>
      <c r="NR733" s="5"/>
      <c r="NS733" s="5"/>
      <c r="NT733" s="5"/>
      <c r="NU733" s="5"/>
      <c r="NV733" s="5"/>
      <c r="NW733" s="5"/>
      <c r="NX733" s="5"/>
      <c r="NY733" s="5"/>
      <c r="NZ733" s="5"/>
      <c r="OA733" s="5"/>
      <c r="OB733" s="5"/>
      <c r="OC733" s="5"/>
      <c r="OD733" s="5"/>
      <c r="OE733" s="5"/>
      <c r="OF733" s="5"/>
      <c r="OG733" s="5"/>
      <c r="OH733" s="5"/>
      <c r="OI733" s="5"/>
      <c r="OJ733" s="5"/>
      <c r="OK733" s="5"/>
      <c r="OL733" s="5"/>
      <c r="OM733" s="5"/>
      <c r="ON733" s="5"/>
      <c r="OO733" s="5"/>
      <c r="OP733" s="5"/>
      <c r="OQ733" s="5"/>
      <c r="OR733" s="5"/>
      <c r="OS733" s="5"/>
      <c r="OT733" s="5"/>
      <c r="OU733" s="5"/>
      <c r="OV733" s="5"/>
      <c r="OW733" s="5"/>
      <c r="OX733" s="5"/>
      <c r="OY733" s="5"/>
      <c r="OZ733" s="5"/>
      <c r="PA733" s="5"/>
      <c r="PB733" s="5"/>
      <c r="PC733" s="5"/>
      <c r="PD733" s="5"/>
      <c r="PE733" s="5"/>
      <c r="PF733" s="5"/>
      <c r="PG733" s="5"/>
      <c r="PH733" s="5"/>
      <c r="PI733" s="5"/>
      <c r="PJ733" s="5"/>
      <c r="PK733" s="5"/>
      <c r="PL733" s="5"/>
      <c r="PM733" s="5"/>
      <c r="PN733" s="5"/>
      <c r="PO733" s="5"/>
      <c r="PP733" s="5"/>
      <c r="PQ733" s="5"/>
      <c r="PR733" s="5"/>
      <c r="PS733" s="5"/>
      <c r="PT733" s="5"/>
      <c r="PU733" s="5"/>
      <c r="PV733" s="5"/>
      <c r="PW733" s="5"/>
      <c r="PX733" s="5"/>
      <c r="PY733" s="5"/>
      <c r="PZ733" s="5"/>
      <c r="QA733" s="5"/>
      <c r="QB733" s="5"/>
      <c r="QC733" s="5"/>
      <c r="QD733" s="5"/>
      <c r="QE733" s="5"/>
      <c r="QF733" s="5"/>
      <c r="QG733" s="5"/>
      <c r="QH733" s="5"/>
      <c r="QI733" s="5"/>
      <c r="QJ733" s="5"/>
      <c r="QK733" s="5"/>
      <c r="QL733" s="5"/>
      <c r="QM733" s="5"/>
      <c r="QN733" s="5"/>
      <c r="QO733" s="5"/>
      <c r="QP733" s="5"/>
      <c r="QQ733" s="5"/>
      <c r="QR733" s="5"/>
      <c r="QS733" s="5"/>
      <c r="QT733" s="5"/>
      <c r="QU733" s="5"/>
      <c r="QV733" s="5"/>
      <c r="QW733" s="5"/>
      <c r="QX733" s="5"/>
      <c r="QY733" s="5"/>
      <c r="QZ733" s="5"/>
      <c r="RA733" s="5"/>
      <c r="RB733" s="5"/>
      <c r="RC733" s="5"/>
      <c r="RD733" s="5"/>
      <c r="RE733" s="5"/>
      <c r="RF733" s="5"/>
      <c r="RG733" s="5"/>
      <c r="RH733" s="5"/>
      <c r="RI733" s="5"/>
      <c r="RJ733" s="5"/>
      <c r="RK733" s="5"/>
      <c r="RL733" s="5"/>
      <c r="RM733" s="5"/>
      <c r="RN733" s="5"/>
      <c r="RO733" s="5"/>
      <c r="RP733" s="5"/>
      <c r="RQ733" s="5"/>
      <c r="RR733" s="5"/>
      <c r="RS733" s="5"/>
      <c r="RT733" s="5"/>
      <c r="RU733" s="5"/>
      <c r="RV733" s="5"/>
      <c r="RW733" s="5"/>
      <c r="RX733" s="5"/>
      <c r="RY733" s="5"/>
      <c r="RZ733" s="5"/>
      <c r="SA733" s="5"/>
      <c r="SB733" s="5"/>
      <c r="SC733" s="5"/>
      <c r="SD733" s="5"/>
      <c r="SE733" s="5"/>
      <c r="SF733" s="5"/>
      <c r="SG733" s="5"/>
      <c r="SH733" s="5"/>
      <c r="SI733" s="5"/>
      <c r="SJ733" s="5"/>
      <c r="SK733" s="5"/>
      <c r="SL733" s="5"/>
      <c r="SM733" s="5"/>
      <c r="SN733" s="5"/>
      <c r="SO733" s="5"/>
      <c r="SP733" s="5"/>
      <c r="SQ733" s="5"/>
      <c r="SR733" s="5"/>
      <c r="SS733" s="5"/>
      <c r="ST733" s="5"/>
      <c r="SU733" s="5"/>
      <c r="SV733" s="5"/>
      <c r="SW733" s="5"/>
      <c r="SX733" s="5"/>
      <c r="SY733" s="5"/>
      <c r="SZ733" s="5"/>
      <c r="TA733" s="5"/>
      <c r="TB733" s="5"/>
      <c r="TC733" s="5"/>
      <c r="TD733" s="5"/>
      <c r="TE733" s="5"/>
      <c r="TF733" s="5"/>
      <c r="TG733" s="5"/>
      <c r="TH733" s="5"/>
      <c r="TI733" s="5"/>
      <c r="TJ733" s="5"/>
      <c r="TK733" s="5"/>
      <c r="TL733" s="5"/>
      <c r="TM733" s="5"/>
      <c r="TN733" s="5"/>
      <c r="TO733" s="5"/>
      <c r="TP733" s="5"/>
      <c r="TQ733" s="5"/>
      <c r="TR733" s="5"/>
      <c r="TS733" s="5"/>
      <c r="TT733" s="5"/>
      <c r="TU733" s="5"/>
      <c r="TV733" s="5"/>
      <c r="TW733" s="5"/>
      <c r="TX733" s="5"/>
      <c r="TY733" s="5"/>
      <c r="TZ733" s="5"/>
      <c r="UA733" s="5"/>
      <c r="UB733" s="5"/>
      <c r="UC733" s="5"/>
      <c r="UD733" s="5"/>
      <c r="UE733" s="5"/>
      <c r="UF733" s="5"/>
      <c r="UG733" s="5"/>
      <c r="UH733" s="5"/>
      <c r="UI733" s="5"/>
      <c r="UJ733" s="5"/>
      <c r="UK733" s="5"/>
      <c r="UL733" s="5"/>
      <c r="UM733" s="5"/>
      <c r="UN733" s="5"/>
      <c r="UO733" s="5"/>
      <c r="UP733" s="5"/>
      <c r="UQ733" s="5"/>
      <c r="UR733" s="5"/>
      <c r="US733" s="5"/>
      <c r="UT733" s="5"/>
      <c r="UU733" s="5"/>
      <c r="UV733" s="5"/>
      <c r="UW733" s="5"/>
      <c r="UX733" s="5"/>
      <c r="UY733" s="5"/>
      <c r="UZ733" s="5"/>
      <c r="VA733" s="5"/>
      <c r="VB733" s="5"/>
      <c r="VC733" s="5"/>
      <c r="VD733" s="5"/>
      <c r="VE733" s="5"/>
      <c r="VF733" s="5"/>
      <c r="VG733" s="5"/>
      <c r="VH733" s="5"/>
      <c r="VI733" s="5"/>
      <c r="VJ733" s="5"/>
      <c r="VK733" s="5"/>
      <c r="VL733" s="5"/>
      <c r="VM733" s="5"/>
      <c r="VN733" s="5"/>
      <c r="VO733" s="5"/>
      <c r="VP733" s="5"/>
      <c r="VQ733" s="5"/>
      <c r="VR733" s="5"/>
      <c r="VS733" s="5"/>
      <c r="VT733" s="5"/>
      <c r="VU733" s="5"/>
      <c r="VV733" s="5"/>
      <c r="VW733" s="5"/>
      <c r="VX733" s="5"/>
      <c r="VY733" s="5"/>
      <c r="VZ733" s="5"/>
      <c r="WA733" s="5"/>
      <c r="WB733" s="5"/>
      <c r="WC733" s="5"/>
      <c r="WD733" s="5"/>
      <c r="WE733" s="5"/>
      <c r="WF733" s="5"/>
      <c r="WG733" s="5"/>
      <c r="WH733" s="5"/>
      <c r="WI733" s="5"/>
      <c r="WJ733" s="5"/>
      <c r="WK733" s="5"/>
      <c r="WL733" s="5"/>
      <c r="WM733" s="5"/>
      <c r="WN733" s="5"/>
      <c r="WO733" s="5"/>
      <c r="WP733" s="5"/>
      <c r="WQ733" s="5"/>
      <c r="WR733" s="5"/>
      <c r="WS733" s="5"/>
      <c r="WT733" s="5"/>
      <c r="WU733" s="5"/>
      <c r="WV733" s="5"/>
      <c r="WW733" s="5"/>
      <c r="WX733" s="5"/>
      <c r="WY733" s="5"/>
      <c r="WZ733" s="5"/>
      <c r="XA733" s="5"/>
      <c r="XB733" s="5"/>
      <c r="XC733" s="5"/>
      <c r="XD733" s="5"/>
      <c r="XE733" s="5"/>
      <c r="XF733" s="5"/>
      <c r="XG733" s="5"/>
      <c r="XH733" s="5"/>
      <c r="XI733" s="5"/>
      <c r="XJ733" s="5"/>
      <c r="XK733" s="5"/>
      <c r="XL733" s="5"/>
      <c r="XM733" s="5"/>
      <c r="XN733" s="5"/>
      <c r="XO733" s="5"/>
      <c r="XP733" s="5"/>
      <c r="XQ733" s="5"/>
      <c r="XR733" s="5"/>
      <c r="XS733" s="5"/>
      <c r="XT733" s="5"/>
      <c r="XU733" s="5"/>
      <c r="XV733" s="5"/>
      <c r="XW733" s="5"/>
      <c r="XX733" s="5"/>
      <c r="XY733" s="5"/>
      <c r="XZ733" s="5"/>
      <c r="YA733" s="5"/>
      <c r="YB733" s="5"/>
      <c r="YC733" s="5"/>
      <c r="YD733" s="5"/>
      <c r="YE733" s="5"/>
      <c r="YF733" s="5"/>
      <c r="YG733" s="5"/>
      <c r="YH733" s="5"/>
      <c r="YI733" s="5"/>
      <c r="YJ733" s="5"/>
      <c r="YK733" s="5"/>
      <c r="YL733" s="5"/>
      <c r="YM733" s="5"/>
      <c r="YN733" s="5"/>
      <c r="YO733" s="5"/>
      <c r="YP733" s="5"/>
      <c r="YQ733" s="5"/>
      <c r="YR733" s="5"/>
      <c r="YS733" s="5"/>
      <c r="YT733" s="5"/>
      <c r="YU733" s="5"/>
      <c r="YV733" s="5"/>
      <c r="YW733" s="5"/>
      <c r="YX733" s="5"/>
      <c r="YY733" s="5"/>
      <c r="YZ733" s="5"/>
      <c r="ZA733" s="5"/>
      <c r="ZB733" s="5"/>
      <c r="ZC733" s="5"/>
      <c r="ZD733" s="5"/>
      <c r="ZE733" s="5"/>
      <c r="ZF733" s="5"/>
      <c r="ZG733" s="5"/>
      <c r="ZH733" s="5"/>
      <c r="ZI733" s="5"/>
      <c r="ZJ733" s="5"/>
      <c r="ZK733" s="5"/>
      <c r="ZL733" s="5"/>
      <c r="ZM733" s="5"/>
      <c r="ZN733" s="5"/>
      <c r="ZO733" s="5"/>
      <c r="ZP733" s="5"/>
      <c r="ZQ733" s="5"/>
      <c r="ZR733" s="5"/>
      <c r="ZS733" s="5"/>
      <c r="ZT733" s="5"/>
      <c r="ZU733" s="5"/>
      <c r="ZV733" s="5"/>
      <c r="ZW733" s="5"/>
      <c r="ZX733" s="5"/>
      <c r="ZY733" s="5"/>
      <c r="ZZ733" s="5"/>
      <c r="AAA733" s="5"/>
      <c r="AAB733" s="5"/>
      <c r="AAC733" s="5"/>
      <c r="AAD733" s="5"/>
      <c r="AAE733" s="5"/>
      <c r="AAF733" s="5"/>
      <c r="AAG733" s="5"/>
      <c r="AAH733" s="5"/>
      <c r="AAI733" s="5"/>
      <c r="AAJ733" s="5"/>
      <c r="AAK733" s="5"/>
      <c r="AAL733" s="5"/>
      <c r="AAM733" s="5"/>
      <c r="AAN733" s="5"/>
      <c r="AAO733" s="5"/>
      <c r="AAP733" s="5"/>
      <c r="AAQ733" s="5"/>
      <c r="AAR733" s="5"/>
      <c r="AAS733" s="5"/>
      <c r="AAT733" s="5"/>
      <c r="AAU733" s="5"/>
      <c r="AAV733" s="5"/>
      <c r="AAW733" s="5"/>
      <c r="AAX733" s="5"/>
      <c r="AAY733" s="5"/>
      <c r="AAZ733" s="5"/>
      <c r="ABA733" s="5"/>
      <c r="ABB733" s="5"/>
      <c r="ABC733" s="5"/>
      <c r="ABD733" s="5"/>
      <c r="ABE733" s="5"/>
      <c r="ABF733" s="5"/>
      <c r="ABG733" s="5"/>
      <c r="ABH733" s="5"/>
      <c r="ABI733" s="5"/>
      <c r="ABJ733" s="5"/>
      <c r="ABK733" s="5"/>
      <c r="ABL733" s="5"/>
      <c r="ABM733" s="5"/>
      <c r="ABN733" s="5"/>
      <c r="ABO733" s="5"/>
      <c r="ABP733" s="5"/>
      <c r="ABQ733" s="5"/>
      <c r="ABR733" s="5"/>
      <c r="ABS733" s="5"/>
      <c r="ABT733" s="5"/>
      <c r="ABU733" s="5"/>
      <c r="ABV733" s="5"/>
      <c r="ABW733" s="5"/>
      <c r="ABX733" s="5"/>
      <c r="ABY733" s="5"/>
      <c r="ABZ733" s="5"/>
      <c r="ACA733" s="5"/>
      <c r="ACB733" s="5"/>
      <c r="ACC733" s="5"/>
      <c r="ACD733" s="5"/>
      <c r="ACE733" s="5"/>
      <c r="ACF733" s="5"/>
      <c r="ACG733" s="5"/>
      <c r="ACH733" s="5"/>
      <c r="ACI733" s="5"/>
      <c r="ACJ733" s="5"/>
      <c r="ACK733" s="5"/>
      <c r="ACL733" s="5"/>
      <c r="ACM733" s="5"/>
      <c r="ACN733" s="5"/>
      <c r="ACO733" s="5"/>
      <c r="ACP733" s="5"/>
      <c r="ACQ733" s="5"/>
      <c r="ACR733" s="5"/>
      <c r="ACS733" s="5"/>
      <c r="ACT733" s="5"/>
      <c r="ACU733" s="5"/>
      <c r="ACV733" s="5"/>
      <c r="ACW733" s="5"/>
      <c r="ACX733" s="5"/>
      <c r="ACY733" s="5"/>
      <c r="ACZ733" s="5"/>
      <c r="ADA733" s="5"/>
      <c r="ADB733" s="5"/>
      <c r="ADC733" s="5"/>
      <c r="ADD733" s="5"/>
      <c r="ADE733" s="5"/>
      <c r="ADF733" s="5"/>
      <c r="ADG733" s="5"/>
      <c r="ADH733" s="5"/>
      <c r="ADI733" s="5"/>
      <c r="ADJ733" s="5"/>
      <c r="ADK733" s="5"/>
      <c r="ADL733" s="5"/>
      <c r="ADM733" s="5"/>
      <c r="ADN733" s="5"/>
      <c r="ADO733" s="5"/>
      <c r="ADP733" s="5"/>
      <c r="ADQ733" s="5"/>
      <c r="ADR733" s="5"/>
      <c r="ADS733" s="5"/>
      <c r="ADT733" s="5"/>
      <c r="ADU733" s="5"/>
      <c r="ADV733" s="5"/>
      <c r="ADW733" s="5"/>
      <c r="ADX733" s="5"/>
      <c r="ADY733" s="5"/>
      <c r="ADZ733" s="5"/>
      <c r="AEA733" s="5"/>
      <c r="AEB733" s="5"/>
      <c r="AEC733" s="5"/>
      <c r="AED733" s="5"/>
      <c r="AEE733" s="5"/>
      <c r="AEF733" s="5"/>
      <c r="AEG733" s="5"/>
      <c r="AEH733" s="5"/>
      <c r="AEI733" s="5"/>
      <c r="AEJ733" s="5"/>
      <c r="AEK733" s="5"/>
      <c r="AEL733" s="5"/>
      <c r="AEM733" s="5"/>
      <c r="AEN733" s="5"/>
      <c r="AEO733" s="5"/>
      <c r="AEP733" s="5"/>
      <c r="AEQ733" s="5"/>
      <c r="AER733" s="5"/>
      <c r="AES733" s="5"/>
      <c r="AET733" s="5"/>
      <c r="AEU733" s="5"/>
      <c r="AEV733" s="5"/>
      <c r="AEW733" s="5"/>
      <c r="AEX733" s="5"/>
      <c r="AEY733" s="5"/>
      <c r="AEZ733" s="5"/>
      <c r="AFA733" s="5"/>
      <c r="AFB733" s="5"/>
      <c r="AFC733" s="5"/>
      <c r="AFD733" s="5"/>
      <c r="AFE733" s="5"/>
      <c r="AFF733" s="5"/>
      <c r="AFG733" s="5"/>
      <c r="AFH733" s="5"/>
      <c r="AFI733" s="5"/>
      <c r="AFJ733" s="5"/>
      <c r="AFK733" s="5"/>
      <c r="AFL733" s="5"/>
      <c r="AFM733" s="5"/>
      <c r="AFN733" s="5"/>
      <c r="AFO733" s="5"/>
      <c r="AFP733" s="5"/>
      <c r="AFQ733" s="5"/>
      <c r="AFR733" s="5"/>
      <c r="AFS733" s="5"/>
      <c r="AFT733" s="5"/>
      <c r="AFU733" s="5"/>
      <c r="AFV733" s="5"/>
      <c r="AFW733" s="5"/>
      <c r="AFX733" s="5"/>
      <c r="AFY733" s="5"/>
      <c r="AFZ733" s="5"/>
      <c r="AGA733" s="5"/>
      <c r="AGB733" s="5"/>
      <c r="AGC733" s="5"/>
      <c r="AGD733" s="5"/>
      <c r="AGE733" s="5"/>
      <c r="AGF733" s="5"/>
      <c r="AGG733" s="5"/>
      <c r="AGH733" s="5"/>
      <c r="AGI733" s="5"/>
      <c r="AGJ733" s="5"/>
      <c r="AGK733" s="5"/>
      <c r="AGL733" s="5"/>
      <c r="AGM733" s="5"/>
      <c r="AGN733" s="5"/>
      <c r="AGO733" s="5"/>
      <c r="AGP733" s="5"/>
      <c r="AGQ733" s="5"/>
      <c r="AGR733" s="5"/>
      <c r="AGS733" s="5"/>
      <c r="AGT733" s="5"/>
      <c r="AGU733" s="5"/>
      <c r="AGV733" s="5"/>
      <c r="AGW733" s="5"/>
      <c r="AGX733" s="5"/>
      <c r="AGY733" s="5"/>
      <c r="AGZ733" s="5"/>
      <c r="AHA733" s="5"/>
      <c r="AHB733" s="5"/>
      <c r="AHC733" s="5"/>
      <c r="AHD733" s="5"/>
      <c r="AHE733" s="5"/>
      <c r="AHF733" s="5"/>
      <c r="AHG733" s="5"/>
      <c r="AHH733" s="5"/>
      <c r="AHI733" s="5"/>
      <c r="AHJ733" s="5"/>
      <c r="AHK733" s="5"/>
      <c r="AHL733" s="5"/>
      <c r="AHM733" s="5"/>
      <c r="AHN733" s="5"/>
      <c r="AHO733" s="5"/>
      <c r="AHP733" s="5"/>
      <c r="AHQ733" s="5"/>
      <c r="AHR733" s="5"/>
      <c r="AHS733" s="5"/>
      <c r="AHT733" s="5"/>
      <c r="AHU733" s="5"/>
      <c r="AHV733" s="5"/>
      <c r="AHW733" s="5"/>
      <c r="AHX733" s="5"/>
      <c r="AHY733" s="5"/>
      <c r="AHZ733" s="5"/>
      <c r="AIA733" s="5"/>
      <c r="AIB733" s="5"/>
      <c r="AIC733" s="5"/>
      <c r="AID733" s="5"/>
      <c r="AIE733" s="5"/>
      <c r="AIF733" s="5"/>
      <c r="AIG733" s="5"/>
      <c r="AIH733" s="5"/>
      <c r="AII733" s="5"/>
      <c r="AIJ733" s="5"/>
      <c r="AIK733" s="5"/>
      <c r="AIL733" s="5"/>
      <c r="AIM733" s="5"/>
      <c r="AIN733" s="5"/>
      <c r="AIO733" s="5"/>
      <c r="AIP733" s="5"/>
      <c r="AIQ733" s="5"/>
      <c r="AIR733" s="5"/>
      <c r="AIS733" s="5"/>
      <c r="AIT733" s="5"/>
      <c r="AIU733" s="5"/>
      <c r="AIV733" s="5"/>
      <c r="AIW733" s="5"/>
      <c r="AIX733" s="5"/>
      <c r="AIY733" s="5"/>
      <c r="AIZ733" s="5"/>
      <c r="AJA733" s="5"/>
      <c r="AJB733" s="5"/>
      <c r="AJC733" s="5"/>
      <c r="AJD733" s="5"/>
      <c r="AJE733" s="5"/>
      <c r="AJF733" s="5"/>
      <c r="AJG733" s="5"/>
      <c r="AJH733" s="5"/>
      <c r="AJI733" s="5"/>
      <c r="AJJ733" s="5"/>
      <c r="AJK733" s="5"/>
      <c r="AJL733" s="5"/>
      <c r="AJM733" s="5"/>
      <c r="AJN733" s="5"/>
      <c r="AJO733" s="5"/>
      <c r="AJP733" s="5"/>
      <c r="AJQ733" s="5"/>
      <c r="AJR733" s="5"/>
      <c r="AJS733" s="5"/>
      <c r="AJT733" s="5"/>
      <c r="AJU733" s="5"/>
      <c r="AJV733" s="5"/>
      <c r="AJW733" s="5"/>
      <c r="AJX733" s="5"/>
      <c r="AJY733" s="5"/>
      <c r="AJZ733" s="5"/>
      <c r="AKA733" s="5"/>
      <c r="AKB733" s="5"/>
      <c r="AKC733" s="5"/>
      <c r="AKD733" s="5"/>
      <c r="AKE733" s="5"/>
      <c r="AKF733" s="5"/>
      <c r="AKG733" s="5"/>
      <c r="AKH733" s="5"/>
      <c r="AKI733" s="5"/>
      <c r="AKJ733" s="5"/>
      <c r="AKK733" s="5"/>
      <c r="AKL733" s="5"/>
      <c r="AKM733" s="5"/>
      <c r="AKN733" s="5"/>
      <c r="AKO733" s="5"/>
      <c r="AKP733" s="5"/>
      <c r="AKQ733" s="5"/>
      <c r="AKR733" s="5"/>
      <c r="AKS733" s="5"/>
      <c r="AKT733" s="5"/>
      <c r="AKU733" s="5"/>
      <c r="AKV733" s="5"/>
      <c r="AKW733" s="5"/>
      <c r="AKX733" s="5"/>
      <c r="AKY733" s="5"/>
      <c r="AKZ733" s="5"/>
      <c r="ALA733" s="5"/>
      <c r="ALB733" s="5"/>
      <c r="ALC733" s="5"/>
      <c r="ALD733" s="5"/>
      <c r="ALE733" s="5"/>
      <c r="ALF733" s="5"/>
      <c r="ALG733" s="5"/>
      <c r="ALH733" s="5"/>
      <c r="ALI733" s="5"/>
      <c r="ALJ733" s="5"/>
      <c r="ALK733" s="5"/>
      <c r="ALL733" s="5"/>
      <c r="ALM733" s="5"/>
      <c r="ALN733" s="5"/>
      <c r="ALO733" s="5"/>
      <c r="ALP733" s="5"/>
      <c r="ALQ733" s="5"/>
      <c r="ALR733" s="5"/>
      <c r="ALS733" s="5"/>
      <c r="ALT733" s="5"/>
      <c r="ALU733" s="5"/>
      <c r="ALV733" s="5"/>
      <c r="ALW733" s="5"/>
      <c r="ALX733" s="5"/>
      <c r="ALY733" s="5"/>
      <c r="ALZ733" s="5"/>
      <c r="AMA733" s="5"/>
      <c r="AMB733" s="5"/>
      <c r="AMC733" s="5"/>
      <c r="AMD733" s="5"/>
      <c r="AME733" s="5"/>
      <c r="AMF733" s="5"/>
      <c r="AMG733" s="5"/>
      <c r="AMH733" s="5"/>
      <c r="AMI733" s="5"/>
      <c r="AMJ733" s="5"/>
      <c r="AMK733" s="5"/>
      <c r="AML733" s="5"/>
      <c r="AMM733" s="5"/>
      <c r="AMN733" s="5"/>
      <c r="AMO733" s="5"/>
      <c r="AMP733" s="5"/>
      <c r="AMQ733" s="5"/>
      <c r="AMR733" s="5"/>
      <c r="AMS733" s="5"/>
      <c r="AMT733" s="5"/>
      <c r="AMU733" s="5"/>
      <c r="AMV733" s="5"/>
      <c r="AMW733" s="5"/>
      <c r="AMX733" s="5"/>
      <c r="AMY733" s="5"/>
      <c r="AMZ733" s="5"/>
      <c r="ANA733" s="5"/>
      <c r="ANB733" s="5"/>
      <c r="ANC733" s="5"/>
      <c r="AND733" s="5"/>
      <c r="ANE733" s="5"/>
      <c r="ANF733" s="5"/>
      <c r="ANG733" s="5"/>
      <c r="ANH733" s="5"/>
      <c r="ANI733" s="5"/>
      <c r="ANJ733" s="5"/>
      <c r="ANK733" s="5"/>
      <c r="ANL733" s="5"/>
      <c r="ANM733" s="5"/>
      <c r="ANN733" s="5"/>
      <c r="ANO733" s="5"/>
      <c r="ANP733" s="5"/>
      <c r="ANQ733" s="5"/>
      <c r="ANR733" s="5"/>
      <c r="ANS733" s="5"/>
      <c r="ANT733" s="5"/>
      <c r="ANU733" s="5"/>
      <c r="ANV733" s="5"/>
      <c r="ANW733" s="5"/>
      <c r="ANX733" s="5"/>
      <c r="ANY733" s="5"/>
      <c r="ANZ733" s="5"/>
      <c r="AOA733" s="5"/>
      <c r="AOB733" s="5"/>
      <c r="AOC733" s="5"/>
      <c r="AOD733" s="5"/>
      <c r="AOE733" s="5"/>
      <c r="AOF733" s="5"/>
      <c r="AOG733" s="5"/>
      <c r="AOH733" s="5"/>
      <c r="AOI733" s="5"/>
      <c r="AOJ733" s="5"/>
      <c r="AOK733" s="5"/>
      <c r="AOL733" s="5"/>
      <c r="AOM733" s="5"/>
      <c r="AON733" s="5"/>
      <c r="AOO733" s="5"/>
      <c r="AOP733" s="5"/>
      <c r="AOQ733" s="5"/>
      <c r="AOR733" s="5"/>
      <c r="AOS733" s="5"/>
      <c r="AOT733" s="5"/>
      <c r="AOU733" s="5"/>
      <c r="AOV733" s="5"/>
      <c r="AOW733" s="5"/>
      <c r="AOX733" s="5"/>
      <c r="AOY733" s="5"/>
      <c r="AOZ733" s="5"/>
      <c r="APA733" s="5"/>
      <c r="APB733" s="5"/>
      <c r="APC733" s="5"/>
      <c r="APD733" s="5"/>
      <c r="APE733" s="5"/>
      <c r="APF733" s="5"/>
      <c r="APG733" s="5"/>
      <c r="APH733" s="5"/>
      <c r="API733" s="5"/>
      <c r="APJ733" s="5"/>
      <c r="APK733" s="5"/>
      <c r="APL733" s="5"/>
      <c r="APM733" s="5"/>
      <c r="APN733" s="5"/>
      <c r="APO733" s="5"/>
      <c r="APP733" s="5"/>
      <c r="APQ733" s="5"/>
      <c r="APR733" s="5"/>
      <c r="APS733" s="5"/>
      <c r="APT733" s="5"/>
      <c r="APU733" s="5"/>
      <c r="APV733" s="5"/>
      <c r="APW733" s="5"/>
      <c r="APX733" s="5"/>
      <c r="APY733" s="5"/>
      <c r="APZ733" s="5"/>
      <c r="AQA733" s="5"/>
      <c r="AQB733" s="5"/>
      <c r="AQC733" s="5"/>
      <c r="AQD733" s="5"/>
      <c r="AQE733" s="5"/>
      <c r="AQF733" s="5"/>
      <c r="AQG733" s="5"/>
      <c r="AQH733" s="5"/>
      <c r="AQI733" s="5"/>
      <c r="AQJ733" s="5"/>
      <c r="AQK733" s="5"/>
      <c r="AQL733" s="5"/>
      <c r="AQM733" s="5"/>
      <c r="AQN733" s="5"/>
      <c r="AQO733" s="5"/>
      <c r="AQP733" s="5"/>
      <c r="AQQ733" s="5"/>
      <c r="AQR733" s="5"/>
      <c r="AQS733" s="5"/>
      <c r="AQT733" s="5"/>
      <c r="AQU733" s="5"/>
      <c r="AQV733" s="5"/>
      <c r="AQW733" s="5"/>
      <c r="AQX733" s="5"/>
      <c r="AQY733" s="5"/>
      <c r="AQZ733" s="5"/>
      <c r="ARA733" s="5"/>
      <c r="ARB733" s="5"/>
      <c r="ARC733" s="5"/>
      <c r="ARD733" s="5"/>
      <c r="ARE733" s="5"/>
      <c r="ARF733" s="5"/>
      <c r="ARG733" s="5"/>
      <c r="ARH733" s="5"/>
      <c r="ARI733" s="5"/>
      <c r="ARJ733" s="5"/>
      <c r="ARK733" s="5"/>
      <c r="ARL733" s="5"/>
      <c r="ARM733" s="5"/>
      <c r="ARN733" s="5"/>
      <c r="ARO733" s="5"/>
      <c r="ARP733" s="5"/>
      <c r="ARQ733" s="5"/>
      <c r="ARR733" s="5"/>
      <c r="ARS733" s="5"/>
      <c r="ART733" s="5"/>
      <c r="ARU733" s="5"/>
      <c r="ARV733" s="5"/>
      <c r="ARW733" s="5"/>
      <c r="ARX733" s="5"/>
      <c r="ARY733" s="5"/>
      <c r="ARZ733" s="5"/>
      <c r="ASA733" s="5"/>
      <c r="ASB733" s="5"/>
      <c r="ASC733" s="5"/>
      <c r="ASD733" s="5"/>
      <c r="ASE733" s="5"/>
      <c r="ASF733" s="5"/>
      <c r="ASG733" s="5"/>
      <c r="ASH733" s="5"/>
      <c r="ASI733" s="5"/>
      <c r="ASJ733" s="5"/>
      <c r="ASK733" s="5"/>
      <c r="ASL733" s="5"/>
      <c r="ASM733" s="5"/>
      <c r="ASN733" s="5"/>
      <c r="ASO733" s="5"/>
      <c r="ASP733" s="5"/>
      <c r="ASQ733" s="5"/>
      <c r="ASR733" s="5"/>
      <c r="ASS733" s="5"/>
      <c r="AST733" s="5"/>
      <c r="ASU733" s="5"/>
      <c r="ASV733" s="5"/>
      <c r="ASW733" s="5"/>
      <c r="ASX733" s="5"/>
      <c r="ASY733" s="5"/>
      <c r="ASZ733" s="5"/>
      <c r="ATA733" s="5"/>
      <c r="ATB733" s="5"/>
      <c r="ATC733" s="5"/>
      <c r="ATD733" s="5"/>
      <c r="ATE733" s="5"/>
      <c r="ATF733" s="5"/>
      <c r="ATG733" s="5"/>
      <c r="ATH733" s="5"/>
      <c r="ATI733" s="5"/>
      <c r="ATJ733" s="5"/>
      <c r="ATK733" s="5"/>
      <c r="ATL733" s="5"/>
      <c r="ATM733" s="5"/>
      <c r="ATN733" s="5"/>
      <c r="ATO733" s="5"/>
      <c r="ATP733" s="5"/>
      <c r="ATQ733" s="5"/>
      <c r="ATR733" s="5"/>
      <c r="ATS733" s="5"/>
      <c r="ATT733" s="5"/>
      <c r="ATU733" s="5"/>
      <c r="ATV733" s="5"/>
      <c r="ATW733" s="5"/>
      <c r="ATX733" s="5"/>
    </row>
    <row r="734" spans="1:1220" s="67" customFormat="1" ht="12.75" customHeight="1" x14ac:dyDescent="0.35">
      <c r="A734" s="76" t="s">
        <v>229</v>
      </c>
      <c r="B734" s="99" t="s">
        <v>349</v>
      </c>
      <c r="C734" s="76" t="s">
        <v>2634</v>
      </c>
      <c r="D734" s="142" t="s">
        <v>2634</v>
      </c>
      <c r="E734" s="76"/>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c r="DX734" s="5"/>
      <c r="DY734" s="5"/>
      <c r="DZ734" s="5"/>
      <c r="EA734" s="5"/>
      <c r="EB734" s="5"/>
      <c r="EC734" s="5"/>
      <c r="ED734" s="5"/>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s="5"/>
      <c r="FG734" s="5"/>
      <c r="FH734" s="5"/>
      <c r="FI734" s="5"/>
      <c r="FJ734" s="5"/>
      <c r="FK734" s="5"/>
      <c r="FL734" s="5"/>
      <c r="FM734" s="5"/>
      <c r="FN734" s="5"/>
      <c r="FO734" s="5"/>
      <c r="FP734" s="5"/>
      <c r="FQ734" s="5"/>
      <c r="FR734" s="5"/>
      <c r="FS734" s="5"/>
      <c r="FT734" s="5"/>
      <c r="FU734" s="5"/>
      <c r="FV734" s="5"/>
      <c r="FW734" s="5"/>
      <c r="FX734" s="5"/>
      <c r="FY734" s="5"/>
      <c r="FZ734" s="5"/>
      <c r="GA734" s="5"/>
      <c r="GB734" s="5"/>
      <c r="GC734" s="5"/>
      <c r="GD734" s="5"/>
      <c r="GE734" s="5"/>
      <c r="GF734" s="5"/>
      <c r="GG734" s="5"/>
      <c r="GH734" s="5"/>
      <c r="GI734" s="5"/>
      <c r="GJ734" s="5"/>
      <c r="GK734" s="5"/>
      <c r="GL734" s="5"/>
      <c r="GM734" s="5"/>
      <c r="GN734" s="5"/>
      <c r="GO734" s="5"/>
      <c r="GP734" s="5"/>
      <c r="GQ734" s="5"/>
      <c r="GR734" s="5"/>
      <c r="GS734" s="5"/>
      <c r="GT734" s="5"/>
      <c r="GU734" s="5"/>
      <c r="GV734" s="5"/>
      <c r="GW734" s="5"/>
      <c r="GX734" s="5"/>
      <c r="GY734" s="5"/>
      <c r="GZ734" s="5"/>
      <c r="HA734" s="5"/>
      <c r="HB734" s="5"/>
      <c r="HC734" s="5"/>
      <c r="HD734" s="5"/>
      <c r="HE734" s="5"/>
      <c r="HF734" s="5"/>
      <c r="HG734" s="5"/>
      <c r="HH734" s="5"/>
      <c r="HI734" s="5"/>
      <c r="HJ734" s="5"/>
      <c r="HK734" s="5"/>
      <c r="HL734" s="5"/>
      <c r="HM734" s="5"/>
      <c r="HN734" s="5"/>
      <c r="HO734" s="5"/>
      <c r="HP734" s="5"/>
      <c r="HQ734" s="5"/>
      <c r="HR734" s="5"/>
      <c r="HS734" s="5"/>
      <c r="HT734" s="5"/>
      <c r="HU734" s="5"/>
      <c r="HV734" s="5"/>
      <c r="HW734" s="5"/>
      <c r="HX734" s="5"/>
      <c r="HY734" s="5"/>
      <c r="HZ734" s="5"/>
      <c r="IA734" s="5"/>
      <c r="IB734" s="5"/>
      <c r="IC734" s="5"/>
      <c r="ID734" s="5"/>
      <c r="IE734" s="5"/>
      <c r="IF734" s="5"/>
      <c r="IG734" s="5"/>
      <c r="IH734" s="5"/>
      <c r="II734" s="5"/>
      <c r="IJ734" s="5"/>
      <c r="IK734" s="5"/>
      <c r="IL734" s="5"/>
      <c r="IM734" s="5"/>
      <c r="IN734" s="5"/>
      <c r="IO734" s="5"/>
      <c r="IP734" s="5"/>
      <c r="IQ734" s="5"/>
      <c r="IR734" s="5"/>
      <c r="IS734" s="5"/>
      <c r="IT734" s="5"/>
      <c r="IU734" s="5"/>
      <c r="IV734" s="5"/>
      <c r="IW734" s="5"/>
      <c r="IX734" s="5"/>
      <c r="IY734" s="5"/>
      <c r="IZ734" s="5"/>
      <c r="JA734" s="5"/>
      <c r="JB734" s="5"/>
      <c r="JC734" s="5"/>
      <c r="JD734" s="5"/>
      <c r="JE734" s="5"/>
      <c r="JF734" s="5"/>
      <c r="JG734" s="5"/>
      <c r="JH734" s="5"/>
      <c r="JI734" s="5"/>
      <c r="JJ734" s="5"/>
      <c r="JK734" s="5"/>
      <c r="JL734" s="5"/>
      <c r="JM734" s="5"/>
      <c r="JN734" s="5"/>
      <c r="JO734" s="5"/>
      <c r="JP734" s="5"/>
      <c r="JQ734" s="5"/>
      <c r="JR734" s="5"/>
      <c r="JS734" s="5"/>
      <c r="JT734" s="5"/>
      <c r="JU734" s="5"/>
      <c r="JV734" s="5"/>
      <c r="JW734" s="5"/>
      <c r="JX734" s="5"/>
      <c r="JY734" s="5"/>
      <c r="JZ734" s="5"/>
      <c r="KA734" s="5"/>
      <c r="KB734" s="5"/>
      <c r="KC734" s="5"/>
      <c r="KD734" s="5"/>
      <c r="KE734" s="5"/>
      <c r="KF734" s="5"/>
      <c r="KG734" s="5"/>
      <c r="KH734" s="5"/>
      <c r="KI734" s="5"/>
      <c r="KJ734" s="5"/>
      <c r="KK734" s="5"/>
      <c r="KL734" s="5"/>
      <c r="KM734" s="5"/>
      <c r="KN734" s="5"/>
      <c r="KO734" s="5"/>
      <c r="KP734" s="5"/>
      <c r="KQ734" s="5"/>
      <c r="KR734" s="5"/>
      <c r="KS734" s="5"/>
      <c r="KT734" s="5"/>
      <c r="KU734" s="5"/>
      <c r="KV734" s="5"/>
      <c r="KW734" s="5"/>
      <c r="KX734" s="5"/>
      <c r="KY734" s="5"/>
      <c r="KZ734" s="5"/>
      <c r="LA734" s="5"/>
      <c r="LB734" s="5"/>
      <c r="LC734" s="5"/>
      <c r="LD734" s="5"/>
      <c r="LE734" s="5"/>
      <c r="LF734" s="5"/>
      <c r="LG734" s="5"/>
      <c r="LH734" s="5"/>
      <c r="LI734" s="5"/>
      <c r="LJ734" s="5"/>
      <c r="LK734" s="5"/>
      <c r="LL734" s="5"/>
      <c r="LM734" s="5"/>
      <c r="LN734" s="5"/>
      <c r="LO734" s="5"/>
      <c r="LP734" s="5"/>
      <c r="LQ734" s="5"/>
      <c r="LR734" s="5"/>
      <c r="LS734" s="5"/>
      <c r="LT734" s="5"/>
      <c r="LU734" s="5"/>
      <c r="LV734" s="5"/>
      <c r="LW734" s="5"/>
      <c r="LX734" s="5"/>
      <c r="LY734" s="5"/>
      <c r="LZ734" s="5"/>
      <c r="MA734" s="5"/>
      <c r="MB734" s="5"/>
      <c r="MC734" s="5"/>
      <c r="MD734" s="5"/>
      <c r="ME734" s="5"/>
      <c r="MF734" s="5"/>
      <c r="MG734" s="5"/>
      <c r="MH734" s="5"/>
      <c r="MI734" s="5"/>
      <c r="MJ734" s="5"/>
      <c r="MK734" s="5"/>
      <c r="ML734" s="5"/>
      <c r="MM734" s="5"/>
      <c r="MN734" s="5"/>
      <c r="MO734" s="5"/>
      <c r="MP734" s="5"/>
      <c r="MQ734" s="5"/>
      <c r="MR734" s="5"/>
      <c r="MS734" s="5"/>
      <c r="MT734" s="5"/>
      <c r="MU734" s="5"/>
      <c r="MV734" s="5"/>
      <c r="MW734" s="5"/>
      <c r="MX734" s="5"/>
      <c r="MY734" s="5"/>
      <c r="MZ734" s="5"/>
      <c r="NA734" s="5"/>
      <c r="NB734" s="5"/>
      <c r="NC734" s="5"/>
      <c r="ND734" s="5"/>
      <c r="NE734" s="5"/>
      <c r="NF734" s="5"/>
      <c r="NG734" s="5"/>
      <c r="NH734" s="5"/>
      <c r="NI734" s="5"/>
      <c r="NJ734" s="5"/>
      <c r="NK734" s="5"/>
      <c r="NL734" s="5"/>
      <c r="NM734" s="5"/>
      <c r="NN734" s="5"/>
      <c r="NO734" s="5"/>
      <c r="NP734" s="5"/>
      <c r="NQ734" s="5"/>
      <c r="NR734" s="5"/>
      <c r="NS734" s="5"/>
      <c r="NT734" s="5"/>
      <c r="NU734" s="5"/>
      <c r="NV734" s="5"/>
      <c r="NW734" s="5"/>
      <c r="NX734" s="5"/>
      <c r="NY734" s="5"/>
      <c r="NZ734" s="5"/>
      <c r="OA734" s="5"/>
      <c r="OB734" s="5"/>
      <c r="OC734" s="5"/>
      <c r="OD734" s="5"/>
      <c r="OE734" s="5"/>
      <c r="OF734" s="5"/>
      <c r="OG734" s="5"/>
      <c r="OH734" s="5"/>
      <c r="OI734" s="5"/>
      <c r="OJ734" s="5"/>
      <c r="OK734" s="5"/>
      <c r="OL734" s="5"/>
      <c r="OM734" s="5"/>
      <c r="ON734" s="5"/>
      <c r="OO734" s="5"/>
      <c r="OP734" s="5"/>
      <c r="OQ734" s="5"/>
      <c r="OR734" s="5"/>
      <c r="OS734" s="5"/>
      <c r="OT734" s="5"/>
      <c r="OU734" s="5"/>
      <c r="OV734" s="5"/>
      <c r="OW734" s="5"/>
      <c r="OX734" s="5"/>
      <c r="OY734" s="5"/>
      <c r="OZ734" s="5"/>
      <c r="PA734" s="5"/>
      <c r="PB734" s="5"/>
      <c r="PC734" s="5"/>
      <c r="PD734" s="5"/>
      <c r="PE734" s="5"/>
      <c r="PF734" s="5"/>
      <c r="PG734" s="5"/>
      <c r="PH734" s="5"/>
      <c r="PI734" s="5"/>
      <c r="PJ734" s="5"/>
      <c r="PK734" s="5"/>
      <c r="PL734" s="5"/>
      <c r="PM734" s="5"/>
      <c r="PN734" s="5"/>
      <c r="PO734" s="5"/>
      <c r="PP734" s="5"/>
      <c r="PQ734" s="5"/>
      <c r="PR734" s="5"/>
      <c r="PS734" s="5"/>
      <c r="PT734" s="5"/>
      <c r="PU734" s="5"/>
      <c r="PV734" s="5"/>
      <c r="PW734" s="5"/>
      <c r="PX734" s="5"/>
      <c r="PY734" s="5"/>
      <c r="PZ734" s="5"/>
      <c r="QA734" s="5"/>
      <c r="QB734" s="5"/>
      <c r="QC734" s="5"/>
      <c r="QD734" s="5"/>
      <c r="QE734" s="5"/>
      <c r="QF734" s="5"/>
      <c r="QG734" s="5"/>
      <c r="QH734" s="5"/>
      <c r="QI734" s="5"/>
      <c r="QJ734" s="5"/>
      <c r="QK734" s="5"/>
      <c r="QL734" s="5"/>
      <c r="QM734" s="5"/>
      <c r="QN734" s="5"/>
      <c r="QO734" s="5"/>
      <c r="QP734" s="5"/>
      <c r="QQ734" s="5"/>
      <c r="QR734" s="5"/>
      <c r="QS734" s="5"/>
      <c r="QT734" s="5"/>
      <c r="QU734" s="5"/>
      <c r="QV734" s="5"/>
      <c r="QW734" s="5"/>
      <c r="QX734" s="5"/>
      <c r="QY734" s="5"/>
      <c r="QZ734" s="5"/>
      <c r="RA734" s="5"/>
      <c r="RB734" s="5"/>
      <c r="RC734" s="5"/>
      <c r="RD734" s="5"/>
      <c r="RE734" s="5"/>
      <c r="RF734" s="5"/>
      <c r="RG734" s="5"/>
      <c r="RH734" s="5"/>
      <c r="RI734" s="5"/>
      <c r="RJ734" s="5"/>
      <c r="RK734" s="5"/>
      <c r="RL734" s="5"/>
      <c r="RM734" s="5"/>
      <c r="RN734" s="5"/>
      <c r="RO734" s="5"/>
      <c r="RP734" s="5"/>
      <c r="RQ734" s="5"/>
      <c r="RR734" s="5"/>
      <c r="RS734" s="5"/>
      <c r="RT734" s="5"/>
      <c r="RU734" s="5"/>
      <c r="RV734" s="5"/>
      <c r="RW734" s="5"/>
      <c r="RX734" s="5"/>
      <c r="RY734" s="5"/>
      <c r="RZ734" s="5"/>
      <c r="SA734" s="5"/>
      <c r="SB734" s="5"/>
      <c r="SC734" s="5"/>
      <c r="SD734" s="5"/>
      <c r="SE734" s="5"/>
      <c r="SF734" s="5"/>
      <c r="SG734" s="5"/>
      <c r="SH734" s="5"/>
      <c r="SI734" s="5"/>
      <c r="SJ734" s="5"/>
      <c r="SK734" s="5"/>
      <c r="SL734" s="5"/>
      <c r="SM734" s="5"/>
      <c r="SN734" s="5"/>
      <c r="SO734" s="5"/>
      <c r="SP734" s="5"/>
      <c r="SQ734" s="5"/>
      <c r="SR734" s="5"/>
      <c r="SS734" s="5"/>
      <c r="ST734" s="5"/>
      <c r="SU734" s="5"/>
      <c r="SV734" s="5"/>
      <c r="SW734" s="5"/>
      <c r="SX734" s="5"/>
      <c r="SY734" s="5"/>
      <c r="SZ734" s="5"/>
      <c r="TA734" s="5"/>
      <c r="TB734" s="5"/>
      <c r="TC734" s="5"/>
      <c r="TD734" s="5"/>
      <c r="TE734" s="5"/>
      <c r="TF734" s="5"/>
      <c r="TG734" s="5"/>
      <c r="TH734" s="5"/>
      <c r="TI734" s="5"/>
      <c r="TJ734" s="5"/>
      <c r="TK734" s="5"/>
      <c r="TL734" s="5"/>
      <c r="TM734" s="5"/>
      <c r="TN734" s="5"/>
      <c r="TO734" s="5"/>
      <c r="TP734" s="5"/>
      <c r="TQ734" s="5"/>
      <c r="TR734" s="5"/>
      <c r="TS734" s="5"/>
      <c r="TT734" s="5"/>
      <c r="TU734" s="5"/>
      <c r="TV734" s="5"/>
      <c r="TW734" s="5"/>
      <c r="TX734" s="5"/>
      <c r="TY734" s="5"/>
      <c r="TZ734" s="5"/>
      <c r="UA734" s="5"/>
      <c r="UB734" s="5"/>
      <c r="UC734" s="5"/>
      <c r="UD734" s="5"/>
      <c r="UE734" s="5"/>
      <c r="UF734" s="5"/>
      <c r="UG734" s="5"/>
      <c r="UH734" s="5"/>
      <c r="UI734" s="5"/>
      <c r="UJ734" s="5"/>
      <c r="UK734" s="5"/>
      <c r="UL734" s="5"/>
      <c r="UM734" s="5"/>
      <c r="UN734" s="5"/>
      <c r="UO734" s="5"/>
      <c r="UP734" s="5"/>
      <c r="UQ734" s="5"/>
      <c r="UR734" s="5"/>
      <c r="US734" s="5"/>
      <c r="UT734" s="5"/>
      <c r="UU734" s="5"/>
      <c r="UV734" s="5"/>
      <c r="UW734" s="5"/>
      <c r="UX734" s="5"/>
      <c r="UY734" s="5"/>
      <c r="UZ734" s="5"/>
      <c r="VA734" s="5"/>
      <c r="VB734" s="5"/>
      <c r="VC734" s="5"/>
      <c r="VD734" s="5"/>
      <c r="VE734" s="5"/>
      <c r="VF734" s="5"/>
      <c r="VG734" s="5"/>
      <c r="VH734" s="5"/>
      <c r="VI734" s="5"/>
      <c r="VJ734" s="5"/>
      <c r="VK734" s="5"/>
      <c r="VL734" s="5"/>
      <c r="VM734" s="5"/>
      <c r="VN734" s="5"/>
      <c r="VO734" s="5"/>
      <c r="VP734" s="5"/>
      <c r="VQ734" s="5"/>
      <c r="VR734" s="5"/>
      <c r="VS734" s="5"/>
      <c r="VT734" s="5"/>
      <c r="VU734" s="5"/>
      <c r="VV734" s="5"/>
      <c r="VW734" s="5"/>
      <c r="VX734" s="5"/>
      <c r="VY734" s="5"/>
      <c r="VZ734" s="5"/>
      <c r="WA734" s="5"/>
      <c r="WB734" s="5"/>
      <c r="WC734" s="5"/>
      <c r="WD734" s="5"/>
      <c r="WE734" s="5"/>
      <c r="WF734" s="5"/>
      <c r="WG734" s="5"/>
      <c r="WH734" s="5"/>
      <c r="WI734" s="5"/>
      <c r="WJ734" s="5"/>
      <c r="WK734" s="5"/>
      <c r="WL734" s="5"/>
      <c r="WM734" s="5"/>
      <c r="WN734" s="5"/>
      <c r="WO734" s="5"/>
      <c r="WP734" s="5"/>
      <c r="WQ734" s="5"/>
      <c r="WR734" s="5"/>
      <c r="WS734" s="5"/>
      <c r="WT734" s="5"/>
      <c r="WU734" s="5"/>
      <c r="WV734" s="5"/>
      <c r="WW734" s="5"/>
      <c r="WX734" s="5"/>
      <c r="WY734" s="5"/>
      <c r="WZ734" s="5"/>
      <c r="XA734" s="5"/>
      <c r="XB734" s="5"/>
      <c r="XC734" s="5"/>
      <c r="XD734" s="5"/>
      <c r="XE734" s="5"/>
      <c r="XF734" s="5"/>
      <c r="XG734" s="5"/>
      <c r="XH734" s="5"/>
      <c r="XI734" s="5"/>
      <c r="XJ734" s="5"/>
      <c r="XK734" s="5"/>
      <c r="XL734" s="5"/>
      <c r="XM734" s="5"/>
      <c r="XN734" s="5"/>
      <c r="XO734" s="5"/>
      <c r="XP734" s="5"/>
      <c r="XQ734" s="5"/>
      <c r="XR734" s="5"/>
      <c r="XS734" s="5"/>
      <c r="XT734" s="5"/>
      <c r="XU734" s="5"/>
      <c r="XV734" s="5"/>
      <c r="XW734" s="5"/>
      <c r="XX734" s="5"/>
      <c r="XY734" s="5"/>
      <c r="XZ734" s="5"/>
      <c r="YA734" s="5"/>
      <c r="YB734" s="5"/>
      <c r="YC734" s="5"/>
      <c r="YD734" s="5"/>
      <c r="YE734" s="5"/>
      <c r="YF734" s="5"/>
      <c r="YG734" s="5"/>
      <c r="YH734" s="5"/>
      <c r="YI734" s="5"/>
      <c r="YJ734" s="5"/>
      <c r="YK734" s="5"/>
      <c r="YL734" s="5"/>
      <c r="YM734" s="5"/>
      <c r="YN734" s="5"/>
      <c r="YO734" s="5"/>
      <c r="YP734" s="5"/>
      <c r="YQ734" s="5"/>
      <c r="YR734" s="5"/>
      <c r="YS734" s="5"/>
      <c r="YT734" s="5"/>
      <c r="YU734" s="5"/>
      <c r="YV734" s="5"/>
      <c r="YW734" s="5"/>
      <c r="YX734" s="5"/>
      <c r="YY734" s="5"/>
      <c r="YZ734" s="5"/>
      <c r="ZA734" s="5"/>
      <c r="ZB734" s="5"/>
      <c r="ZC734" s="5"/>
      <c r="ZD734" s="5"/>
      <c r="ZE734" s="5"/>
      <c r="ZF734" s="5"/>
      <c r="ZG734" s="5"/>
      <c r="ZH734" s="5"/>
      <c r="ZI734" s="5"/>
      <c r="ZJ734" s="5"/>
      <c r="ZK734" s="5"/>
      <c r="ZL734" s="5"/>
      <c r="ZM734" s="5"/>
      <c r="ZN734" s="5"/>
      <c r="ZO734" s="5"/>
      <c r="ZP734" s="5"/>
      <c r="ZQ734" s="5"/>
      <c r="ZR734" s="5"/>
      <c r="ZS734" s="5"/>
      <c r="ZT734" s="5"/>
      <c r="ZU734" s="5"/>
      <c r="ZV734" s="5"/>
      <c r="ZW734" s="5"/>
      <c r="ZX734" s="5"/>
      <c r="ZY734" s="5"/>
      <c r="ZZ734" s="5"/>
      <c r="AAA734" s="5"/>
      <c r="AAB734" s="5"/>
      <c r="AAC734" s="5"/>
      <c r="AAD734" s="5"/>
      <c r="AAE734" s="5"/>
      <c r="AAF734" s="5"/>
      <c r="AAG734" s="5"/>
      <c r="AAH734" s="5"/>
      <c r="AAI734" s="5"/>
      <c r="AAJ734" s="5"/>
      <c r="AAK734" s="5"/>
      <c r="AAL734" s="5"/>
      <c r="AAM734" s="5"/>
      <c r="AAN734" s="5"/>
      <c r="AAO734" s="5"/>
      <c r="AAP734" s="5"/>
      <c r="AAQ734" s="5"/>
      <c r="AAR734" s="5"/>
      <c r="AAS734" s="5"/>
      <c r="AAT734" s="5"/>
      <c r="AAU734" s="5"/>
      <c r="AAV734" s="5"/>
      <c r="AAW734" s="5"/>
      <c r="AAX734" s="5"/>
      <c r="AAY734" s="5"/>
      <c r="AAZ734" s="5"/>
      <c r="ABA734" s="5"/>
      <c r="ABB734" s="5"/>
      <c r="ABC734" s="5"/>
      <c r="ABD734" s="5"/>
      <c r="ABE734" s="5"/>
      <c r="ABF734" s="5"/>
      <c r="ABG734" s="5"/>
      <c r="ABH734" s="5"/>
      <c r="ABI734" s="5"/>
      <c r="ABJ734" s="5"/>
      <c r="ABK734" s="5"/>
      <c r="ABL734" s="5"/>
      <c r="ABM734" s="5"/>
      <c r="ABN734" s="5"/>
      <c r="ABO734" s="5"/>
      <c r="ABP734" s="5"/>
      <c r="ABQ734" s="5"/>
      <c r="ABR734" s="5"/>
      <c r="ABS734" s="5"/>
      <c r="ABT734" s="5"/>
      <c r="ABU734" s="5"/>
      <c r="ABV734" s="5"/>
      <c r="ABW734" s="5"/>
      <c r="ABX734" s="5"/>
      <c r="ABY734" s="5"/>
      <c r="ABZ734" s="5"/>
      <c r="ACA734" s="5"/>
      <c r="ACB734" s="5"/>
      <c r="ACC734" s="5"/>
      <c r="ACD734" s="5"/>
      <c r="ACE734" s="5"/>
      <c r="ACF734" s="5"/>
      <c r="ACG734" s="5"/>
      <c r="ACH734" s="5"/>
      <c r="ACI734" s="5"/>
      <c r="ACJ734" s="5"/>
      <c r="ACK734" s="5"/>
      <c r="ACL734" s="5"/>
      <c r="ACM734" s="5"/>
      <c r="ACN734" s="5"/>
      <c r="ACO734" s="5"/>
      <c r="ACP734" s="5"/>
      <c r="ACQ734" s="5"/>
      <c r="ACR734" s="5"/>
      <c r="ACS734" s="5"/>
      <c r="ACT734" s="5"/>
      <c r="ACU734" s="5"/>
      <c r="ACV734" s="5"/>
      <c r="ACW734" s="5"/>
      <c r="ACX734" s="5"/>
      <c r="ACY734" s="5"/>
      <c r="ACZ734" s="5"/>
      <c r="ADA734" s="5"/>
      <c r="ADB734" s="5"/>
      <c r="ADC734" s="5"/>
      <c r="ADD734" s="5"/>
      <c r="ADE734" s="5"/>
      <c r="ADF734" s="5"/>
      <c r="ADG734" s="5"/>
      <c r="ADH734" s="5"/>
      <c r="ADI734" s="5"/>
      <c r="ADJ734" s="5"/>
      <c r="ADK734" s="5"/>
      <c r="ADL734" s="5"/>
      <c r="ADM734" s="5"/>
      <c r="ADN734" s="5"/>
      <c r="ADO734" s="5"/>
      <c r="ADP734" s="5"/>
      <c r="ADQ734" s="5"/>
      <c r="ADR734" s="5"/>
      <c r="ADS734" s="5"/>
      <c r="ADT734" s="5"/>
      <c r="ADU734" s="5"/>
      <c r="ADV734" s="5"/>
      <c r="ADW734" s="5"/>
      <c r="ADX734" s="5"/>
      <c r="ADY734" s="5"/>
      <c r="ADZ734" s="5"/>
      <c r="AEA734" s="5"/>
      <c r="AEB734" s="5"/>
      <c r="AEC734" s="5"/>
      <c r="AED734" s="5"/>
      <c r="AEE734" s="5"/>
      <c r="AEF734" s="5"/>
      <c r="AEG734" s="5"/>
      <c r="AEH734" s="5"/>
      <c r="AEI734" s="5"/>
      <c r="AEJ734" s="5"/>
      <c r="AEK734" s="5"/>
      <c r="AEL734" s="5"/>
      <c r="AEM734" s="5"/>
      <c r="AEN734" s="5"/>
      <c r="AEO734" s="5"/>
      <c r="AEP734" s="5"/>
      <c r="AEQ734" s="5"/>
      <c r="AER734" s="5"/>
      <c r="AES734" s="5"/>
      <c r="AET734" s="5"/>
      <c r="AEU734" s="5"/>
      <c r="AEV734" s="5"/>
      <c r="AEW734" s="5"/>
      <c r="AEX734" s="5"/>
      <c r="AEY734" s="5"/>
      <c r="AEZ734" s="5"/>
      <c r="AFA734" s="5"/>
      <c r="AFB734" s="5"/>
      <c r="AFC734" s="5"/>
      <c r="AFD734" s="5"/>
      <c r="AFE734" s="5"/>
      <c r="AFF734" s="5"/>
      <c r="AFG734" s="5"/>
      <c r="AFH734" s="5"/>
      <c r="AFI734" s="5"/>
      <c r="AFJ734" s="5"/>
      <c r="AFK734" s="5"/>
      <c r="AFL734" s="5"/>
      <c r="AFM734" s="5"/>
      <c r="AFN734" s="5"/>
      <c r="AFO734" s="5"/>
      <c r="AFP734" s="5"/>
      <c r="AFQ734" s="5"/>
      <c r="AFR734" s="5"/>
      <c r="AFS734" s="5"/>
      <c r="AFT734" s="5"/>
      <c r="AFU734" s="5"/>
      <c r="AFV734" s="5"/>
      <c r="AFW734" s="5"/>
      <c r="AFX734" s="5"/>
      <c r="AFY734" s="5"/>
      <c r="AFZ734" s="5"/>
      <c r="AGA734" s="5"/>
      <c r="AGB734" s="5"/>
      <c r="AGC734" s="5"/>
      <c r="AGD734" s="5"/>
      <c r="AGE734" s="5"/>
      <c r="AGF734" s="5"/>
      <c r="AGG734" s="5"/>
      <c r="AGH734" s="5"/>
      <c r="AGI734" s="5"/>
      <c r="AGJ734" s="5"/>
      <c r="AGK734" s="5"/>
      <c r="AGL734" s="5"/>
      <c r="AGM734" s="5"/>
      <c r="AGN734" s="5"/>
      <c r="AGO734" s="5"/>
      <c r="AGP734" s="5"/>
      <c r="AGQ734" s="5"/>
      <c r="AGR734" s="5"/>
      <c r="AGS734" s="5"/>
      <c r="AGT734" s="5"/>
      <c r="AGU734" s="5"/>
      <c r="AGV734" s="5"/>
      <c r="AGW734" s="5"/>
      <c r="AGX734" s="5"/>
      <c r="AGY734" s="5"/>
      <c r="AGZ734" s="5"/>
      <c r="AHA734" s="5"/>
      <c r="AHB734" s="5"/>
      <c r="AHC734" s="5"/>
      <c r="AHD734" s="5"/>
      <c r="AHE734" s="5"/>
      <c r="AHF734" s="5"/>
      <c r="AHG734" s="5"/>
      <c r="AHH734" s="5"/>
      <c r="AHI734" s="5"/>
      <c r="AHJ734" s="5"/>
      <c r="AHK734" s="5"/>
      <c r="AHL734" s="5"/>
      <c r="AHM734" s="5"/>
      <c r="AHN734" s="5"/>
      <c r="AHO734" s="5"/>
      <c r="AHP734" s="5"/>
      <c r="AHQ734" s="5"/>
      <c r="AHR734" s="5"/>
      <c r="AHS734" s="5"/>
      <c r="AHT734" s="5"/>
      <c r="AHU734" s="5"/>
      <c r="AHV734" s="5"/>
      <c r="AHW734" s="5"/>
      <c r="AHX734" s="5"/>
      <c r="AHY734" s="5"/>
      <c r="AHZ734" s="5"/>
      <c r="AIA734" s="5"/>
      <c r="AIB734" s="5"/>
      <c r="AIC734" s="5"/>
      <c r="AID734" s="5"/>
      <c r="AIE734" s="5"/>
      <c r="AIF734" s="5"/>
      <c r="AIG734" s="5"/>
      <c r="AIH734" s="5"/>
      <c r="AII734" s="5"/>
      <c r="AIJ734" s="5"/>
      <c r="AIK734" s="5"/>
      <c r="AIL734" s="5"/>
      <c r="AIM734" s="5"/>
      <c r="AIN734" s="5"/>
      <c r="AIO734" s="5"/>
      <c r="AIP734" s="5"/>
      <c r="AIQ734" s="5"/>
      <c r="AIR734" s="5"/>
      <c r="AIS734" s="5"/>
      <c r="AIT734" s="5"/>
      <c r="AIU734" s="5"/>
      <c r="AIV734" s="5"/>
      <c r="AIW734" s="5"/>
      <c r="AIX734" s="5"/>
      <c r="AIY734" s="5"/>
      <c r="AIZ734" s="5"/>
      <c r="AJA734" s="5"/>
      <c r="AJB734" s="5"/>
      <c r="AJC734" s="5"/>
      <c r="AJD734" s="5"/>
      <c r="AJE734" s="5"/>
      <c r="AJF734" s="5"/>
      <c r="AJG734" s="5"/>
      <c r="AJH734" s="5"/>
      <c r="AJI734" s="5"/>
      <c r="AJJ734" s="5"/>
      <c r="AJK734" s="5"/>
      <c r="AJL734" s="5"/>
      <c r="AJM734" s="5"/>
      <c r="AJN734" s="5"/>
      <c r="AJO734" s="5"/>
      <c r="AJP734" s="5"/>
      <c r="AJQ734" s="5"/>
      <c r="AJR734" s="5"/>
      <c r="AJS734" s="5"/>
      <c r="AJT734" s="5"/>
      <c r="AJU734" s="5"/>
      <c r="AJV734" s="5"/>
      <c r="AJW734" s="5"/>
      <c r="AJX734" s="5"/>
      <c r="AJY734" s="5"/>
      <c r="AJZ734" s="5"/>
      <c r="AKA734" s="5"/>
      <c r="AKB734" s="5"/>
      <c r="AKC734" s="5"/>
      <c r="AKD734" s="5"/>
      <c r="AKE734" s="5"/>
      <c r="AKF734" s="5"/>
      <c r="AKG734" s="5"/>
      <c r="AKH734" s="5"/>
      <c r="AKI734" s="5"/>
      <c r="AKJ734" s="5"/>
      <c r="AKK734" s="5"/>
      <c r="AKL734" s="5"/>
      <c r="AKM734" s="5"/>
      <c r="AKN734" s="5"/>
      <c r="AKO734" s="5"/>
      <c r="AKP734" s="5"/>
      <c r="AKQ734" s="5"/>
      <c r="AKR734" s="5"/>
      <c r="AKS734" s="5"/>
      <c r="AKT734" s="5"/>
      <c r="AKU734" s="5"/>
      <c r="AKV734" s="5"/>
      <c r="AKW734" s="5"/>
      <c r="AKX734" s="5"/>
      <c r="AKY734" s="5"/>
      <c r="AKZ734" s="5"/>
      <c r="ALA734" s="5"/>
      <c r="ALB734" s="5"/>
      <c r="ALC734" s="5"/>
      <c r="ALD734" s="5"/>
      <c r="ALE734" s="5"/>
      <c r="ALF734" s="5"/>
      <c r="ALG734" s="5"/>
      <c r="ALH734" s="5"/>
      <c r="ALI734" s="5"/>
      <c r="ALJ734" s="5"/>
      <c r="ALK734" s="5"/>
      <c r="ALL734" s="5"/>
      <c r="ALM734" s="5"/>
      <c r="ALN734" s="5"/>
      <c r="ALO734" s="5"/>
      <c r="ALP734" s="5"/>
      <c r="ALQ734" s="5"/>
      <c r="ALR734" s="5"/>
      <c r="ALS734" s="5"/>
      <c r="ALT734" s="5"/>
      <c r="ALU734" s="5"/>
      <c r="ALV734" s="5"/>
      <c r="ALW734" s="5"/>
      <c r="ALX734" s="5"/>
      <c r="ALY734" s="5"/>
      <c r="ALZ734" s="5"/>
      <c r="AMA734" s="5"/>
      <c r="AMB734" s="5"/>
      <c r="AMC734" s="5"/>
      <c r="AMD734" s="5"/>
      <c r="AME734" s="5"/>
      <c r="AMF734" s="5"/>
      <c r="AMG734" s="5"/>
      <c r="AMH734" s="5"/>
      <c r="AMI734" s="5"/>
      <c r="AMJ734" s="5"/>
      <c r="AMK734" s="5"/>
      <c r="AML734" s="5"/>
      <c r="AMM734" s="5"/>
      <c r="AMN734" s="5"/>
      <c r="AMO734" s="5"/>
      <c r="AMP734" s="5"/>
      <c r="AMQ734" s="5"/>
      <c r="AMR734" s="5"/>
      <c r="AMS734" s="5"/>
      <c r="AMT734" s="5"/>
      <c r="AMU734" s="5"/>
      <c r="AMV734" s="5"/>
      <c r="AMW734" s="5"/>
      <c r="AMX734" s="5"/>
      <c r="AMY734" s="5"/>
      <c r="AMZ734" s="5"/>
      <c r="ANA734" s="5"/>
      <c r="ANB734" s="5"/>
      <c r="ANC734" s="5"/>
      <c r="AND734" s="5"/>
      <c r="ANE734" s="5"/>
      <c r="ANF734" s="5"/>
      <c r="ANG734" s="5"/>
      <c r="ANH734" s="5"/>
      <c r="ANI734" s="5"/>
      <c r="ANJ734" s="5"/>
      <c r="ANK734" s="5"/>
      <c r="ANL734" s="5"/>
      <c r="ANM734" s="5"/>
      <c r="ANN734" s="5"/>
      <c r="ANO734" s="5"/>
      <c r="ANP734" s="5"/>
      <c r="ANQ734" s="5"/>
      <c r="ANR734" s="5"/>
      <c r="ANS734" s="5"/>
      <c r="ANT734" s="5"/>
      <c r="ANU734" s="5"/>
      <c r="ANV734" s="5"/>
      <c r="ANW734" s="5"/>
      <c r="ANX734" s="5"/>
      <c r="ANY734" s="5"/>
      <c r="ANZ734" s="5"/>
      <c r="AOA734" s="5"/>
      <c r="AOB734" s="5"/>
      <c r="AOC734" s="5"/>
      <c r="AOD734" s="5"/>
      <c r="AOE734" s="5"/>
      <c r="AOF734" s="5"/>
      <c r="AOG734" s="5"/>
      <c r="AOH734" s="5"/>
      <c r="AOI734" s="5"/>
      <c r="AOJ734" s="5"/>
      <c r="AOK734" s="5"/>
      <c r="AOL734" s="5"/>
      <c r="AOM734" s="5"/>
      <c r="AON734" s="5"/>
      <c r="AOO734" s="5"/>
      <c r="AOP734" s="5"/>
      <c r="AOQ734" s="5"/>
      <c r="AOR734" s="5"/>
      <c r="AOS734" s="5"/>
      <c r="AOT734" s="5"/>
      <c r="AOU734" s="5"/>
      <c r="AOV734" s="5"/>
      <c r="AOW734" s="5"/>
      <c r="AOX734" s="5"/>
      <c r="AOY734" s="5"/>
      <c r="AOZ734" s="5"/>
      <c r="APA734" s="5"/>
      <c r="APB734" s="5"/>
      <c r="APC734" s="5"/>
      <c r="APD734" s="5"/>
      <c r="APE734" s="5"/>
      <c r="APF734" s="5"/>
      <c r="APG734" s="5"/>
      <c r="APH734" s="5"/>
      <c r="API734" s="5"/>
      <c r="APJ734" s="5"/>
      <c r="APK734" s="5"/>
      <c r="APL734" s="5"/>
      <c r="APM734" s="5"/>
      <c r="APN734" s="5"/>
      <c r="APO734" s="5"/>
      <c r="APP734" s="5"/>
      <c r="APQ734" s="5"/>
      <c r="APR734" s="5"/>
      <c r="APS734" s="5"/>
      <c r="APT734" s="5"/>
      <c r="APU734" s="5"/>
      <c r="APV734" s="5"/>
      <c r="APW734" s="5"/>
      <c r="APX734" s="5"/>
      <c r="APY734" s="5"/>
      <c r="APZ734" s="5"/>
      <c r="AQA734" s="5"/>
      <c r="AQB734" s="5"/>
      <c r="AQC734" s="5"/>
      <c r="AQD734" s="5"/>
      <c r="AQE734" s="5"/>
      <c r="AQF734" s="5"/>
      <c r="AQG734" s="5"/>
      <c r="AQH734" s="5"/>
      <c r="AQI734" s="5"/>
      <c r="AQJ734" s="5"/>
      <c r="AQK734" s="5"/>
      <c r="AQL734" s="5"/>
      <c r="AQM734" s="5"/>
      <c r="AQN734" s="5"/>
      <c r="AQO734" s="5"/>
      <c r="AQP734" s="5"/>
      <c r="AQQ734" s="5"/>
      <c r="AQR734" s="5"/>
      <c r="AQS734" s="5"/>
      <c r="AQT734" s="5"/>
      <c r="AQU734" s="5"/>
      <c r="AQV734" s="5"/>
      <c r="AQW734" s="5"/>
      <c r="AQX734" s="5"/>
      <c r="AQY734" s="5"/>
      <c r="AQZ734" s="5"/>
      <c r="ARA734" s="5"/>
      <c r="ARB734" s="5"/>
      <c r="ARC734" s="5"/>
      <c r="ARD734" s="5"/>
      <c r="ARE734" s="5"/>
      <c r="ARF734" s="5"/>
      <c r="ARG734" s="5"/>
      <c r="ARH734" s="5"/>
      <c r="ARI734" s="5"/>
      <c r="ARJ734" s="5"/>
      <c r="ARK734" s="5"/>
      <c r="ARL734" s="5"/>
      <c r="ARM734" s="5"/>
      <c r="ARN734" s="5"/>
      <c r="ARO734" s="5"/>
      <c r="ARP734" s="5"/>
      <c r="ARQ734" s="5"/>
      <c r="ARR734" s="5"/>
      <c r="ARS734" s="5"/>
      <c r="ART734" s="5"/>
      <c r="ARU734" s="5"/>
      <c r="ARV734" s="5"/>
      <c r="ARW734" s="5"/>
      <c r="ARX734" s="5"/>
      <c r="ARY734" s="5"/>
      <c r="ARZ734" s="5"/>
      <c r="ASA734" s="5"/>
      <c r="ASB734" s="5"/>
      <c r="ASC734" s="5"/>
      <c r="ASD734" s="5"/>
      <c r="ASE734" s="5"/>
      <c r="ASF734" s="5"/>
      <c r="ASG734" s="5"/>
      <c r="ASH734" s="5"/>
      <c r="ASI734" s="5"/>
      <c r="ASJ734" s="5"/>
      <c r="ASK734" s="5"/>
      <c r="ASL734" s="5"/>
      <c r="ASM734" s="5"/>
      <c r="ASN734" s="5"/>
      <c r="ASO734" s="5"/>
      <c r="ASP734" s="5"/>
      <c r="ASQ734" s="5"/>
      <c r="ASR734" s="5"/>
      <c r="ASS734" s="5"/>
      <c r="AST734" s="5"/>
      <c r="ASU734" s="5"/>
      <c r="ASV734" s="5"/>
      <c r="ASW734" s="5"/>
      <c r="ASX734" s="5"/>
      <c r="ASY734" s="5"/>
      <c r="ASZ734" s="5"/>
      <c r="ATA734" s="5"/>
      <c r="ATB734" s="5"/>
      <c r="ATC734" s="5"/>
      <c r="ATD734" s="5"/>
      <c r="ATE734" s="5"/>
      <c r="ATF734" s="5"/>
      <c r="ATG734" s="5"/>
      <c r="ATH734" s="5"/>
      <c r="ATI734" s="5"/>
      <c r="ATJ734" s="5"/>
      <c r="ATK734" s="5"/>
      <c r="ATL734" s="5"/>
      <c r="ATM734" s="5"/>
      <c r="ATN734" s="5"/>
      <c r="ATO734" s="5"/>
      <c r="ATP734" s="5"/>
      <c r="ATQ734" s="5"/>
      <c r="ATR734" s="5"/>
      <c r="ATS734" s="5"/>
      <c r="ATT734" s="5"/>
      <c r="ATU734" s="5"/>
      <c r="ATV734" s="5"/>
      <c r="ATW734" s="5"/>
      <c r="ATX734" s="5"/>
    </row>
    <row r="735" spans="1:1220" s="67" customFormat="1" ht="12.75" customHeight="1" x14ac:dyDescent="0.35">
      <c r="A735" s="76" t="s">
        <v>229</v>
      </c>
      <c r="B735" s="99" t="s">
        <v>354</v>
      </c>
      <c r="C735" s="76" t="s">
        <v>2635</v>
      </c>
      <c r="D735" s="142" t="s">
        <v>2635</v>
      </c>
      <c r="E735" s="76"/>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c r="DX735" s="5"/>
      <c r="DY735" s="5"/>
      <c r="DZ735" s="5"/>
      <c r="EA735" s="5"/>
      <c r="EB735" s="5"/>
      <c r="EC735" s="5"/>
      <c r="ED735" s="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s="5"/>
      <c r="FG735" s="5"/>
      <c r="FH735" s="5"/>
      <c r="FI735" s="5"/>
      <c r="FJ735" s="5"/>
      <c r="FK735" s="5"/>
      <c r="FL735" s="5"/>
      <c r="FM735" s="5"/>
      <c r="FN735" s="5"/>
      <c r="FO735" s="5"/>
      <c r="FP735" s="5"/>
      <c r="FQ735" s="5"/>
      <c r="FR735" s="5"/>
      <c r="FS735" s="5"/>
      <c r="FT735" s="5"/>
      <c r="FU735" s="5"/>
      <c r="FV735" s="5"/>
      <c r="FW735" s="5"/>
      <c r="FX735" s="5"/>
      <c r="FY735" s="5"/>
      <c r="FZ735" s="5"/>
      <c r="GA735" s="5"/>
      <c r="GB735" s="5"/>
      <c r="GC735" s="5"/>
      <c r="GD735" s="5"/>
      <c r="GE735" s="5"/>
      <c r="GF735" s="5"/>
      <c r="GG735" s="5"/>
      <c r="GH735" s="5"/>
      <c r="GI735" s="5"/>
      <c r="GJ735" s="5"/>
      <c r="GK735" s="5"/>
      <c r="GL735" s="5"/>
      <c r="GM735" s="5"/>
      <c r="GN735" s="5"/>
      <c r="GO735" s="5"/>
      <c r="GP735" s="5"/>
      <c r="GQ735" s="5"/>
      <c r="GR735" s="5"/>
      <c r="GS735" s="5"/>
      <c r="GT735" s="5"/>
      <c r="GU735" s="5"/>
      <c r="GV735" s="5"/>
      <c r="GW735" s="5"/>
      <c r="GX735" s="5"/>
      <c r="GY735" s="5"/>
      <c r="GZ735" s="5"/>
      <c r="HA735" s="5"/>
      <c r="HB735" s="5"/>
      <c r="HC735" s="5"/>
      <c r="HD735" s="5"/>
      <c r="HE735" s="5"/>
      <c r="HF735" s="5"/>
      <c r="HG735" s="5"/>
      <c r="HH735" s="5"/>
      <c r="HI735" s="5"/>
      <c r="HJ735" s="5"/>
      <c r="HK735" s="5"/>
      <c r="HL735" s="5"/>
      <c r="HM735" s="5"/>
      <c r="HN735" s="5"/>
      <c r="HO735" s="5"/>
      <c r="HP735" s="5"/>
      <c r="HQ735" s="5"/>
      <c r="HR735" s="5"/>
      <c r="HS735" s="5"/>
      <c r="HT735" s="5"/>
      <c r="HU735" s="5"/>
      <c r="HV735" s="5"/>
      <c r="HW735" s="5"/>
      <c r="HX735" s="5"/>
      <c r="HY735" s="5"/>
      <c r="HZ735" s="5"/>
      <c r="IA735" s="5"/>
      <c r="IB735" s="5"/>
      <c r="IC735" s="5"/>
      <c r="ID735" s="5"/>
      <c r="IE735" s="5"/>
      <c r="IF735" s="5"/>
      <c r="IG735" s="5"/>
      <c r="IH735" s="5"/>
      <c r="II735" s="5"/>
      <c r="IJ735" s="5"/>
      <c r="IK735" s="5"/>
      <c r="IL735" s="5"/>
      <c r="IM735" s="5"/>
      <c r="IN735" s="5"/>
      <c r="IO735" s="5"/>
      <c r="IP735" s="5"/>
      <c r="IQ735" s="5"/>
      <c r="IR735" s="5"/>
      <c r="IS735" s="5"/>
      <c r="IT735" s="5"/>
      <c r="IU735" s="5"/>
      <c r="IV735" s="5"/>
      <c r="IW735" s="5"/>
      <c r="IX735" s="5"/>
      <c r="IY735" s="5"/>
      <c r="IZ735" s="5"/>
      <c r="JA735" s="5"/>
      <c r="JB735" s="5"/>
      <c r="JC735" s="5"/>
      <c r="JD735" s="5"/>
      <c r="JE735" s="5"/>
      <c r="JF735" s="5"/>
      <c r="JG735" s="5"/>
      <c r="JH735" s="5"/>
      <c r="JI735" s="5"/>
      <c r="JJ735" s="5"/>
      <c r="JK735" s="5"/>
      <c r="JL735" s="5"/>
      <c r="JM735" s="5"/>
      <c r="JN735" s="5"/>
      <c r="JO735" s="5"/>
      <c r="JP735" s="5"/>
      <c r="JQ735" s="5"/>
      <c r="JR735" s="5"/>
      <c r="JS735" s="5"/>
      <c r="JT735" s="5"/>
      <c r="JU735" s="5"/>
      <c r="JV735" s="5"/>
      <c r="JW735" s="5"/>
      <c r="JX735" s="5"/>
      <c r="JY735" s="5"/>
      <c r="JZ735" s="5"/>
      <c r="KA735" s="5"/>
      <c r="KB735" s="5"/>
      <c r="KC735" s="5"/>
      <c r="KD735" s="5"/>
      <c r="KE735" s="5"/>
      <c r="KF735" s="5"/>
      <c r="KG735" s="5"/>
      <c r="KH735" s="5"/>
      <c r="KI735" s="5"/>
      <c r="KJ735" s="5"/>
      <c r="KK735" s="5"/>
      <c r="KL735" s="5"/>
      <c r="KM735" s="5"/>
      <c r="KN735" s="5"/>
      <c r="KO735" s="5"/>
      <c r="KP735" s="5"/>
      <c r="KQ735" s="5"/>
      <c r="KR735" s="5"/>
      <c r="KS735" s="5"/>
      <c r="KT735" s="5"/>
      <c r="KU735" s="5"/>
      <c r="KV735" s="5"/>
      <c r="KW735" s="5"/>
      <c r="KX735" s="5"/>
      <c r="KY735" s="5"/>
      <c r="KZ735" s="5"/>
      <c r="LA735" s="5"/>
      <c r="LB735" s="5"/>
      <c r="LC735" s="5"/>
      <c r="LD735" s="5"/>
      <c r="LE735" s="5"/>
      <c r="LF735" s="5"/>
      <c r="LG735" s="5"/>
      <c r="LH735" s="5"/>
      <c r="LI735" s="5"/>
      <c r="LJ735" s="5"/>
      <c r="LK735" s="5"/>
      <c r="LL735" s="5"/>
      <c r="LM735" s="5"/>
      <c r="LN735" s="5"/>
      <c r="LO735" s="5"/>
      <c r="LP735" s="5"/>
      <c r="LQ735" s="5"/>
      <c r="LR735" s="5"/>
      <c r="LS735" s="5"/>
      <c r="LT735" s="5"/>
      <c r="LU735" s="5"/>
      <c r="LV735" s="5"/>
      <c r="LW735" s="5"/>
      <c r="LX735" s="5"/>
      <c r="LY735" s="5"/>
      <c r="LZ735" s="5"/>
      <c r="MA735" s="5"/>
      <c r="MB735" s="5"/>
      <c r="MC735" s="5"/>
      <c r="MD735" s="5"/>
      <c r="ME735" s="5"/>
      <c r="MF735" s="5"/>
      <c r="MG735" s="5"/>
      <c r="MH735" s="5"/>
      <c r="MI735" s="5"/>
      <c r="MJ735" s="5"/>
      <c r="MK735" s="5"/>
      <c r="ML735" s="5"/>
      <c r="MM735" s="5"/>
      <c r="MN735" s="5"/>
      <c r="MO735" s="5"/>
      <c r="MP735" s="5"/>
      <c r="MQ735" s="5"/>
      <c r="MR735" s="5"/>
      <c r="MS735" s="5"/>
      <c r="MT735" s="5"/>
      <c r="MU735" s="5"/>
      <c r="MV735" s="5"/>
      <c r="MW735" s="5"/>
      <c r="MX735" s="5"/>
      <c r="MY735" s="5"/>
      <c r="MZ735" s="5"/>
      <c r="NA735" s="5"/>
      <c r="NB735" s="5"/>
      <c r="NC735" s="5"/>
      <c r="ND735" s="5"/>
      <c r="NE735" s="5"/>
      <c r="NF735" s="5"/>
      <c r="NG735" s="5"/>
      <c r="NH735" s="5"/>
      <c r="NI735" s="5"/>
      <c r="NJ735" s="5"/>
      <c r="NK735" s="5"/>
      <c r="NL735" s="5"/>
      <c r="NM735" s="5"/>
      <c r="NN735" s="5"/>
      <c r="NO735" s="5"/>
      <c r="NP735" s="5"/>
      <c r="NQ735" s="5"/>
      <c r="NR735" s="5"/>
      <c r="NS735" s="5"/>
      <c r="NT735" s="5"/>
      <c r="NU735" s="5"/>
      <c r="NV735" s="5"/>
      <c r="NW735" s="5"/>
      <c r="NX735" s="5"/>
      <c r="NY735" s="5"/>
      <c r="NZ735" s="5"/>
      <c r="OA735" s="5"/>
      <c r="OB735" s="5"/>
      <c r="OC735" s="5"/>
      <c r="OD735" s="5"/>
      <c r="OE735" s="5"/>
      <c r="OF735" s="5"/>
      <c r="OG735" s="5"/>
      <c r="OH735" s="5"/>
      <c r="OI735" s="5"/>
      <c r="OJ735" s="5"/>
      <c r="OK735" s="5"/>
      <c r="OL735" s="5"/>
      <c r="OM735" s="5"/>
      <c r="ON735" s="5"/>
      <c r="OO735" s="5"/>
      <c r="OP735" s="5"/>
      <c r="OQ735" s="5"/>
      <c r="OR735" s="5"/>
      <c r="OS735" s="5"/>
      <c r="OT735" s="5"/>
      <c r="OU735" s="5"/>
      <c r="OV735" s="5"/>
      <c r="OW735" s="5"/>
      <c r="OX735" s="5"/>
      <c r="OY735" s="5"/>
      <c r="OZ735" s="5"/>
      <c r="PA735" s="5"/>
      <c r="PB735" s="5"/>
      <c r="PC735" s="5"/>
      <c r="PD735" s="5"/>
      <c r="PE735" s="5"/>
      <c r="PF735" s="5"/>
      <c r="PG735" s="5"/>
      <c r="PH735" s="5"/>
      <c r="PI735" s="5"/>
      <c r="PJ735" s="5"/>
      <c r="PK735" s="5"/>
      <c r="PL735" s="5"/>
      <c r="PM735" s="5"/>
      <c r="PN735" s="5"/>
      <c r="PO735" s="5"/>
      <c r="PP735" s="5"/>
      <c r="PQ735" s="5"/>
      <c r="PR735" s="5"/>
      <c r="PS735" s="5"/>
      <c r="PT735" s="5"/>
      <c r="PU735" s="5"/>
      <c r="PV735" s="5"/>
      <c r="PW735" s="5"/>
      <c r="PX735" s="5"/>
      <c r="PY735" s="5"/>
      <c r="PZ735" s="5"/>
      <c r="QA735" s="5"/>
      <c r="QB735" s="5"/>
      <c r="QC735" s="5"/>
      <c r="QD735" s="5"/>
      <c r="QE735" s="5"/>
      <c r="QF735" s="5"/>
      <c r="QG735" s="5"/>
      <c r="QH735" s="5"/>
      <c r="QI735" s="5"/>
      <c r="QJ735" s="5"/>
      <c r="QK735" s="5"/>
      <c r="QL735" s="5"/>
      <c r="QM735" s="5"/>
      <c r="QN735" s="5"/>
      <c r="QO735" s="5"/>
      <c r="QP735" s="5"/>
      <c r="QQ735" s="5"/>
      <c r="QR735" s="5"/>
      <c r="QS735" s="5"/>
      <c r="QT735" s="5"/>
      <c r="QU735" s="5"/>
      <c r="QV735" s="5"/>
      <c r="QW735" s="5"/>
      <c r="QX735" s="5"/>
      <c r="QY735" s="5"/>
      <c r="QZ735" s="5"/>
      <c r="RA735" s="5"/>
      <c r="RB735" s="5"/>
      <c r="RC735" s="5"/>
      <c r="RD735" s="5"/>
      <c r="RE735" s="5"/>
      <c r="RF735" s="5"/>
      <c r="RG735" s="5"/>
      <c r="RH735" s="5"/>
      <c r="RI735" s="5"/>
      <c r="RJ735" s="5"/>
      <c r="RK735" s="5"/>
      <c r="RL735" s="5"/>
      <c r="RM735" s="5"/>
      <c r="RN735" s="5"/>
      <c r="RO735" s="5"/>
      <c r="RP735" s="5"/>
      <c r="RQ735" s="5"/>
      <c r="RR735" s="5"/>
      <c r="RS735" s="5"/>
      <c r="RT735" s="5"/>
      <c r="RU735" s="5"/>
      <c r="RV735" s="5"/>
      <c r="RW735" s="5"/>
      <c r="RX735" s="5"/>
      <c r="RY735" s="5"/>
      <c r="RZ735" s="5"/>
      <c r="SA735" s="5"/>
      <c r="SB735" s="5"/>
      <c r="SC735" s="5"/>
      <c r="SD735" s="5"/>
      <c r="SE735" s="5"/>
      <c r="SF735" s="5"/>
      <c r="SG735" s="5"/>
      <c r="SH735" s="5"/>
      <c r="SI735" s="5"/>
      <c r="SJ735" s="5"/>
      <c r="SK735" s="5"/>
      <c r="SL735" s="5"/>
      <c r="SM735" s="5"/>
      <c r="SN735" s="5"/>
      <c r="SO735" s="5"/>
      <c r="SP735" s="5"/>
      <c r="SQ735" s="5"/>
      <c r="SR735" s="5"/>
      <c r="SS735" s="5"/>
      <c r="ST735" s="5"/>
      <c r="SU735" s="5"/>
      <c r="SV735" s="5"/>
      <c r="SW735" s="5"/>
      <c r="SX735" s="5"/>
      <c r="SY735" s="5"/>
      <c r="SZ735" s="5"/>
      <c r="TA735" s="5"/>
      <c r="TB735" s="5"/>
      <c r="TC735" s="5"/>
      <c r="TD735" s="5"/>
      <c r="TE735" s="5"/>
      <c r="TF735" s="5"/>
      <c r="TG735" s="5"/>
      <c r="TH735" s="5"/>
      <c r="TI735" s="5"/>
      <c r="TJ735" s="5"/>
      <c r="TK735" s="5"/>
      <c r="TL735" s="5"/>
      <c r="TM735" s="5"/>
      <c r="TN735" s="5"/>
      <c r="TO735" s="5"/>
      <c r="TP735" s="5"/>
      <c r="TQ735" s="5"/>
      <c r="TR735" s="5"/>
      <c r="TS735" s="5"/>
      <c r="TT735" s="5"/>
      <c r="TU735" s="5"/>
      <c r="TV735" s="5"/>
      <c r="TW735" s="5"/>
      <c r="TX735" s="5"/>
      <c r="TY735" s="5"/>
      <c r="TZ735" s="5"/>
      <c r="UA735" s="5"/>
      <c r="UB735" s="5"/>
      <c r="UC735" s="5"/>
      <c r="UD735" s="5"/>
      <c r="UE735" s="5"/>
      <c r="UF735" s="5"/>
      <c r="UG735" s="5"/>
      <c r="UH735" s="5"/>
      <c r="UI735" s="5"/>
      <c r="UJ735" s="5"/>
      <c r="UK735" s="5"/>
      <c r="UL735" s="5"/>
      <c r="UM735" s="5"/>
      <c r="UN735" s="5"/>
      <c r="UO735" s="5"/>
      <c r="UP735" s="5"/>
      <c r="UQ735" s="5"/>
      <c r="UR735" s="5"/>
      <c r="US735" s="5"/>
      <c r="UT735" s="5"/>
      <c r="UU735" s="5"/>
      <c r="UV735" s="5"/>
      <c r="UW735" s="5"/>
      <c r="UX735" s="5"/>
      <c r="UY735" s="5"/>
      <c r="UZ735" s="5"/>
      <c r="VA735" s="5"/>
      <c r="VB735" s="5"/>
      <c r="VC735" s="5"/>
      <c r="VD735" s="5"/>
      <c r="VE735" s="5"/>
      <c r="VF735" s="5"/>
      <c r="VG735" s="5"/>
      <c r="VH735" s="5"/>
      <c r="VI735" s="5"/>
      <c r="VJ735" s="5"/>
      <c r="VK735" s="5"/>
      <c r="VL735" s="5"/>
      <c r="VM735" s="5"/>
      <c r="VN735" s="5"/>
      <c r="VO735" s="5"/>
      <c r="VP735" s="5"/>
      <c r="VQ735" s="5"/>
      <c r="VR735" s="5"/>
      <c r="VS735" s="5"/>
      <c r="VT735" s="5"/>
      <c r="VU735" s="5"/>
      <c r="VV735" s="5"/>
      <c r="VW735" s="5"/>
      <c r="VX735" s="5"/>
      <c r="VY735" s="5"/>
      <c r="VZ735" s="5"/>
      <c r="WA735" s="5"/>
      <c r="WB735" s="5"/>
      <c r="WC735" s="5"/>
      <c r="WD735" s="5"/>
      <c r="WE735" s="5"/>
      <c r="WF735" s="5"/>
      <c r="WG735" s="5"/>
      <c r="WH735" s="5"/>
      <c r="WI735" s="5"/>
      <c r="WJ735" s="5"/>
      <c r="WK735" s="5"/>
      <c r="WL735" s="5"/>
      <c r="WM735" s="5"/>
      <c r="WN735" s="5"/>
      <c r="WO735" s="5"/>
      <c r="WP735" s="5"/>
      <c r="WQ735" s="5"/>
      <c r="WR735" s="5"/>
      <c r="WS735" s="5"/>
      <c r="WT735" s="5"/>
      <c r="WU735" s="5"/>
      <c r="WV735" s="5"/>
      <c r="WW735" s="5"/>
      <c r="WX735" s="5"/>
      <c r="WY735" s="5"/>
      <c r="WZ735" s="5"/>
      <c r="XA735" s="5"/>
      <c r="XB735" s="5"/>
      <c r="XC735" s="5"/>
      <c r="XD735" s="5"/>
      <c r="XE735" s="5"/>
      <c r="XF735" s="5"/>
      <c r="XG735" s="5"/>
      <c r="XH735" s="5"/>
      <c r="XI735" s="5"/>
      <c r="XJ735" s="5"/>
      <c r="XK735" s="5"/>
      <c r="XL735" s="5"/>
      <c r="XM735" s="5"/>
      <c r="XN735" s="5"/>
      <c r="XO735" s="5"/>
      <c r="XP735" s="5"/>
      <c r="XQ735" s="5"/>
      <c r="XR735" s="5"/>
      <c r="XS735" s="5"/>
      <c r="XT735" s="5"/>
      <c r="XU735" s="5"/>
      <c r="XV735" s="5"/>
      <c r="XW735" s="5"/>
      <c r="XX735" s="5"/>
      <c r="XY735" s="5"/>
      <c r="XZ735" s="5"/>
      <c r="YA735" s="5"/>
      <c r="YB735" s="5"/>
      <c r="YC735" s="5"/>
      <c r="YD735" s="5"/>
      <c r="YE735" s="5"/>
      <c r="YF735" s="5"/>
      <c r="YG735" s="5"/>
      <c r="YH735" s="5"/>
      <c r="YI735" s="5"/>
      <c r="YJ735" s="5"/>
      <c r="YK735" s="5"/>
      <c r="YL735" s="5"/>
      <c r="YM735" s="5"/>
      <c r="YN735" s="5"/>
      <c r="YO735" s="5"/>
      <c r="YP735" s="5"/>
      <c r="YQ735" s="5"/>
      <c r="YR735" s="5"/>
      <c r="YS735" s="5"/>
      <c r="YT735" s="5"/>
      <c r="YU735" s="5"/>
      <c r="YV735" s="5"/>
      <c r="YW735" s="5"/>
      <c r="YX735" s="5"/>
      <c r="YY735" s="5"/>
      <c r="YZ735" s="5"/>
      <c r="ZA735" s="5"/>
      <c r="ZB735" s="5"/>
      <c r="ZC735" s="5"/>
      <c r="ZD735" s="5"/>
      <c r="ZE735" s="5"/>
      <c r="ZF735" s="5"/>
      <c r="ZG735" s="5"/>
      <c r="ZH735" s="5"/>
      <c r="ZI735" s="5"/>
      <c r="ZJ735" s="5"/>
      <c r="ZK735" s="5"/>
      <c r="ZL735" s="5"/>
      <c r="ZM735" s="5"/>
      <c r="ZN735" s="5"/>
      <c r="ZO735" s="5"/>
      <c r="ZP735" s="5"/>
      <c r="ZQ735" s="5"/>
      <c r="ZR735" s="5"/>
      <c r="ZS735" s="5"/>
      <c r="ZT735" s="5"/>
      <c r="ZU735" s="5"/>
      <c r="ZV735" s="5"/>
      <c r="ZW735" s="5"/>
      <c r="ZX735" s="5"/>
      <c r="ZY735" s="5"/>
      <c r="ZZ735" s="5"/>
      <c r="AAA735" s="5"/>
      <c r="AAB735" s="5"/>
      <c r="AAC735" s="5"/>
      <c r="AAD735" s="5"/>
      <c r="AAE735" s="5"/>
      <c r="AAF735" s="5"/>
      <c r="AAG735" s="5"/>
      <c r="AAH735" s="5"/>
      <c r="AAI735" s="5"/>
      <c r="AAJ735" s="5"/>
      <c r="AAK735" s="5"/>
      <c r="AAL735" s="5"/>
      <c r="AAM735" s="5"/>
      <c r="AAN735" s="5"/>
      <c r="AAO735" s="5"/>
      <c r="AAP735" s="5"/>
      <c r="AAQ735" s="5"/>
      <c r="AAR735" s="5"/>
      <c r="AAS735" s="5"/>
      <c r="AAT735" s="5"/>
      <c r="AAU735" s="5"/>
      <c r="AAV735" s="5"/>
      <c r="AAW735" s="5"/>
      <c r="AAX735" s="5"/>
      <c r="AAY735" s="5"/>
      <c r="AAZ735" s="5"/>
      <c r="ABA735" s="5"/>
      <c r="ABB735" s="5"/>
      <c r="ABC735" s="5"/>
      <c r="ABD735" s="5"/>
      <c r="ABE735" s="5"/>
      <c r="ABF735" s="5"/>
      <c r="ABG735" s="5"/>
      <c r="ABH735" s="5"/>
      <c r="ABI735" s="5"/>
      <c r="ABJ735" s="5"/>
      <c r="ABK735" s="5"/>
      <c r="ABL735" s="5"/>
      <c r="ABM735" s="5"/>
      <c r="ABN735" s="5"/>
      <c r="ABO735" s="5"/>
      <c r="ABP735" s="5"/>
      <c r="ABQ735" s="5"/>
      <c r="ABR735" s="5"/>
      <c r="ABS735" s="5"/>
      <c r="ABT735" s="5"/>
      <c r="ABU735" s="5"/>
      <c r="ABV735" s="5"/>
      <c r="ABW735" s="5"/>
      <c r="ABX735" s="5"/>
      <c r="ABY735" s="5"/>
      <c r="ABZ735" s="5"/>
      <c r="ACA735" s="5"/>
      <c r="ACB735" s="5"/>
      <c r="ACC735" s="5"/>
      <c r="ACD735" s="5"/>
      <c r="ACE735" s="5"/>
      <c r="ACF735" s="5"/>
      <c r="ACG735" s="5"/>
      <c r="ACH735" s="5"/>
      <c r="ACI735" s="5"/>
      <c r="ACJ735" s="5"/>
      <c r="ACK735" s="5"/>
      <c r="ACL735" s="5"/>
      <c r="ACM735" s="5"/>
      <c r="ACN735" s="5"/>
      <c r="ACO735" s="5"/>
      <c r="ACP735" s="5"/>
      <c r="ACQ735" s="5"/>
      <c r="ACR735" s="5"/>
      <c r="ACS735" s="5"/>
      <c r="ACT735" s="5"/>
      <c r="ACU735" s="5"/>
      <c r="ACV735" s="5"/>
      <c r="ACW735" s="5"/>
      <c r="ACX735" s="5"/>
      <c r="ACY735" s="5"/>
      <c r="ACZ735" s="5"/>
      <c r="ADA735" s="5"/>
      <c r="ADB735" s="5"/>
      <c r="ADC735" s="5"/>
      <c r="ADD735" s="5"/>
      <c r="ADE735" s="5"/>
      <c r="ADF735" s="5"/>
      <c r="ADG735" s="5"/>
      <c r="ADH735" s="5"/>
      <c r="ADI735" s="5"/>
      <c r="ADJ735" s="5"/>
      <c r="ADK735" s="5"/>
      <c r="ADL735" s="5"/>
      <c r="ADM735" s="5"/>
      <c r="ADN735" s="5"/>
      <c r="ADO735" s="5"/>
      <c r="ADP735" s="5"/>
      <c r="ADQ735" s="5"/>
      <c r="ADR735" s="5"/>
      <c r="ADS735" s="5"/>
      <c r="ADT735" s="5"/>
      <c r="ADU735" s="5"/>
      <c r="ADV735" s="5"/>
      <c r="ADW735" s="5"/>
      <c r="ADX735" s="5"/>
      <c r="ADY735" s="5"/>
      <c r="ADZ735" s="5"/>
      <c r="AEA735" s="5"/>
      <c r="AEB735" s="5"/>
      <c r="AEC735" s="5"/>
      <c r="AED735" s="5"/>
      <c r="AEE735" s="5"/>
      <c r="AEF735" s="5"/>
      <c r="AEG735" s="5"/>
      <c r="AEH735" s="5"/>
      <c r="AEI735" s="5"/>
      <c r="AEJ735" s="5"/>
      <c r="AEK735" s="5"/>
      <c r="AEL735" s="5"/>
      <c r="AEM735" s="5"/>
      <c r="AEN735" s="5"/>
      <c r="AEO735" s="5"/>
      <c r="AEP735" s="5"/>
      <c r="AEQ735" s="5"/>
      <c r="AER735" s="5"/>
      <c r="AES735" s="5"/>
      <c r="AET735" s="5"/>
      <c r="AEU735" s="5"/>
      <c r="AEV735" s="5"/>
      <c r="AEW735" s="5"/>
      <c r="AEX735" s="5"/>
      <c r="AEY735" s="5"/>
      <c r="AEZ735" s="5"/>
      <c r="AFA735" s="5"/>
      <c r="AFB735" s="5"/>
      <c r="AFC735" s="5"/>
      <c r="AFD735" s="5"/>
      <c r="AFE735" s="5"/>
      <c r="AFF735" s="5"/>
      <c r="AFG735" s="5"/>
      <c r="AFH735" s="5"/>
      <c r="AFI735" s="5"/>
      <c r="AFJ735" s="5"/>
      <c r="AFK735" s="5"/>
      <c r="AFL735" s="5"/>
      <c r="AFM735" s="5"/>
      <c r="AFN735" s="5"/>
      <c r="AFO735" s="5"/>
      <c r="AFP735" s="5"/>
      <c r="AFQ735" s="5"/>
      <c r="AFR735" s="5"/>
      <c r="AFS735" s="5"/>
      <c r="AFT735" s="5"/>
      <c r="AFU735" s="5"/>
      <c r="AFV735" s="5"/>
      <c r="AFW735" s="5"/>
      <c r="AFX735" s="5"/>
      <c r="AFY735" s="5"/>
      <c r="AFZ735" s="5"/>
      <c r="AGA735" s="5"/>
      <c r="AGB735" s="5"/>
      <c r="AGC735" s="5"/>
      <c r="AGD735" s="5"/>
      <c r="AGE735" s="5"/>
      <c r="AGF735" s="5"/>
      <c r="AGG735" s="5"/>
      <c r="AGH735" s="5"/>
      <c r="AGI735" s="5"/>
      <c r="AGJ735" s="5"/>
      <c r="AGK735" s="5"/>
      <c r="AGL735" s="5"/>
      <c r="AGM735" s="5"/>
      <c r="AGN735" s="5"/>
      <c r="AGO735" s="5"/>
      <c r="AGP735" s="5"/>
      <c r="AGQ735" s="5"/>
      <c r="AGR735" s="5"/>
      <c r="AGS735" s="5"/>
      <c r="AGT735" s="5"/>
      <c r="AGU735" s="5"/>
      <c r="AGV735" s="5"/>
      <c r="AGW735" s="5"/>
      <c r="AGX735" s="5"/>
      <c r="AGY735" s="5"/>
      <c r="AGZ735" s="5"/>
      <c r="AHA735" s="5"/>
      <c r="AHB735" s="5"/>
      <c r="AHC735" s="5"/>
      <c r="AHD735" s="5"/>
      <c r="AHE735" s="5"/>
      <c r="AHF735" s="5"/>
      <c r="AHG735" s="5"/>
      <c r="AHH735" s="5"/>
      <c r="AHI735" s="5"/>
      <c r="AHJ735" s="5"/>
      <c r="AHK735" s="5"/>
      <c r="AHL735" s="5"/>
      <c r="AHM735" s="5"/>
      <c r="AHN735" s="5"/>
      <c r="AHO735" s="5"/>
      <c r="AHP735" s="5"/>
      <c r="AHQ735" s="5"/>
      <c r="AHR735" s="5"/>
      <c r="AHS735" s="5"/>
      <c r="AHT735" s="5"/>
      <c r="AHU735" s="5"/>
      <c r="AHV735" s="5"/>
      <c r="AHW735" s="5"/>
      <c r="AHX735" s="5"/>
      <c r="AHY735" s="5"/>
      <c r="AHZ735" s="5"/>
      <c r="AIA735" s="5"/>
      <c r="AIB735" s="5"/>
      <c r="AIC735" s="5"/>
      <c r="AID735" s="5"/>
      <c r="AIE735" s="5"/>
      <c r="AIF735" s="5"/>
      <c r="AIG735" s="5"/>
      <c r="AIH735" s="5"/>
      <c r="AII735" s="5"/>
      <c r="AIJ735" s="5"/>
      <c r="AIK735" s="5"/>
      <c r="AIL735" s="5"/>
      <c r="AIM735" s="5"/>
      <c r="AIN735" s="5"/>
      <c r="AIO735" s="5"/>
      <c r="AIP735" s="5"/>
      <c r="AIQ735" s="5"/>
      <c r="AIR735" s="5"/>
      <c r="AIS735" s="5"/>
      <c r="AIT735" s="5"/>
      <c r="AIU735" s="5"/>
      <c r="AIV735" s="5"/>
      <c r="AIW735" s="5"/>
      <c r="AIX735" s="5"/>
      <c r="AIY735" s="5"/>
      <c r="AIZ735" s="5"/>
      <c r="AJA735" s="5"/>
      <c r="AJB735" s="5"/>
      <c r="AJC735" s="5"/>
      <c r="AJD735" s="5"/>
      <c r="AJE735" s="5"/>
      <c r="AJF735" s="5"/>
      <c r="AJG735" s="5"/>
      <c r="AJH735" s="5"/>
      <c r="AJI735" s="5"/>
      <c r="AJJ735" s="5"/>
      <c r="AJK735" s="5"/>
      <c r="AJL735" s="5"/>
      <c r="AJM735" s="5"/>
      <c r="AJN735" s="5"/>
      <c r="AJO735" s="5"/>
      <c r="AJP735" s="5"/>
      <c r="AJQ735" s="5"/>
      <c r="AJR735" s="5"/>
      <c r="AJS735" s="5"/>
      <c r="AJT735" s="5"/>
      <c r="AJU735" s="5"/>
      <c r="AJV735" s="5"/>
      <c r="AJW735" s="5"/>
      <c r="AJX735" s="5"/>
      <c r="AJY735" s="5"/>
      <c r="AJZ735" s="5"/>
      <c r="AKA735" s="5"/>
      <c r="AKB735" s="5"/>
      <c r="AKC735" s="5"/>
      <c r="AKD735" s="5"/>
      <c r="AKE735" s="5"/>
      <c r="AKF735" s="5"/>
      <c r="AKG735" s="5"/>
      <c r="AKH735" s="5"/>
      <c r="AKI735" s="5"/>
      <c r="AKJ735" s="5"/>
      <c r="AKK735" s="5"/>
      <c r="AKL735" s="5"/>
      <c r="AKM735" s="5"/>
      <c r="AKN735" s="5"/>
      <c r="AKO735" s="5"/>
      <c r="AKP735" s="5"/>
      <c r="AKQ735" s="5"/>
      <c r="AKR735" s="5"/>
      <c r="AKS735" s="5"/>
      <c r="AKT735" s="5"/>
      <c r="AKU735" s="5"/>
      <c r="AKV735" s="5"/>
      <c r="AKW735" s="5"/>
      <c r="AKX735" s="5"/>
      <c r="AKY735" s="5"/>
      <c r="AKZ735" s="5"/>
      <c r="ALA735" s="5"/>
      <c r="ALB735" s="5"/>
      <c r="ALC735" s="5"/>
      <c r="ALD735" s="5"/>
      <c r="ALE735" s="5"/>
      <c r="ALF735" s="5"/>
      <c r="ALG735" s="5"/>
      <c r="ALH735" s="5"/>
      <c r="ALI735" s="5"/>
      <c r="ALJ735" s="5"/>
      <c r="ALK735" s="5"/>
      <c r="ALL735" s="5"/>
      <c r="ALM735" s="5"/>
      <c r="ALN735" s="5"/>
      <c r="ALO735" s="5"/>
      <c r="ALP735" s="5"/>
      <c r="ALQ735" s="5"/>
      <c r="ALR735" s="5"/>
      <c r="ALS735" s="5"/>
      <c r="ALT735" s="5"/>
      <c r="ALU735" s="5"/>
      <c r="ALV735" s="5"/>
      <c r="ALW735" s="5"/>
      <c r="ALX735" s="5"/>
      <c r="ALY735" s="5"/>
      <c r="ALZ735" s="5"/>
      <c r="AMA735" s="5"/>
      <c r="AMB735" s="5"/>
      <c r="AMC735" s="5"/>
      <c r="AMD735" s="5"/>
      <c r="AME735" s="5"/>
      <c r="AMF735" s="5"/>
      <c r="AMG735" s="5"/>
      <c r="AMH735" s="5"/>
      <c r="AMI735" s="5"/>
      <c r="AMJ735" s="5"/>
      <c r="AMK735" s="5"/>
      <c r="AML735" s="5"/>
      <c r="AMM735" s="5"/>
      <c r="AMN735" s="5"/>
      <c r="AMO735" s="5"/>
      <c r="AMP735" s="5"/>
      <c r="AMQ735" s="5"/>
      <c r="AMR735" s="5"/>
      <c r="AMS735" s="5"/>
      <c r="AMT735" s="5"/>
      <c r="AMU735" s="5"/>
      <c r="AMV735" s="5"/>
      <c r="AMW735" s="5"/>
      <c r="AMX735" s="5"/>
      <c r="AMY735" s="5"/>
      <c r="AMZ735" s="5"/>
      <c r="ANA735" s="5"/>
      <c r="ANB735" s="5"/>
      <c r="ANC735" s="5"/>
      <c r="AND735" s="5"/>
      <c r="ANE735" s="5"/>
      <c r="ANF735" s="5"/>
      <c r="ANG735" s="5"/>
      <c r="ANH735" s="5"/>
      <c r="ANI735" s="5"/>
      <c r="ANJ735" s="5"/>
      <c r="ANK735" s="5"/>
      <c r="ANL735" s="5"/>
      <c r="ANM735" s="5"/>
      <c r="ANN735" s="5"/>
      <c r="ANO735" s="5"/>
      <c r="ANP735" s="5"/>
      <c r="ANQ735" s="5"/>
      <c r="ANR735" s="5"/>
      <c r="ANS735" s="5"/>
      <c r="ANT735" s="5"/>
      <c r="ANU735" s="5"/>
      <c r="ANV735" s="5"/>
      <c r="ANW735" s="5"/>
      <c r="ANX735" s="5"/>
      <c r="ANY735" s="5"/>
      <c r="ANZ735" s="5"/>
      <c r="AOA735" s="5"/>
      <c r="AOB735" s="5"/>
      <c r="AOC735" s="5"/>
      <c r="AOD735" s="5"/>
      <c r="AOE735" s="5"/>
      <c r="AOF735" s="5"/>
      <c r="AOG735" s="5"/>
      <c r="AOH735" s="5"/>
      <c r="AOI735" s="5"/>
      <c r="AOJ735" s="5"/>
      <c r="AOK735" s="5"/>
      <c r="AOL735" s="5"/>
      <c r="AOM735" s="5"/>
      <c r="AON735" s="5"/>
      <c r="AOO735" s="5"/>
      <c r="AOP735" s="5"/>
      <c r="AOQ735" s="5"/>
      <c r="AOR735" s="5"/>
      <c r="AOS735" s="5"/>
      <c r="AOT735" s="5"/>
      <c r="AOU735" s="5"/>
      <c r="AOV735" s="5"/>
      <c r="AOW735" s="5"/>
      <c r="AOX735" s="5"/>
      <c r="AOY735" s="5"/>
      <c r="AOZ735" s="5"/>
      <c r="APA735" s="5"/>
      <c r="APB735" s="5"/>
      <c r="APC735" s="5"/>
      <c r="APD735" s="5"/>
      <c r="APE735" s="5"/>
      <c r="APF735" s="5"/>
      <c r="APG735" s="5"/>
      <c r="APH735" s="5"/>
      <c r="API735" s="5"/>
      <c r="APJ735" s="5"/>
      <c r="APK735" s="5"/>
      <c r="APL735" s="5"/>
      <c r="APM735" s="5"/>
      <c r="APN735" s="5"/>
      <c r="APO735" s="5"/>
      <c r="APP735" s="5"/>
      <c r="APQ735" s="5"/>
      <c r="APR735" s="5"/>
      <c r="APS735" s="5"/>
      <c r="APT735" s="5"/>
      <c r="APU735" s="5"/>
      <c r="APV735" s="5"/>
      <c r="APW735" s="5"/>
      <c r="APX735" s="5"/>
      <c r="APY735" s="5"/>
      <c r="APZ735" s="5"/>
      <c r="AQA735" s="5"/>
      <c r="AQB735" s="5"/>
      <c r="AQC735" s="5"/>
      <c r="AQD735" s="5"/>
      <c r="AQE735" s="5"/>
      <c r="AQF735" s="5"/>
      <c r="AQG735" s="5"/>
      <c r="AQH735" s="5"/>
      <c r="AQI735" s="5"/>
      <c r="AQJ735" s="5"/>
      <c r="AQK735" s="5"/>
      <c r="AQL735" s="5"/>
      <c r="AQM735" s="5"/>
      <c r="AQN735" s="5"/>
      <c r="AQO735" s="5"/>
      <c r="AQP735" s="5"/>
      <c r="AQQ735" s="5"/>
      <c r="AQR735" s="5"/>
      <c r="AQS735" s="5"/>
      <c r="AQT735" s="5"/>
      <c r="AQU735" s="5"/>
      <c r="AQV735" s="5"/>
      <c r="AQW735" s="5"/>
      <c r="AQX735" s="5"/>
      <c r="AQY735" s="5"/>
      <c r="AQZ735" s="5"/>
      <c r="ARA735" s="5"/>
      <c r="ARB735" s="5"/>
      <c r="ARC735" s="5"/>
      <c r="ARD735" s="5"/>
      <c r="ARE735" s="5"/>
      <c r="ARF735" s="5"/>
      <c r="ARG735" s="5"/>
      <c r="ARH735" s="5"/>
      <c r="ARI735" s="5"/>
      <c r="ARJ735" s="5"/>
      <c r="ARK735" s="5"/>
      <c r="ARL735" s="5"/>
      <c r="ARM735" s="5"/>
      <c r="ARN735" s="5"/>
      <c r="ARO735" s="5"/>
      <c r="ARP735" s="5"/>
      <c r="ARQ735" s="5"/>
      <c r="ARR735" s="5"/>
      <c r="ARS735" s="5"/>
      <c r="ART735" s="5"/>
      <c r="ARU735" s="5"/>
      <c r="ARV735" s="5"/>
      <c r="ARW735" s="5"/>
      <c r="ARX735" s="5"/>
      <c r="ARY735" s="5"/>
      <c r="ARZ735" s="5"/>
      <c r="ASA735" s="5"/>
      <c r="ASB735" s="5"/>
      <c r="ASC735" s="5"/>
      <c r="ASD735" s="5"/>
      <c r="ASE735" s="5"/>
      <c r="ASF735" s="5"/>
      <c r="ASG735" s="5"/>
      <c r="ASH735" s="5"/>
      <c r="ASI735" s="5"/>
      <c r="ASJ735" s="5"/>
      <c r="ASK735" s="5"/>
      <c r="ASL735" s="5"/>
      <c r="ASM735" s="5"/>
      <c r="ASN735" s="5"/>
      <c r="ASO735" s="5"/>
      <c r="ASP735" s="5"/>
      <c r="ASQ735" s="5"/>
      <c r="ASR735" s="5"/>
      <c r="ASS735" s="5"/>
      <c r="AST735" s="5"/>
      <c r="ASU735" s="5"/>
      <c r="ASV735" s="5"/>
      <c r="ASW735" s="5"/>
      <c r="ASX735" s="5"/>
      <c r="ASY735" s="5"/>
      <c r="ASZ735" s="5"/>
      <c r="ATA735" s="5"/>
      <c r="ATB735" s="5"/>
      <c r="ATC735" s="5"/>
      <c r="ATD735" s="5"/>
      <c r="ATE735" s="5"/>
      <c r="ATF735" s="5"/>
      <c r="ATG735" s="5"/>
      <c r="ATH735" s="5"/>
      <c r="ATI735" s="5"/>
      <c r="ATJ735" s="5"/>
      <c r="ATK735" s="5"/>
      <c r="ATL735" s="5"/>
      <c r="ATM735" s="5"/>
      <c r="ATN735" s="5"/>
      <c r="ATO735" s="5"/>
      <c r="ATP735" s="5"/>
      <c r="ATQ735" s="5"/>
      <c r="ATR735" s="5"/>
      <c r="ATS735" s="5"/>
      <c r="ATT735" s="5"/>
      <c r="ATU735" s="5"/>
      <c r="ATV735" s="5"/>
      <c r="ATW735" s="5"/>
      <c r="ATX735" s="5"/>
    </row>
    <row r="736" spans="1:1220" s="67" customFormat="1" ht="12.75" customHeight="1" x14ac:dyDescent="0.35">
      <c r="A736" s="76" t="s">
        <v>229</v>
      </c>
      <c r="B736" s="99" t="s">
        <v>359</v>
      </c>
      <c r="C736" s="76" t="s">
        <v>2636</v>
      </c>
      <c r="D736" s="142" t="s">
        <v>2636</v>
      </c>
      <c r="E736" s="76"/>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c r="FK736" s="5"/>
      <c r="FL736" s="5"/>
      <c r="FM736" s="5"/>
      <c r="FN736" s="5"/>
      <c r="FO736" s="5"/>
      <c r="FP736" s="5"/>
      <c r="FQ736" s="5"/>
      <c r="FR736" s="5"/>
      <c r="FS736" s="5"/>
      <c r="FT736" s="5"/>
      <c r="FU736" s="5"/>
      <c r="FV736" s="5"/>
      <c r="FW736" s="5"/>
      <c r="FX736" s="5"/>
      <c r="FY736" s="5"/>
      <c r="FZ736" s="5"/>
      <c r="GA736" s="5"/>
      <c r="GB736" s="5"/>
      <c r="GC736" s="5"/>
      <c r="GD736" s="5"/>
      <c r="GE736" s="5"/>
      <c r="GF736" s="5"/>
      <c r="GG736" s="5"/>
      <c r="GH736" s="5"/>
      <c r="GI736" s="5"/>
      <c r="GJ736" s="5"/>
      <c r="GK736" s="5"/>
      <c r="GL736" s="5"/>
      <c r="GM736" s="5"/>
      <c r="GN736" s="5"/>
      <c r="GO736" s="5"/>
      <c r="GP736" s="5"/>
      <c r="GQ736" s="5"/>
      <c r="GR736" s="5"/>
      <c r="GS736" s="5"/>
      <c r="GT736" s="5"/>
      <c r="GU736" s="5"/>
      <c r="GV736" s="5"/>
      <c r="GW736" s="5"/>
      <c r="GX736" s="5"/>
      <c r="GY736" s="5"/>
      <c r="GZ736" s="5"/>
      <c r="HA736" s="5"/>
      <c r="HB736" s="5"/>
      <c r="HC736" s="5"/>
      <c r="HD736" s="5"/>
      <c r="HE736" s="5"/>
      <c r="HF736" s="5"/>
      <c r="HG736" s="5"/>
      <c r="HH736" s="5"/>
      <c r="HI736" s="5"/>
      <c r="HJ736" s="5"/>
      <c r="HK736" s="5"/>
      <c r="HL736" s="5"/>
      <c r="HM736" s="5"/>
      <c r="HN736" s="5"/>
      <c r="HO736" s="5"/>
      <c r="HP736" s="5"/>
      <c r="HQ736" s="5"/>
      <c r="HR736" s="5"/>
      <c r="HS736" s="5"/>
      <c r="HT736" s="5"/>
      <c r="HU736" s="5"/>
      <c r="HV736" s="5"/>
      <c r="HW736" s="5"/>
      <c r="HX736" s="5"/>
      <c r="HY736" s="5"/>
      <c r="HZ736" s="5"/>
      <c r="IA736" s="5"/>
      <c r="IB736" s="5"/>
      <c r="IC736" s="5"/>
      <c r="ID736" s="5"/>
      <c r="IE736" s="5"/>
      <c r="IF736" s="5"/>
      <c r="IG736" s="5"/>
      <c r="IH736" s="5"/>
      <c r="II736" s="5"/>
      <c r="IJ736" s="5"/>
      <c r="IK736" s="5"/>
      <c r="IL736" s="5"/>
      <c r="IM736" s="5"/>
      <c r="IN736" s="5"/>
      <c r="IO736" s="5"/>
      <c r="IP736" s="5"/>
      <c r="IQ736" s="5"/>
      <c r="IR736" s="5"/>
      <c r="IS736" s="5"/>
      <c r="IT736" s="5"/>
      <c r="IU736" s="5"/>
      <c r="IV736" s="5"/>
      <c r="IW736" s="5"/>
      <c r="IX736" s="5"/>
      <c r="IY736" s="5"/>
      <c r="IZ736" s="5"/>
      <c r="JA736" s="5"/>
      <c r="JB736" s="5"/>
      <c r="JC736" s="5"/>
      <c r="JD736" s="5"/>
      <c r="JE736" s="5"/>
      <c r="JF736" s="5"/>
      <c r="JG736" s="5"/>
      <c r="JH736" s="5"/>
      <c r="JI736" s="5"/>
      <c r="JJ736" s="5"/>
      <c r="JK736" s="5"/>
      <c r="JL736" s="5"/>
      <c r="JM736" s="5"/>
      <c r="JN736" s="5"/>
      <c r="JO736" s="5"/>
      <c r="JP736" s="5"/>
      <c r="JQ736" s="5"/>
      <c r="JR736" s="5"/>
      <c r="JS736" s="5"/>
      <c r="JT736" s="5"/>
      <c r="JU736" s="5"/>
      <c r="JV736" s="5"/>
      <c r="JW736" s="5"/>
      <c r="JX736" s="5"/>
      <c r="JY736" s="5"/>
      <c r="JZ736" s="5"/>
      <c r="KA736" s="5"/>
      <c r="KB736" s="5"/>
      <c r="KC736" s="5"/>
      <c r="KD736" s="5"/>
      <c r="KE736" s="5"/>
      <c r="KF736" s="5"/>
      <c r="KG736" s="5"/>
      <c r="KH736" s="5"/>
      <c r="KI736" s="5"/>
      <c r="KJ736" s="5"/>
      <c r="KK736" s="5"/>
      <c r="KL736" s="5"/>
      <c r="KM736" s="5"/>
      <c r="KN736" s="5"/>
      <c r="KO736" s="5"/>
      <c r="KP736" s="5"/>
      <c r="KQ736" s="5"/>
      <c r="KR736" s="5"/>
      <c r="KS736" s="5"/>
      <c r="KT736" s="5"/>
      <c r="KU736" s="5"/>
      <c r="KV736" s="5"/>
      <c r="KW736" s="5"/>
      <c r="KX736" s="5"/>
      <c r="KY736" s="5"/>
      <c r="KZ736" s="5"/>
      <c r="LA736" s="5"/>
      <c r="LB736" s="5"/>
      <c r="LC736" s="5"/>
      <c r="LD736" s="5"/>
      <c r="LE736" s="5"/>
      <c r="LF736" s="5"/>
      <c r="LG736" s="5"/>
      <c r="LH736" s="5"/>
      <c r="LI736" s="5"/>
      <c r="LJ736" s="5"/>
      <c r="LK736" s="5"/>
      <c r="LL736" s="5"/>
      <c r="LM736" s="5"/>
      <c r="LN736" s="5"/>
      <c r="LO736" s="5"/>
      <c r="LP736" s="5"/>
      <c r="LQ736" s="5"/>
      <c r="LR736" s="5"/>
      <c r="LS736" s="5"/>
      <c r="LT736" s="5"/>
      <c r="LU736" s="5"/>
      <c r="LV736" s="5"/>
      <c r="LW736" s="5"/>
      <c r="LX736" s="5"/>
      <c r="LY736" s="5"/>
      <c r="LZ736" s="5"/>
      <c r="MA736" s="5"/>
      <c r="MB736" s="5"/>
      <c r="MC736" s="5"/>
      <c r="MD736" s="5"/>
      <c r="ME736" s="5"/>
      <c r="MF736" s="5"/>
      <c r="MG736" s="5"/>
      <c r="MH736" s="5"/>
      <c r="MI736" s="5"/>
      <c r="MJ736" s="5"/>
      <c r="MK736" s="5"/>
      <c r="ML736" s="5"/>
      <c r="MM736" s="5"/>
      <c r="MN736" s="5"/>
      <c r="MO736" s="5"/>
      <c r="MP736" s="5"/>
      <c r="MQ736" s="5"/>
      <c r="MR736" s="5"/>
      <c r="MS736" s="5"/>
      <c r="MT736" s="5"/>
      <c r="MU736" s="5"/>
      <c r="MV736" s="5"/>
      <c r="MW736" s="5"/>
      <c r="MX736" s="5"/>
      <c r="MY736" s="5"/>
      <c r="MZ736" s="5"/>
      <c r="NA736" s="5"/>
      <c r="NB736" s="5"/>
      <c r="NC736" s="5"/>
      <c r="ND736" s="5"/>
      <c r="NE736" s="5"/>
      <c r="NF736" s="5"/>
      <c r="NG736" s="5"/>
      <c r="NH736" s="5"/>
      <c r="NI736" s="5"/>
      <c r="NJ736" s="5"/>
      <c r="NK736" s="5"/>
      <c r="NL736" s="5"/>
      <c r="NM736" s="5"/>
      <c r="NN736" s="5"/>
      <c r="NO736" s="5"/>
      <c r="NP736" s="5"/>
      <c r="NQ736" s="5"/>
      <c r="NR736" s="5"/>
      <c r="NS736" s="5"/>
      <c r="NT736" s="5"/>
      <c r="NU736" s="5"/>
      <c r="NV736" s="5"/>
      <c r="NW736" s="5"/>
      <c r="NX736" s="5"/>
      <c r="NY736" s="5"/>
      <c r="NZ736" s="5"/>
      <c r="OA736" s="5"/>
      <c r="OB736" s="5"/>
      <c r="OC736" s="5"/>
      <c r="OD736" s="5"/>
      <c r="OE736" s="5"/>
      <c r="OF736" s="5"/>
      <c r="OG736" s="5"/>
      <c r="OH736" s="5"/>
      <c r="OI736" s="5"/>
      <c r="OJ736" s="5"/>
      <c r="OK736" s="5"/>
      <c r="OL736" s="5"/>
      <c r="OM736" s="5"/>
      <c r="ON736" s="5"/>
      <c r="OO736" s="5"/>
      <c r="OP736" s="5"/>
      <c r="OQ736" s="5"/>
      <c r="OR736" s="5"/>
      <c r="OS736" s="5"/>
      <c r="OT736" s="5"/>
      <c r="OU736" s="5"/>
      <c r="OV736" s="5"/>
      <c r="OW736" s="5"/>
      <c r="OX736" s="5"/>
      <c r="OY736" s="5"/>
      <c r="OZ736" s="5"/>
      <c r="PA736" s="5"/>
      <c r="PB736" s="5"/>
      <c r="PC736" s="5"/>
      <c r="PD736" s="5"/>
      <c r="PE736" s="5"/>
      <c r="PF736" s="5"/>
      <c r="PG736" s="5"/>
      <c r="PH736" s="5"/>
      <c r="PI736" s="5"/>
      <c r="PJ736" s="5"/>
      <c r="PK736" s="5"/>
      <c r="PL736" s="5"/>
      <c r="PM736" s="5"/>
      <c r="PN736" s="5"/>
      <c r="PO736" s="5"/>
      <c r="PP736" s="5"/>
      <c r="PQ736" s="5"/>
      <c r="PR736" s="5"/>
      <c r="PS736" s="5"/>
      <c r="PT736" s="5"/>
      <c r="PU736" s="5"/>
      <c r="PV736" s="5"/>
      <c r="PW736" s="5"/>
      <c r="PX736" s="5"/>
      <c r="PY736" s="5"/>
      <c r="PZ736" s="5"/>
      <c r="QA736" s="5"/>
      <c r="QB736" s="5"/>
      <c r="QC736" s="5"/>
      <c r="QD736" s="5"/>
      <c r="QE736" s="5"/>
      <c r="QF736" s="5"/>
      <c r="QG736" s="5"/>
      <c r="QH736" s="5"/>
      <c r="QI736" s="5"/>
      <c r="QJ736" s="5"/>
      <c r="QK736" s="5"/>
      <c r="QL736" s="5"/>
      <c r="QM736" s="5"/>
      <c r="QN736" s="5"/>
      <c r="QO736" s="5"/>
      <c r="QP736" s="5"/>
      <c r="QQ736" s="5"/>
      <c r="QR736" s="5"/>
      <c r="QS736" s="5"/>
      <c r="QT736" s="5"/>
      <c r="QU736" s="5"/>
      <c r="QV736" s="5"/>
      <c r="QW736" s="5"/>
      <c r="QX736" s="5"/>
      <c r="QY736" s="5"/>
      <c r="QZ736" s="5"/>
      <c r="RA736" s="5"/>
      <c r="RB736" s="5"/>
      <c r="RC736" s="5"/>
      <c r="RD736" s="5"/>
      <c r="RE736" s="5"/>
      <c r="RF736" s="5"/>
      <c r="RG736" s="5"/>
      <c r="RH736" s="5"/>
      <c r="RI736" s="5"/>
      <c r="RJ736" s="5"/>
      <c r="RK736" s="5"/>
      <c r="RL736" s="5"/>
      <c r="RM736" s="5"/>
      <c r="RN736" s="5"/>
      <c r="RO736" s="5"/>
      <c r="RP736" s="5"/>
      <c r="RQ736" s="5"/>
      <c r="RR736" s="5"/>
      <c r="RS736" s="5"/>
      <c r="RT736" s="5"/>
      <c r="RU736" s="5"/>
      <c r="RV736" s="5"/>
      <c r="RW736" s="5"/>
      <c r="RX736" s="5"/>
      <c r="RY736" s="5"/>
      <c r="RZ736" s="5"/>
      <c r="SA736" s="5"/>
      <c r="SB736" s="5"/>
      <c r="SC736" s="5"/>
      <c r="SD736" s="5"/>
      <c r="SE736" s="5"/>
      <c r="SF736" s="5"/>
      <c r="SG736" s="5"/>
      <c r="SH736" s="5"/>
      <c r="SI736" s="5"/>
      <c r="SJ736" s="5"/>
      <c r="SK736" s="5"/>
      <c r="SL736" s="5"/>
      <c r="SM736" s="5"/>
      <c r="SN736" s="5"/>
      <c r="SO736" s="5"/>
      <c r="SP736" s="5"/>
      <c r="SQ736" s="5"/>
      <c r="SR736" s="5"/>
      <c r="SS736" s="5"/>
      <c r="ST736" s="5"/>
      <c r="SU736" s="5"/>
      <c r="SV736" s="5"/>
      <c r="SW736" s="5"/>
      <c r="SX736" s="5"/>
      <c r="SY736" s="5"/>
      <c r="SZ736" s="5"/>
      <c r="TA736" s="5"/>
      <c r="TB736" s="5"/>
      <c r="TC736" s="5"/>
      <c r="TD736" s="5"/>
      <c r="TE736" s="5"/>
      <c r="TF736" s="5"/>
      <c r="TG736" s="5"/>
      <c r="TH736" s="5"/>
      <c r="TI736" s="5"/>
      <c r="TJ736" s="5"/>
      <c r="TK736" s="5"/>
      <c r="TL736" s="5"/>
      <c r="TM736" s="5"/>
      <c r="TN736" s="5"/>
      <c r="TO736" s="5"/>
      <c r="TP736" s="5"/>
      <c r="TQ736" s="5"/>
      <c r="TR736" s="5"/>
      <c r="TS736" s="5"/>
      <c r="TT736" s="5"/>
      <c r="TU736" s="5"/>
      <c r="TV736" s="5"/>
      <c r="TW736" s="5"/>
      <c r="TX736" s="5"/>
      <c r="TY736" s="5"/>
      <c r="TZ736" s="5"/>
      <c r="UA736" s="5"/>
      <c r="UB736" s="5"/>
      <c r="UC736" s="5"/>
      <c r="UD736" s="5"/>
      <c r="UE736" s="5"/>
      <c r="UF736" s="5"/>
      <c r="UG736" s="5"/>
      <c r="UH736" s="5"/>
      <c r="UI736" s="5"/>
      <c r="UJ736" s="5"/>
      <c r="UK736" s="5"/>
      <c r="UL736" s="5"/>
      <c r="UM736" s="5"/>
      <c r="UN736" s="5"/>
      <c r="UO736" s="5"/>
      <c r="UP736" s="5"/>
      <c r="UQ736" s="5"/>
      <c r="UR736" s="5"/>
      <c r="US736" s="5"/>
      <c r="UT736" s="5"/>
      <c r="UU736" s="5"/>
      <c r="UV736" s="5"/>
      <c r="UW736" s="5"/>
      <c r="UX736" s="5"/>
      <c r="UY736" s="5"/>
      <c r="UZ736" s="5"/>
      <c r="VA736" s="5"/>
      <c r="VB736" s="5"/>
      <c r="VC736" s="5"/>
      <c r="VD736" s="5"/>
      <c r="VE736" s="5"/>
      <c r="VF736" s="5"/>
      <c r="VG736" s="5"/>
      <c r="VH736" s="5"/>
      <c r="VI736" s="5"/>
      <c r="VJ736" s="5"/>
      <c r="VK736" s="5"/>
      <c r="VL736" s="5"/>
      <c r="VM736" s="5"/>
      <c r="VN736" s="5"/>
      <c r="VO736" s="5"/>
      <c r="VP736" s="5"/>
      <c r="VQ736" s="5"/>
      <c r="VR736" s="5"/>
      <c r="VS736" s="5"/>
      <c r="VT736" s="5"/>
      <c r="VU736" s="5"/>
      <c r="VV736" s="5"/>
      <c r="VW736" s="5"/>
      <c r="VX736" s="5"/>
      <c r="VY736" s="5"/>
      <c r="VZ736" s="5"/>
      <c r="WA736" s="5"/>
      <c r="WB736" s="5"/>
      <c r="WC736" s="5"/>
      <c r="WD736" s="5"/>
      <c r="WE736" s="5"/>
      <c r="WF736" s="5"/>
      <c r="WG736" s="5"/>
      <c r="WH736" s="5"/>
      <c r="WI736" s="5"/>
      <c r="WJ736" s="5"/>
      <c r="WK736" s="5"/>
      <c r="WL736" s="5"/>
      <c r="WM736" s="5"/>
      <c r="WN736" s="5"/>
      <c r="WO736" s="5"/>
      <c r="WP736" s="5"/>
      <c r="WQ736" s="5"/>
      <c r="WR736" s="5"/>
      <c r="WS736" s="5"/>
      <c r="WT736" s="5"/>
      <c r="WU736" s="5"/>
      <c r="WV736" s="5"/>
      <c r="WW736" s="5"/>
      <c r="WX736" s="5"/>
      <c r="WY736" s="5"/>
      <c r="WZ736" s="5"/>
      <c r="XA736" s="5"/>
      <c r="XB736" s="5"/>
      <c r="XC736" s="5"/>
      <c r="XD736" s="5"/>
      <c r="XE736" s="5"/>
      <c r="XF736" s="5"/>
      <c r="XG736" s="5"/>
      <c r="XH736" s="5"/>
      <c r="XI736" s="5"/>
      <c r="XJ736" s="5"/>
      <c r="XK736" s="5"/>
      <c r="XL736" s="5"/>
      <c r="XM736" s="5"/>
      <c r="XN736" s="5"/>
      <c r="XO736" s="5"/>
      <c r="XP736" s="5"/>
      <c r="XQ736" s="5"/>
      <c r="XR736" s="5"/>
      <c r="XS736" s="5"/>
      <c r="XT736" s="5"/>
      <c r="XU736" s="5"/>
      <c r="XV736" s="5"/>
      <c r="XW736" s="5"/>
      <c r="XX736" s="5"/>
      <c r="XY736" s="5"/>
      <c r="XZ736" s="5"/>
      <c r="YA736" s="5"/>
      <c r="YB736" s="5"/>
      <c r="YC736" s="5"/>
      <c r="YD736" s="5"/>
      <c r="YE736" s="5"/>
      <c r="YF736" s="5"/>
      <c r="YG736" s="5"/>
      <c r="YH736" s="5"/>
      <c r="YI736" s="5"/>
      <c r="YJ736" s="5"/>
      <c r="YK736" s="5"/>
      <c r="YL736" s="5"/>
      <c r="YM736" s="5"/>
      <c r="YN736" s="5"/>
      <c r="YO736" s="5"/>
      <c r="YP736" s="5"/>
      <c r="YQ736" s="5"/>
      <c r="YR736" s="5"/>
      <c r="YS736" s="5"/>
      <c r="YT736" s="5"/>
      <c r="YU736" s="5"/>
      <c r="YV736" s="5"/>
      <c r="YW736" s="5"/>
      <c r="YX736" s="5"/>
      <c r="YY736" s="5"/>
      <c r="YZ736" s="5"/>
      <c r="ZA736" s="5"/>
      <c r="ZB736" s="5"/>
      <c r="ZC736" s="5"/>
      <c r="ZD736" s="5"/>
      <c r="ZE736" s="5"/>
      <c r="ZF736" s="5"/>
      <c r="ZG736" s="5"/>
      <c r="ZH736" s="5"/>
      <c r="ZI736" s="5"/>
      <c r="ZJ736" s="5"/>
      <c r="ZK736" s="5"/>
      <c r="ZL736" s="5"/>
      <c r="ZM736" s="5"/>
      <c r="ZN736" s="5"/>
      <c r="ZO736" s="5"/>
      <c r="ZP736" s="5"/>
      <c r="ZQ736" s="5"/>
      <c r="ZR736" s="5"/>
      <c r="ZS736" s="5"/>
      <c r="ZT736" s="5"/>
      <c r="ZU736" s="5"/>
      <c r="ZV736" s="5"/>
      <c r="ZW736" s="5"/>
      <c r="ZX736" s="5"/>
      <c r="ZY736" s="5"/>
      <c r="ZZ736" s="5"/>
      <c r="AAA736" s="5"/>
      <c r="AAB736" s="5"/>
      <c r="AAC736" s="5"/>
      <c r="AAD736" s="5"/>
      <c r="AAE736" s="5"/>
      <c r="AAF736" s="5"/>
      <c r="AAG736" s="5"/>
      <c r="AAH736" s="5"/>
      <c r="AAI736" s="5"/>
      <c r="AAJ736" s="5"/>
      <c r="AAK736" s="5"/>
      <c r="AAL736" s="5"/>
      <c r="AAM736" s="5"/>
      <c r="AAN736" s="5"/>
      <c r="AAO736" s="5"/>
      <c r="AAP736" s="5"/>
      <c r="AAQ736" s="5"/>
      <c r="AAR736" s="5"/>
      <c r="AAS736" s="5"/>
      <c r="AAT736" s="5"/>
      <c r="AAU736" s="5"/>
      <c r="AAV736" s="5"/>
      <c r="AAW736" s="5"/>
      <c r="AAX736" s="5"/>
      <c r="AAY736" s="5"/>
      <c r="AAZ736" s="5"/>
      <c r="ABA736" s="5"/>
      <c r="ABB736" s="5"/>
      <c r="ABC736" s="5"/>
      <c r="ABD736" s="5"/>
      <c r="ABE736" s="5"/>
      <c r="ABF736" s="5"/>
      <c r="ABG736" s="5"/>
      <c r="ABH736" s="5"/>
      <c r="ABI736" s="5"/>
      <c r="ABJ736" s="5"/>
      <c r="ABK736" s="5"/>
      <c r="ABL736" s="5"/>
      <c r="ABM736" s="5"/>
      <c r="ABN736" s="5"/>
      <c r="ABO736" s="5"/>
      <c r="ABP736" s="5"/>
      <c r="ABQ736" s="5"/>
      <c r="ABR736" s="5"/>
      <c r="ABS736" s="5"/>
      <c r="ABT736" s="5"/>
      <c r="ABU736" s="5"/>
      <c r="ABV736" s="5"/>
      <c r="ABW736" s="5"/>
      <c r="ABX736" s="5"/>
      <c r="ABY736" s="5"/>
      <c r="ABZ736" s="5"/>
      <c r="ACA736" s="5"/>
      <c r="ACB736" s="5"/>
      <c r="ACC736" s="5"/>
      <c r="ACD736" s="5"/>
      <c r="ACE736" s="5"/>
      <c r="ACF736" s="5"/>
      <c r="ACG736" s="5"/>
      <c r="ACH736" s="5"/>
      <c r="ACI736" s="5"/>
      <c r="ACJ736" s="5"/>
      <c r="ACK736" s="5"/>
      <c r="ACL736" s="5"/>
      <c r="ACM736" s="5"/>
      <c r="ACN736" s="5"/>
      <c r="ACO736" s="5"/>
      <c r="ACP736" s="5"/>
      <c r="ACQ736" s="5"/>
      <c r="ACR736" s="5"/>
      <c r="ACS736" s="5"/>
      <c r="ACT736" s="5"/>
      <c r="ACU736" s="5"/>
      <c r="ACV736" s="5"/>
      <c r="ACW736" s="5"/>
      <c r="ACX736" s="5"/>
      <c r="ACY736" s="5"/>
      <c r="ACZ736" s="5"/>
      <c r="ADA736" s="5"/>
      <c r="ADB736" s="5"/>
      <c r="ADC736" s="5"/>
      <c r="ADD736" s="5"/>
      <c r="ADE736" s="5"/>
      <c r="ADF736" s="5"/>
      <c r="ADG736" s="5"/>
      <c r="ADH736" s="5"/>
      <c r="ADI736" s="5"/>
      <c r="ADJ736" s="5"/>
      <c r="ADK736" s="5"/>
      <c r="ADL736" s="5"/>
      <c r="ADM736" s="5"/>
      <c r="ADN736" s="5"/>
      <c r="ADO736" s="5"/>
      <c r="ADP736" s="5"/>
      <c r="ADQ736" s="5"/>
      <c r="ADR736" s="5"/>
      <c r="ADS736" s="5"/>
      <c r="ADT736" s="5"/>
      <c r="ADU736" s="5"/>
      <c r="ADV736" s="5"/>
      <c r="ADW736" s="5"/>
      <c r="ADX736" s="5"/>
      <c r="ADY736" s="5"/>
      <c r="ADZ736" s="5"/>
      <c r="AEA736" s="5"/>
      <c r="AEB736" s="5"/>
      <c r="AEC736" s="5"/>
      <c r="AED736" s="5"/>
      <c r="AEE736" s="5"/>
      <c r="AEF736" s="5"/>
      <c r="AEG736" s="5"/>
      <c r="AEH736" s="5"/>
      <c r="AEI736" s="5"/>
      <c r="AEJ736" s="5"/>
      <c r="AEK736" s="5"/>
      <c r="AEL736" s="5"/>
      <c r="AEM736" s="5"/>
      <c r="AEN736" s="5"/>
      <c r="AEO736" s="5"/>
      <c r="AEP736" s="5"/>
      <c r="AEQ736" s="5"/>
      <c r="AER736" s="5"/>
      <c r="AES736" s="5"/>
      <c r="AET736" s="5"/>
      <c r="AEU736" s="5"/>
      <c r="AEV736" s="5"/>
      <c r="AEW736" s="5"/>
      <c r="AEX736" s="5"/>
      <c r="AEY736" s="5"/>
      <c r="AEZ736" s="5"/>
      <c r="AFA736" s="5"/>
      <c r="AFB736" s="5"/>
      <c r="AFC736" s="5"/>
      <c r="AFD736" s="5"/>
      <c r="AFE736" s="5"/>
      <c r="AFF736" s="5"/>
      <c r="AFG736" s="5"/>
      <c r="AFH736" s="5"/>
      <c r="AFI736" s="5"/>
      <c r="AFJ736" s="5"/>
      <c r="AFK736" s="5"/>
      <c r="AFL736" s="5"/>
      <c r="AFM736" s="5"/>
      <c r="AFN736" s="5"/>
      <c r="AFO736" s="5"/>
      <c r="AFP736" s="5"/>
      <c r="AFQ736" s="5"/>
      <c r="AFR736" s="5"/>
      <c r="AFS736" s="5"/>
      <c r="AFT736" s="5"/>
      <c r="AFU736" s="5"/>
      <c r="AFV736" s="5"/>
      <c r="AFW736" s="5"/>
      <c r="AFX736" s="5"/>
      <c r="AFY736" s="5"/>
      <c r="AFZ736" s="5"/>
      <c r="AGA736" s="5"/>
      <c r="AGB736" s="5"/>
      <c r="AGC736" s="5"/>
      <c r="AGD736" s="5"/>
      <c r="AGE736" s="5"/>
      <c r="AGF736" s="5"/>
      <c r="AGG736" s="5"/>
      <c r="AGH736" s="5"/>
      <c r="AGI736" s="5"/>
      <c r="AGJ736" s="5"/>
      <c r="AGK736" s="5"/>
      <c r="AGL736" s="5"/>
      <c r="AGM736" s="5"/>
      <c r="AGN736" s="5"/>
      <c r="AGO736" s="5"/>
      <c r="AGP736" s="5"/>
      <c r="AGQ736" s="5"/>
      <c r="AGR736" s="5"/>
      <c r="AGS736" s="5"/>
      <c r="AGT736" s="5"/>
      <c r="AGU736" s="5"/>
      <c r="AGV736" s="5"/>
      <c r="AGW736" s="5"/>
      <c r="AGX736" s="5"/>
      <c r="AGY736" s="5"/>
      <c r="AGZ736" s="5"/>
      <c r="AHA736" s="5"/>
      <c r="AHB736" s="5"/>
      <c r="AHC736" s="5"/>
      <c r="AHD736" s="5"/>
      <c r="AHE736" s="5"/>
      <c r="AHF736" s="5"/>
      <c r="AHG736" s="5"/>
      <c r="AHH736" s="5"/>
      <c r="AHI736" s="5"/>
      <c r="AHJ736" s="5"/>
      <c r="AHK736" s="5"/>
      <c r="AHL736" s="5"/>
      <c r="AHM736" s="5"/>
      <c r="AHN736" s="5"/>
      <c r="AHO736" s="5"/>
      <c r="AHP736" s="5"/>
      <c r="AHQ736" s="5"/>
      <c r="AHR736" s="5"/>
      <c r="AHS736" s="5"/>
      <c r="AHT736" s="5"/>
      <c r="AHU736" s="5"/>
      <c r="AHV736" s="5"/>
      <c r="AHW736" s="5"/>
      <c r="AHX736" s="5"/>
      <c r="AHY736" s="5"/>
      <c r="AHZ736" s="5"/>
      <c r="AIA736" s="5"/>
      <c r="AIB736" s="5"/>
      <c r="AIC736" s="5"/>
      <c r="AID736" s="5"/>
      <c r="AIE736" s="5"/>
      <c r="AIF736" s="5"/>
      <c r="AIG736" s="5"/>
      <c r="AIH736" s="5"/>
      <c r="AII736" s="5"/>
      <c r="AIJ736" s="5"/>
      <c r="AIK736" s="5"/>
      <c r="AIL736" s="5"/>
      <c r="AIM736" s="5"/>
      <c r="AIN736" s="5"/>
      <c r="AIO736" s="5"/>
      <c r="AIP736" s="5"/>
      <c r="AIQ736" s="5"/>
      <c r="AIR736" s="5"/>
      <c r="AIS736" s="5"/>
      <c r="AIT736" s="5"/>
      <c r="AIU736" s="5"/>
      <c r="AIV736" s="5"/>
      <c r="AIW736" s="5"/>
      <c r="AIX736" s="5"/>
      <c r="AIY736" s="5"/>
      <c r="AIZ736" s="5"/>
      <c r="AJA736" s="5"/>
      <c r="AJB736" s="5"/>
      <c r="AJC736" s="5"/>
      <c r="AJD736" s="5"/>
      <c r="AJE736" s="5"/>
      <c r="AJF736" s="5"/>
      <c r="AJG736" s="5"/>
      <c r="AJH736" s="5"/>
      <c r="AJI736" s="5"/>
      <c r="AJJ736" s="5"/>
      <c r="AJK736" s="5"/>
      <c r="AJL736" s="5"/>
      <c r="AJM736" s="5"/>
      <c r="AJN736" s="5"/>
      <c r="AJO736" s="5"/>
      <c r="AJP736" s="5"/>
      <c r="AJQ736" s="5"/>
      <c r="AJR736" s="5"/>
      <c r="AJS736" s="5"/>
      <c r="AJT736" s="5"/>
      <c r="AJU736" s="5"/>
      <c r="AJV736" s="5"/>
      <c r="AJW736" s="5"/>
      <c r="AJX736" s="5"/>
      <c r="AJY736" s="5"/>
      <c r="AJZ736" s="5"/>
      <c r="AKA736" s="5"/>
      <c r="AKB736" s="5"/>
      <c r="AKC736" s="5"/>
      <c r="AKD736" s="5"/>
      <c r="AKE736" s="5"/>
      <c r="AKF736" s="5"/>
      <c r="AKG736" s="5"/>
      <c r="AKH736" s="5"/>
      <c r="AKI736" s="5"/>
      <c r="AKJ736" s="5"/>
      <c r="AKK736" s="5"/>
      <c r="AKL736" s="5"/>
      <c r="AKM736" s="5"/>
      <c r="AKN736" s="5"/>
      <c r="AKO736" s="5"/>
      <c r="AKP736" s="5"/>
      <c r="AKQ736" s="5"/>
      <c r="AKR736" s="5"/>
      <c r="AKS736" s="5"/>
      <c r="AKT736" s="5"/>
      <c r="AKU736" s="5"/>
      <c r="AKV736" s="5"/>
      <c r="AKW736" s="5"/>
      <c r="AKX736" s="5"/>
      <c r="AKY736" s="5"/>
      <c r="AKZ736" s="5"/>
      <c r="ALA736" s="5"/>
      <c r="ALB736" s="5"/>
      <c r="ALC736" s="5"/>
      <c r="ALD736" s="5"/>
      <c r="ALE736" s="5"/>
      <c r="ALF736" s="5"/>
      <c r="ALG736" s="5"/>
      <c r="ALH736" s="5"/>
      <c r="ALI736" s="5"/>
      <c r="ALJ736" s="5"/>
      <c r="ALK736" s="5"/>
      <c r="ALL736" s="5"/>
      <c r="ALM736" s="5"/>
      <c r="ALN736" s="5"/>
      <c r="ALO736" s="5"/>
      <c r="ALP736" s="5"/>
      <c r="ALQ736" s="5"/>
      <c r="ALR736" s="5"/>
      <c r="ALS736" s="5"/>
      <c r="ALT736" s="5"/>
      <c r="ALU736" s="5"/>
      <c r="ALV736" s="5"/>
      <c r="ALW736" s="5"/>
      <c r="ALX736" s="5"/>
      <c r="ALY736" s="5"/>
      <c r="ALZ736" s="5"/>
      <c r="AMA736" s="5"/>
      <c r="AMB736" s="5"/>
      <c r="AMC736" s="5"/>
      <c r="AMD736" s="5"/>
      <c r="AME736" s="5"/>
      <c r="AMF736" s="5"/>
      <c r="AMG736" s="5"/>
      <c r="AMH736" s="5"/>
      <c r="AMI736" s="5"/>
      <c r="AMJ736" s="5"/>
      <c r="AMK736" s="5"/>
      <c r="AML736" s="5"/>
      <c r="AMM736" s="5"/>
      <c r="AMN736" s="5"/>
      <c r="AMO736" s="5"/>
      <c r="AMP736" s="5"/>
      <c r="AMQ736" s="5"/>
      <c r="AMR736" s="5"/>
      <c r="AMS736" s="5"/>
      <c r="AMT736" s="5"/>
      <c r="AMU736" s="5"/>
      <c r="AMV736" s="5"/>
      <c r="AMW736" s="5"/>
      <c r="AMX736" s="5"/>
      <c r="AMY736" s="5"/>
      <c r="AMZ736" s="5"/>
      <c r="ANA736" s="5"/>
      <c r="ANB736" s="5"/>
      <c r="ANC736" s="5"/>
      <c r="AND736" s="5"/>
      <c r="ANE736" s="5"/>
      <c r="ANF736" s="5"/>
      <c r="ANG736" s="5"/>
      <c r="ANH736" s="5"/>
      <c r="ANI736" s="5"/>
      <c r="ANJ736" s="5"/>
      <c r="ANK736" s="5"/>
      <c r="ANL736" s="5"/>
      <c r="ANM736" s="5"/>
      <c r="ANN736" s="5"/>
      <c r="ANO736" s="5"/>
      <c r="ANP736" s="5"/>
      <c r="ANQ736" s="5"/>
      <c r="ANR736" s="5"/>
      <c r="ANS736" s="5"/>
      <c r="ANT736" s="5"/>
      <c r="ANU736" s="5"/>
      <c r="ANV736" s="5"/>
      <c r="ANW736" s="5"/>
      <c r="ANX736" s="5"/>
      <c r="ANY736" s="5"/>
      <c r="ANZ736" s="5"/>
      <c r="AOA736" s="5"/>
      <c r="AOB736" s="5"/>
      <c r="AOC736" s="5"/>
      <c r="AOD736" s="5"/>
      <c r="AOE736" s="5"/>
      <c r="AOF736" s="5"/>
      <c r="AOG736" s="5"/>
      <c r="AOH736" s="5"/>
      <c r="AOI736" s="5"/>
      <c r="AOJ736" s="5"/>
      <c r="AOK736" s="5"/>
      <c r="AOL736" s="5"/>
      <c r="AOM736" s="5"/>
      <c r="AON736" s="5"/>
      <c r="AOO736" s="5"/>
      <c r="AOP736" s="5"/>
      <c r="AOQ736" s="5"/>
      <c r="AOR736" s="5"/>
      <c r="AOS736" s="5"/>
      <c r="AOT736" s="5"/>
      <c r="AOU736" s="5"/>
      <c r="AOV736" s="5"/>
      <c r="AOW736" s="5"/>
      <c r="AOX736" s="5"/>
      <c r="AOY736" s="5"/>
      <c r="AOZ736" s="5"/>
      <c r="APA736" s="5"/>
      <c r="APB736" s="5"/>
      <c r="APC736" s="5"/>
      <c r="APD736" s="5"/>
      <c r="APE736" s="5"/>
      <c r="APF736" s="5"/>
      <c r="APG736" s="5"/>
      <c r="APH736" s="5"/>
      <c r="API736" s="5"/>
      <c r="APJ736" s="5"/>
      <c r="APK736" s="5"/>
      <c r="APL736" s="5"/>
      <c r="APM736" s="5"/>
      <c r="APN736" s="5"/>
      <c r="APO736" s="5"/>
      <c r="APP736" s="5"/>
      <c r="APQ736" s="5"/>
      <c r="APR736" s="5"/>
      <c r="APS736" s="5"/>
      <c r="APT736" s="5"/>
      <c r="APU736" s="5"/>
      <c r="APV736" s="5"/>
      <c r="APW736" s="5"/>
      <c r="APX736" s="5"/>
      <c r="APY736" s="5"/>
      <c r="APZ736" s="5"/>
      <c r="AQA736" s="5"/>
      <c r="AQB736" s="5"/>
      <c r="AQC736" s="5"/>
      <c r="AQD736" s="5"/>
      <c r="AQE736" s="5"/>
      <c r="AQF736" s="5"/>
      <c r="AQG736" s="5"/>
      <c r="AQH736" s="5"/>
      <c r="AQI736" s="5"/>
      <c r="AQJ736" s="5"/>
      <c r="AQK736" s="5"/>
      <c r="AQL736" s="5"/>
      <c r="AQM736" s="5"/>
      <c r="AQN736" s="5"/>
      <c r="AQO736" s="5"/>
      <c r="AQP736" s="5"/>
      <c r="AQQ736" s="5"/>
      <c r="AQR736" s="5"/>
      <c r="AQS736" s="5"/>
      <c r="AQT736" s="5"/>
      <c r="AQU736" s="5"/>
      <c r="AQV736" s="5"/>
      <c r="AQW736" s="5"/>
      <c r="AQX736" s="5"/>
      <c r="AQY736" s="5"/>
      <c r="AQZ736" s="5"/>
      <c r="ARA736" s="5"/>
      <c r="ARB736" s="5"/>
      <c r="ARC736" s="5"/>
      <c r="ARD736" s="5"/>
      <c r="ARE736" s="5"/>
      <c r="ARF736" s="5"/>
      <c r="ARG736" s="5"/>
      <c r="ARH736" s="5"/>
      <c r="ARI736" s="5"/>
      <c r="ARJ736" s="5"/>
      <c r="ARK736" s="5"/>
      <c r="ARL736" s="5"/>
      <c r="ARM736" s="5"/>
      <c r="ARN736" s="5"/>
      <c r="ARO736" s="5"/>
      <c r="ARP736" s="5"/>
      <c r="ARQ736" s="5"/>
      <c r="ARR736" s="5"/>
      <c r="ARS736" s="5"/>
      <c r="ART736" s="5"/>
      <c r="ARU736" s="5"/>
      <c r="ARV736" s="5"/>
      <c r="ARW736" s="5"/>
      <c r="ARX736" s="5"/>
      <c r="ARY736" s="5"/>
      <c r="ARZ736" s="5"/>
      <c r="ASA736" s="5"/>
      <c r="ASB736" s="5"/>
      <c r="ASC736" s="5"/>
      <c r="ASD736" s="5"/>
      <c r="ASE736" s="5"/>
      <c r="ASF736" s="5"/>
      <c r="ASG736" s="5"/>
      <c r="ASH736" s="5"/>
      <c r="ASI736" s="5"/>
      <c r="ASJ736" s="5"/>
      <c r="ASK736" s="5"/>
      <c r="ASL736" s="5"/>
      <c r="ASM736" s="5"/>
      <c r="ASN736" s="5"/>
      <c r="ASO736" s="5"/>
      <c r="ASP736" s="5"/>
      <c r="ASQ736" s="5"/>
      <c r="ASR736" s="5"/>
      <c r="ASS736" s="5"/>
      <c r="AST736" s="5"/>
      <c r="ASU736" s="5"/>
      <c r="ASV736" s="5"/>
      <c r="ASW736" s="5"/>
      <c r="ASX736" s="5"/>
      <c r="ASY736" s="5"/>
      <c r="ASZ736" s="5"/>
      <c r="ATA736" s="5"/>
      <c r="ATB736" s="5"/>
      <c r="ATC736" s="5"/>
      <c r="ATD736" s="5"/>
      <c r="ATE736" s="5"/>
      <c r="ATF736" s="5"/>
      <c r="ATG736" s="5"/>
      <c r="ATH736" s="5"/>
      <c r="ATI736" s="5"/>
      <c r="ATJ736" s="5"/>
      <c r="ATK736" s="5"/>
      <c r="ATL736" s="5"/>
      <c r="ATM736" s="5"/>
      <c r="ATN736" s="5"/>
      <c r="ATO736" s="5"/>
      <c r="ATP736" s="5"/>
      <c r="ATQ736" s="5"/>
      <c r="ATR736" s="5"/>
      <c r="ATS736" s="5"/>
      <c r="ATT736" s="5"/>
      <c r="ATU736" s="5"/>
      <c r="ATV736" s="5"/>
      <c r="ATW736" s="5"/>
      <c r="ATX736" s="5"/>
    </row>
    <row r="737" spans="1:1220" s="67" customFormat="1" ht="12.75" customHeight="1" x14ac:dyDescent="0.35">
      <c r="A737" s="76" t="s">
        <v>229</v>
      </c>
      <c r="B737" s="99" t="s">
        <v>363</v>
      </c>
      <c r="C737" s="76" t="s">
        <v>2637</v>
      </c>
      <c r="D737" s="142" t="s">
        <v>2637</v>
      </c>
      <c r="E737" s="76"/>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c r="DX737" s="5"/>
      <c r="DY737" s="5"/>
      <c r="DZ737" s="5"/>
      <c r="EA737" s="5"/>
      <c r="EB737" s="5"/>
      <c r="EC737" s="5"/>
      <c r="ED737" s="5"/>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s="5"/>
      <c r="FG737" s="5"/>
      <c r="FH737" s="5"/>
      <c r="FI737" s="5"/>
      <c r="FJ737" s="5"/>
      <c r="FK737" s="5"/>
      <c r="FL737" s="5"/>
      <c r="FM737" s="5"/>
      <c r="FN737" s="5"/>
      <c r="FO737" s="5"/>
      <c r="FP737" s="5"/>
      <c r="FQ737" s="5"/>
      <c r="FR737" s="5"/>
      <c r="FS737" s="5"/>
      <c r="FT737" s="5"/>
      <c r="FU737" s="5"/>
      <c r="FV737" s="5"/>
      <c r="FW737" s="5"/>
      <c r="FX737" s="5"/>
      <c r="FY737" s="5"/>
      <c r="FZ737" s="5"/>
      <c r="GA737" s="5"/>
      <c r="GB737" s="5"/>
      <c r="GC737" s="5"/>
      <c r="GD737" s="5"/>
      <c r="GE737" s="5"/>
      <c r="GF737" s="5"/>
      <c r="GG737" s="5"/>
      <c r="GH737" s="5"/>
      <c r="GI737" s="5"/>
      <c r="GJ737" s="5"/>
      <c r="GK737" s="5"/>
      <c r="GL737" s="5"/>
      <c r="GM737" s="5"/>
      <c r="GN737" s="5"/>
      <c r="GO737" s="5"/>
      <c r="GP737" s="5"/>
      <c r="GQ737" s="5"/>
      <c r="GR737" s="5"/>
      <c r="GS737" s="5"/>
      <c r="GT737" s="5"/>
      <c r="GU737" s="5"/>
      <c r="GV737" s="5"/>
      <c r="GW737" s="5"/>
      <c r="GX737" s="5"/>
      <c r="GY737" s="5"/>
      <c r="GZ737" s="5"/>
      <c r="HA737" s="5"/>
      <c r="HB737" s="5"/>
      <c r="HC737" s="5"/>
      <c r="HD737" s="5"/>
      <c r="HE737" s="5"/>
      <c r="HF737" s="5"/>
      <c r="HG737" s="5"/>
      <c r="HH737" s="5"/>
      <c r="HI737" s="5"/>
      <c r="HJ737" s="5"/>
      <c r="HK737" s="5"/>
      <c r="HL737" s="5"/>
      <c r="HM737" s="5"/>
      <c r="HN737" s="5"/>
      <c r="HO737" s="5"/>
      <c r="HP737" s="5"/>
      <c r="HQ737" s="5"/>
      <c r="HR737" s="5"/>
      <c r="HS737" s="5"/>
      <c r="HT737" s="5"/>
      <c r="HU737" s="5"/>
      <c r="HV737" s="5"/>
      <c r="HW737" s="5"/>
      <c r="HX737" s="5"/>
      <c r="HY737" s="5"/>
      <c r="HZ737" s="5"/>
      <c r="IA737" s="5"/>
      <c r="IB737" s="5"/>
      <c r="IC737" s="5"/>
      <c r="ID737" s="5"/>
      <c r="IE737" s="5"/>
      <c r="IF737" s="5"/>
      <c r="IG737" s="5"/>
      <c r="IH737" s="5"/>
      <c r="II737" s="5"/>
      <c r="IJ737" s="5"/>
      <c r="IK737" s="5"/>
      <c r="IL737" s="5"/>
      <c r="IM737" s="5"/>
      <c r="IN737" s="5"/>
      <c r="IO737" s="5"/>
      <c r="IP737" s="5"/>
      <c r="IQ737" s="5"/>
      <c r="IR737" s="5"/>
      <c r="IS737" s="5"/>
      <c r="IT737" s="5"/>
      <c r="IU737" s="5"/>
      <c r="IV737" s="5"/>
      <c r="IW737" s="5"/>
      <c r="IX737" s="5"/>
      <c r="IY737" s="5"/>
      <c r="IZ737" s="5"/>
      <c r="JA737" s="5"/>
      <c r="JB737" s="5"/>
      <c r="JC737" s="5"/>
      <c r="JD737" s="5"/>
      <c r="JE737" s="5"/>
      <c r="JF737" s="5"/>
      <c r="JG737" s="5"/>
      <c r="JH737" s="5"/>
      <c r="JI737" s="5"/>
      <c r="JJ737" s="5"/>
      <c r="JK737" s="5"/>
      <c r="JL737" s="5"/>
      <c r="JM737" s="5"/>
      <c r="JN737" s="5"/>
      <c r="JO737" s="5"/>
      <c r="JP737" s="5"/>
      <c r="JQ737" s="5"/>
      <c r="JR737" s="5"/>
      <c r="JS737" s="5"/>
      <c r="JT737" s="5"/>
      <c r="JU737" s="5"/>
      <c r="JV737" s="5"/>
      <c r="JW737" s="5"/>
      <c r="JX737" s="5"/>
      <c r="JY737" s="5"/>
      <c r="JZ737" s="5"/>
      <c r="KA737" s="5"/>
      <c r="KB737" s="5"/>
      <c r="KC737" s="5"/>
      <c r="KD737" s="5"/>
      <c r="KE737" s="5"/>
      <c r="KF737" s="5"/>
      <c r="KG737" s="5"/>
      <c r="KH737" s="5"/>
      <c r="KI737" s="5"/>
      <c r="KJ737" s="5"/>
      <c r="KK737" s="5"/>
      <c r="KL737" s="5"/>
      <c r="KM737" s="5"/>
      <c r="KN737" s="5"/>
      <c r="KO737" s="5"/>
      <c r="KP737" s="5"/>
      <c r="KQ737" s="5"/>
      <c r="KR737" s="5"/>
      <c r="KS737" s="5"/>
      <c r="KT737" s="5"/>
      <c r="KU737" s="5"/>
      <c r="KV737" s="5"/>
      <c r="KW737" s="5"/>
      <c r="KX737" s="5"/>
      <c r="KY737" s="5"/>
      <c r="KZ737" s="5"/>
      <c r="LA737" s="5"/>
      <c r="LB737" s="5"/>
      <c r="LC737" s="5"/>
      <c r="LD737" s="5"/>
      <c r="LE737" s="5"/>
      <c r="LF737" s="5"/>
      <c r="LG737" s="5"/>
      <c r="LH737" s="5"/>
      <c r="LI737" s="5"/>
      <c r="LJ737" s="5"/>
      <c r="LK737" s="5"/>
      <c r="LL737" s="5"/>
      <c r="LM737" s="5"/>
      <c r="LN737" s="5"/>
      <c r="LO737" s="5"/>
      <c r="LP737" s="5"/>
      <c r="LQ737" s="5"/>
      <c r="LR737" s="5"/>
      <c r="LS737" s="5"/>
      <c r="LT737" s="5"/>
      <c r="LU737" s="5"/>
      <c r="LV737" s="5"/>
      <c r="LW737" s="5"/>
      <c r="LX737" s="5"/>
      <c r="LY737" s="5"/>
      <c r="LZ737" s="5"/>
      <c r="MA737" s="5"/>
      <c r="MB737" s="5"/>
      <c r="MC737" s="5"/>
      <c r="MD737" s="5"/>
      <c r="ME737" s="5"/>
      <c r="MF737" s="5"/>
      <c r="MG737" s="5"/>
      <c r="MH737" s="5"/>
      <c r="MI737" s="5"/>
      <c r="MJ737" s="5"/>
      <c r="MK737" s="5"/>
      <c r="ML737" s="5"/>
      <c r="MM737" s="5"/>
      <c r="MN737" s="5"/>
      <c r="MO737" s="5"/>
      <c r="MP737" s="5"/>
      <c r="MQ737" s="5"/>
      <c r="MR737" s="5"/>
      <c r="MS737" s="5"/>
      <c r="MT737" s="5"/>
      <c r="MU737" s="5"/>
      <c r="MV737" s="5"/>
      <c r="MW737" s="5"/>
      <c r="MX737" s="5"/>
      <c r="MY737" s="5"/>
      <c r="MZ737" s="5"/>
      <c r="NA737" s="5"/>
      <c r="NB737" s="5"/>
      <c r="NC737" s="5"/>
      <c r="ND737" s="5"/>
      <c r="NE737" s="5"/>
      <c r="NF737" s="5"/>
      <c r="NG737" s="5"/>
      <c r="NH737" s="5"/>
      <c r="NI737" s="5"/>
      <c r="NJ737" s="5"/>
      <c r="NK737" s="5"/>
      <c r="NL737" s="5"/>
      <c r="NM737" s="5"/>
      <c r="NN737" s="5"/>
      <c r="NO737" s="5"/>
      <c r="NP737" s="5"/>
      <c r="NQ737" s="5"/>
      <c r="NR737" s="5"/>
      <c r="NS737" s="5"/>
      <c r="NT737" s="5"/>
      <c r="NU737" s="5"/>
      <c r="NV737" s="5"/>
      <c r="NW737" s="5"/>
      <c r="NX737" s="5"/>
      <c r="NY737" s="5"/>
      <c r="NZ737" s="5"/>
      <c r="OA737" s="5"/>
      <c r="OB737" s="5"/>
      <c r="OC737" s="5"/>
      <c r="OD737" s="5"/>
      <c r="OE737" s="5"/>
      <c r="OF737" s="5"/>
      <c r="OG737" s="5"/>
      <c r="OH737" s="5"/>
      <c r="OI737" s="5"/>
      <c r="OJ737" s="5"/>
      <c r="OK737" s="5"/>
      <c r="OL737" s="5"/>
      <c r="OM737" s="5"/>
      <c r="ON737" s="5"/>
      <c r="OO737" s="5"/>
      <c r="OP737" s="5"/>
      <c r="OQ737" s="5"/>
      <c r="OR737" s="5"/>
      <c r="OS737" s="5"/>
      <c r="OT737" s="5"/>
      <c r="OU737" s="5"/>
      <c r="OV737" s="5"/>
      <c r="OW737" s="5"/>
      <c r="OX737" s="5"/>
      <c r="OY737" s="5"/>
      <c r="OZ737" s="5"/>
      <c r="PA737" s="5"/>
      <c r="PB737" s="5"/>
      <c r="PC737" s="5"/>
      <c r="PD737" s="5"/>
      <c r="PE737" s="5"/>
      <c r="PF737" s="5"/>
      <c r="PG737" s="5"/>
      <c r="PH737" s="5"/>
      <c r="PI737" s="5"/>
      <c r="PJ737" s="5"/>
      <c r="PK737" s="5"/>
      <c r="PL737" s="5"/>
      <c r="PM737" s="5"/>
      <c r="PN737" s="5"/>
      <c r="PO737" s="5"/>
      <c r="PP737" s="5"/>
      <c r="PQ737" s="5"/>
      <c r="PR737" s="5"/>
      <c r="PS737" s="5"/>
      <c r="PT737" s="5"/>
      <c r="PU737" s="5"/>
      <c r="PV737" s="5"/>
      <c r="PW737" s="5"/>
      <c r="PX737" s="5"/>
      <c r="PY737" s="5"/>
      <c r="PZ737" s="5"/>
      <c r="QA737" s="5"/>
      <c r="QB737" s="5"/>
      <c r="QC737" s="5"/>
      <c r="QD737" s="5"/>
      <c r="QE737" s="5"/>
      <c r="QF737" s="5"/>
      <c r="QG737" s="5"/>
      <c r="QH737" s="5"/>
      <c r="QI737" s="5"/>
      <c r="QJ737" s="5"/>
      <c r="QK737" s="5"/>
      <c r="QL737" s="5"/>
      <c r="QM737" s="5"/>
      <c r="QN737" s="5"/>
      <c r="QO737" s="5"/>
      <c r="QP737" s="5"/>
      <c r="QQ737" s="5"/>
      <c r="QR737" s="5"/>
      <c r="QS737" s="5"/>
      <c r="QT737" s="5"/>
      <c r="QU737" s="5"/>
      <c r="QV737" s="5"/>
      <c r="QW737" s="5"/>
      <c r="QX737" s="5"/>
      <c r="QY737" s="5"/>
      <c r="QZ737" s="5"/>
      <c r="RA737" s="5"/>
      <c r="RB737" s="5"/>
      <c r="RC737" s="5"/>
      <c r="RD737" s="5"/>
      <c r="RE737" s="5"/>
      <c r="RF737" s="5"/>
      <c r="RG737" s="5"/>
      <c r="RH737" s="5"/>
      <c r="RI737" s="5"/>
      <c r="RJ737" s="5"/>
      <c r="RK737" s="5"/>
      <c r="RL737" s="5"/>
      <c r="RM737" s="5"/>
      <c r="RN737" s="5"/>
      <c r="RO737" s="5"/>
      <c r="RP737" s="5"/>
      <c r="RQ737" s="5"/>
      <c r="RR737" s="5"/>
      <c r="RS737" s="5"/>
      <c r="RT737" s="5"/>
      <c r="RU737" s="5"/>
      <c r="RV737" s="5"/>
      <c r="RW737" s="5"/>
      <c r="RX737" s="5"/>
      <c r="RY737" s="5"/>
      <c r="RZ737" s="5"/>
      <c r="SA737" s="5"/>
      <c r="SB737" s="5"/>
      <c r="SC737" s="5"/>
      <c r="SD737" s="5"/>
      <c r="SE737" s="5"/>
      <c r="SF737" s="5"/>
      <c r="SG737" s="5"/>
      <c r="SH737" s="5"/>
      <c r="SI737" s="5"/>
      <c r="SJ737" s="5"/>
      <c r="SK737" s="5"/>
      <c r="SL737" s="5"/>
      <c r="SM737" s="5"/>
      <c r="SN737" s="5"/>
      <c r="SO737" s="5"/>
      <c r="SP737" s="5"/>
      <c r="SQ737" s="5"/>
      <c r="SR737" s="5"/>
      <c r="SS737" s="5"/>
      <c r="ST737" s="5"/>
      <c r="SU737" s="5"/>
      <c r="SV737" s="5"/>
      <c r="SW737" s="5"/>
      <c r="SX737" s="5"/>
      <c r="SY737" s="5"/>
      <c r="SZ737" s="5"/>
      <c r="TA737" s="5"/>
      <c r="TB737" s="5"/>
      <c r="TC737" s="5"/>
      <c r="TD737" s="5"/>
      <c r="TE737" s="5"/>
      <c r="TF737" s="5"/>
      <c r="TG737" s="5"/>
      <c r="TH737" s="5"/>
      <c r="TI737" s="5"/>
      <c r="TJ737" s="5"/>
      <c r="TK737" s="5"/>
      <c r="TL737" s="5"/>
      <c r="TM737" s="5"/>
      <c r="TN737" s="5"/>
      <c r="TO737" s="5"/>
      <c r="TP737" s="5"/>
      <c r="TQ737" s="5"/>
      <c r="TR737" s="5"/>
      <c r="TS737" s="5"/>
      <c r="TT737" s="5"/>
      <c r="TU737" s="5"/>
      <c r="TV737" s="5"/>
      <c r="TW737" s="5"/>
      <c r="TX737" s="5"/>
      <c r="TY737" s="5"/>
      <c r="TZ737" s="5"/>
      <c r="UA737" s="5"/>
      <c r="UB737" s="5"/>
      <c r="UC737" s="5"/>
      <c r="UD737" s="5"/>
      <c r="UE737" s="5"/>
      <c r="UF737" s="5"/>
      <c r="UG737" s="5"/>
      <c r="UH737" s="5"/>
      <c r="UI737" s="5"/>
      <c r="UJ737" s="5"/>
      <c r="UK737" s="5"/>
      <c r="UL737" s="5"/>
      <c r="UM737" s="5"/>
      <c r="UN737" s="5"/>
      <c r="UO737" s="5"/>
      <c r="UP737" s="5"/>
      <c r="UQ737" s="5"/>
      <c r="UR737" s="5"/>
      <c r="US737" s="5"/>
      <c r="UT737" s="5"/>
      <c r="UU737" s="5"/>
      <c r="UV737" s="5"/>
      <c r="UW737" s="5"/>
      <c r="UX737" s="5"/>
      <c r="UY737" s="5"/>
      <c r="UZ737" s="5"/>
      <c r="VA737" s="5"/>
      <c r="VB737" s="5"/>
      <c r="VC737" s="5"/>
      <c r="VD737" s="5"/>
      <c r="VE737" s="5"/>
      <c r="VF737" s="5"/>
      <c r="VG737" s="5"/>
      <c r="VH737" s="5"/>
      <c r="VI737" s="5"/>
      <c r="VJ737" s="5"/>
      <c r="VK737" s="5"/>
      <c r="VL737" s="5"/>
      <c r="VM737" s="5"/>
      <c r="VN737" s="5"/>
      <c r="VO737" s="5"/>
      <c r="VP737" s="5"/>
      <c r="VQ737" s="5"/>
      <c r="VR737" s="5"/>
      <c r="VS737" s="5"/>
      <c r="VT737" s="5"/>
      <c r="VU737" s="5"/>
      <c r="VV737" s="5"/>
      <c r="VW737" s="5"/>
      <c r="VX737" s="5"/>
      <c r="VY737" s="5"/>
      <c r="VZ737" s="5"/>
      <c r="WA737" s="5"/>
      <c r="WB737" s="5"/>
      <c r="WC737" s="5"/>
      <c r="WD737" s="5"/>
      <c r="WE737" s="5"/>
      <c r="WF737" s="5"/>
      <c r="WG737" s="5"/>
      <c r="WH737" s="5"/>
      <c r="WI737" s="5"/>
      <c r="WJ737" s="5"/>
      <c r="WK737" s="5"/>
      <c r="WL737" s="5"/>
      <c r="WM737" s="5"/>
      <c r="WN737" s="5"/>
      <c r="WO737" s="5"/>
      <c r="WP737" s="5"/>
      <c r="WQ737" s="5"/>
      <c r="WR737" s="5"/>
      <c r="WS737" s="5"/>
      <c r="WT737" s="5"/>
      <c r="WU737" s="5"/>
      <c r="WV737" s="5"/>
      <c r="WW737" s="5"/>
      <c r="WX737" s="5"/>
      <c r="WY737" s="5"/>
      <c r="WZ737" s="5"/>
      <c r="XA737" s="5"/>
      <c r="XB737" s="5"/>
      <c r="XC737" s="5"/>
      <c r="XD737" s="5"/>
      <c r="XE737" s="5"/>
      <c r="XF737" s="5"/>
      <c r="XG737" s="5"/>
      <c r="XH737" s="5"/>
      <c r="XI737" s="5"/>
      <c r="XJ737" s="5"/>
      <c r="XK737" s="5"/>
      <c r="XL737" s="5"/>
      <c r="XM737" s="5"/>
      <c r="XN737" s="5"/>
      <c r="XO737" s="5"/>
      <c r="XP737" s="5"/>
      <c r="XQ737" s="5"/>
      <c r="XR737" s="5"/>
      <c r="XS737" s="5"/>
      <c r="XT737" s="5"/>
      <c r="XU737" s="5"/>
      <c r="XV737" s="5"/>
      <c r="XW737" s="5"/>
      <c r="XX737" s="5"/>
      <c r="XY737" s="5"/>
      <c r="XZ737" s="5"/>
      <c r="YA737" s="5"/>
      <c r="YB737" s="5"/>
      <c r="YC737" s="5"/>
      <c r="YD737" s="5"/>
      <c r="YE737" s="5"/>
      <c r="YF737" s="5"/>
      <c r="YG737" s="5"/>
      <c r="YH737" s="5"/>
      <c r="YI737" s="5"/>
      <c r="YJ737" s="5"/>
      <c r="YK737" s="5"/>
      <c r="YL737" s="5"/>
      <c r="YM737" s="5"/>
      <c r="YN737" s="5"/>
      <c r="YO737" s="5"/>
      <c r="YP737" s="5"/>
      <c r="YQ737" s="5"/>
      <c r="YR737" s="5"/>
      <c r="YS737" s="5"/>
      <c r="YT737" s="5"/>
      <c r="YU737" s="5"/>
      <c r="YV737" s="5"/>
      <c r="YW737" s="5"/>
      <c r="YX737" s="5"/>
      <c r="YY737" s="5"/>
      <c r="YZ737" s="5"/>
      <c r="ZA737" s="5"/>
      <c r="ZB737" s="5"/>
      <c r="ZC737" s="5"/>
      <c r="ZD737" s="5"/>
      <c r="ZE737" s="5"/>
      <c r="ZF737" s="5"/>
      <c r="ZG737" s="5"/>
      <c r="ZH737" s="5"/>
      <c r="ZI737" s="5"/>
      <c r="ZJ737" s="5"/>
      <c r="ZK737" s="5"/>
      <c r="ZL737" s="5"/>
      <c r="ZM737" s="5"/>
      <c r="ZN737" s="5"/>
      <c r="ZO737" s="5"/>
      <c r="ZP737" s="5"/>
      <c r="ZQ737" s="5"/>
      <c r="ZR737" s="5"/>
      <c r="ZS737" s="5"/>
      <c r="ZT737" s="5"/>
      <c r="ZU737" s="5"/>
      <c r="ZV737" s="5"/>
      <c r="ZW737" s="5"/>
      <c r="ZX737" s="5"/>
      <c r="ZY737" s="5"/>
      <c r="ZZ737" s="5"/>
      <c r="AAA737" s="5"/>
      <c r="AAB737" s="5"/>
      <c r="AAC737" s="5"/>
      <c r="AAD737" s="5"/>
      <c r="AAE737" s="5"/>
      <c r="AAF737" s="5"/>
      <c r="AAG737" s="5"/>
      <c r="AAH737" s="5"/>
      <c r="AAI737" s="5"/>
      <c r="AAJ737" s="5"/>
      <c r="AAK737" s="5"/>
      <c r="AAL737" s="5"/>
      <c r="AAM737" s="5"/>
      <c r="AAN737" s="5"/>
      <c r="AAO737" s="5"/>
      <c r="AAP737" s="5"/>
      <c r="AAQ737" s="5"/>
      <c r="AAR737" s="5"/>
      <c r="AAS737" s="5"/>
      <c r="AAT737" s="5"/>
      <c r="AAU737" s="5"/>
      <c r="AAV737" s="5"/>
      <c r="AAW737" s="5"/>
      <c r="AAX737" s="5"/>
      <c r="AAY737" s="5"/>
      <c r="AAZ737" s="5"/>
      <c r="ABA737" s="5"/>
      <c r="ABB737" s="5"/>
      <c r="ABC737" s="5"/>
      <c r="ABD737" s="5"/>
      <c r="ABE737" s="5"/>
      <c r="ABF737" s="5"/>
      <c r="ABG737" s="5"/>
      <c r="ABH737" s="5"/>
      <c r="ABI737" s="5"/>
      <c r="ABJ737" s="5"/>
      <c r="ABK737" s="5"/>
      <c r="ABL737" s="5"/>
      <c r="ABM737" s="5"/>
      <c r="ABN737" s="5"/>
      <c r="ABO737" s="5"/>
      <c r="ABP737" s="5"/>
      <c r="ABQ737" s="5"/>
      <c r="ABR737" s="5"/>
      <c r="ABS737" s="5"/>
      <c r="ABT737" s="5"/>
      <c r="ABU737" s="5"/>
      <c r="ABV737" s="5"/>
      <c r="ABW737" s="5"/>
      <c r="ABX737" s="5"/>
      <c r="ABY737" s="5"/>
      <c r="ABZ737" s="5"/>
      <c r="ACA737" s="5"/>
      <c r="ACB737" s="5"/>
      <c r="ACC737" s="5"/>
      <c r="ACD737" s="5"/>
      <c r="ACE737" s="5"/>
      <c r="ACF737" s="5"/>
      <c r="ACG737" s="5"/>
      <c r="ACH737" s="5"/>
      <c r="ACI737" s="5"/>
      <c r="ACJ737" s="5"/>
      <c r="ACK737" s="5"/>
      <c r="ACL737" s="5"/>
      <c r="ACM737" s="5"/>
      <c r="ACN737" s="5"/>
      <c r="ACO737" s="5"/>
      <c r="ACP737" s="5"/>
      <c r="ACQ737" s="5"/>
      <c r="ACR737" s="5"/>
      <c r="ACS737" s="5"/>
      <c r="ACT737" s="5"/>
      <c r="ACU737" s="5"/>
      <c r="ACV737" s="5"/>
      <c r="ACW737" s="5"/>
      <c r="ACX737" s="5"/>
      <c r="ACY737" s="5"/>
      <c r="ACZ737" s="5"/>
      <c r="ADA737" s="5"/>
      <c r="ADB737" s="5"/>
      <c r="ADC737" s="5"/>
      <c r="ADD737" s="5"/>
      <c r="ADE737" s="5"/>
      <c r="ADF737" s="5"/>
      <c r="ADG737" s="5"/>
      <c r="ADH737" s="5"/>
      <c r="ADI737" s="5"/>
      <c r="ADJ737" s="5"/>
      <c r="ADK737" s="5"/>
      <c r="ADL737" s="5"/>
      <c r="ADM737" s="5"/>
      <c r="ADN737" s="5"/>
      <c r="ADO737" s="5"/>
      <c r="ADP737" s="5"/>
      <c r="ADQ737" s="5"/>
      <c r="ADR737" s="5"/>
      <c r="ADS737" s="5"/>
      <c r="ADT737" s="5"/>
      <c r="ADU737" s="5"/>
      <c r="ADV737" s="5"/>
      <c r="ADW737" s="5"/>
      <c r="ADX737" s="5"/>
      <c r="ADY737" s="5"/>
      <c r="ADZ737" s="5"/>
      <c r="AEA737" s="5"/>
      <c r="AEB737" s="5"/>
      <c r="AEC737" s="5"/>
      <c r="AED737" s="5"/>
      <c r="AEE737" s="5"/>
      <c r="AEF737" s="5"/>
      <c r="AEG737" s="5"/>
      <c r="AEH737" s="5"/>
      <c r="AEI737" s="5"/>
      <c r="AEJ737" s="5"/>
      <c r="AEK737" s="5"/>
      <c r="AEL737" s="5"/>
      <c r="AEM737" s="5"/>
      <c r="AEN737" s="5"/>
      <c r="AEO737" s="5"/>
      <c r="AEP737" s="5"/>
      <c r="AEQ737" s="5"/>
      <c r="AER737" s="5"/>
      <c r="AES737" s="5"/>
      <c r="AET737" s="5"/>
      <c r="AEU737" s="5"/>
      <c r="AEV737" s="5"/>
      <c r="AEW737" s="5"/>
      <c r="AEX737" s="5"/>
      <c r="AEY737" s="5"/>
      <c r="AEZ737" s="5"/>
      <c r="AFA737" s="5"/>
      <c r="AFB737" s="5"/>
      <c r="AFC737" s="5"/>
      <c r="AFD737" s="5"/>
      <c r="AFE737" s="5"/>
      <c r="AFF737" s="5"/>
      <c r="AFG737" s="5"/>
      <c r="AFH737" s="5"/>
      <c r="AFI737" s="5"/>
      <c r="AFJ737" s="5"/>
      <c r="AFK737" s="5"/>
      <c r="AFL737" s="5"/>
      <c r="AFM737" s="5"/>
      <c r="AFN737" s="5"/>
      <c r="AFO737" s="5"/>
      <c r="AFP737" s="5"/>
      <c r="AFQ737" s="5"/>
      <c r="AFR737" s="5"/>
      <c r="AFS737" s="5"/>
      <c r="AFT737" s="5"/>
      <c r="AFU737" s="5"/>
      <c r="AFV737" s="5"/>
      <c r="AFW737" s="5"/>
      <c r="AFX737" s="5"/>
      <c r="AFY737" s="5"/>
      <c r="AFZ737" s="5"/>
      <c r="AGA737" s="5"/>
      <c r="AGB737" s="5"/>
      <c r="AGC737" s="5"/>
      <c r="AGD737" s="5"/>
      <c r="AGE737" s="5"/>
      <c r="AGF737" s="5"/>
      <c r="AGG737" s="5"/>
      <c r="AGH737" s="5"/>
      <c r="AGI737" s="5"/>
      <c r="AGJ737" s="5"/>
      <c r="AGK737" s="5"/>
      <c r="AGL737" s="5"/>
      <c r="AGM737" s="5"/>
      <c r="AGN737" s="5"/>
      <c r="AGO737" s="5"/>
      <c r="AGP737" s="5"/>
      <c r="AGQ737" s="5"/>
      <c r="AGR737" s="5"/>
      <c r="AGS737" s="5"/>
      <c r="AGT737" s="5"/>
      <c r="AGU737" s="5"/>
      <c r="AGV737" s="5"/>
      <c r="AGW737" s="5"/>
      <c r="AGX737" s="5"/>
      <c r="AGY737" s="5"/>
      <c r="AGZ737" s="5"/>
      <c r="AHA737" s="5"/>
      <c r="AHB737" s="5"/>
      <c r="AHC737" s="5"/>
      <c r="AHD737" s="5"/>
      <c r="AHE737" s="5"/>
      <c r="AHF737" s="5"/>
      <c r="AHG737" s="5"/>
      <c r="AHH737" s="5"/>
      <c r="AHI737" s="5"/>
      <c r="AHJ737" s="5"/>
      <c r="AHK737" s="5"/>
      <c r="AHL737" s="5"/>
      <c r="AHM737" s="5"/>
      <c r="AHN737" s="5"/>
      <c r="AHO737" s="5"/>
      <c r="AHP737" s="5"/>
      <c r="AHQ737" s="5"/>
      <c r="AHR737" s="5"/>
      <c r="AHS737" s="5"/>
      <c r="AHT737" s="5"/>
      <c r="AHU737" s="5"/>
      <c r="AHV737" s="5"/>
      <c r="AHW737" s="5"/>
      <c r="AHX737" s="5"/>
      <c r="AHY737" s="5"/>
      <c r="AHZ737" s="5"/>
      <c r="AIA737" s="5"/>
      <c r="AIB737" s="5"/>
      <c r="AIC737" s="5"/>
      <c r="AID737" s="5"/>
      <c r="AIE737" s="5"/>
      <c r="AIF737" s="5"/>
      <c r="AIG737" s="5"/>
      <c r="AIH737" s="5"/>
      <c r="AII737" s="5"/>
      <c r="AIJ737" s="5"/>
      <c r="AIK737" s="5"/>
      <c r="AIL737" s="5"/>
      <c r="AIM737" s="5"/>
      <c r="AIN737" s="5"/>
      <c r="AIO737" s="5"/>
      <c r="AIP737" s="5"/>
      <c r="AIQ737" s="5"/>
      <c r="AIR737" s="5"/>
      <c r="AIS737" s="5"/>
      <c r="AIT737" s="5"/>
      <c r="AIU737" s="5"/>
      <c r="AIV737" s="5"/>
      <c r="AIW737" s="5"/>
      <c r="AIX737" s="5"/>
      <c r="AIY737" s="5"/>
      <c r="AIZ737" s="5"/>
      <c r="AJA737" s="5"/>
      <c r="AJB737" s="5"/>
      <c r="AJC737" s="5"/>
      <c r="AJD737" s="5"/>
      <c r="AJE737" s="5"/>
      <c r="AJF737" s="5"/>
      <c r="AJG737" s="5"/>
      <c r="AJH737" s="5"/>
      <c r="AJI737" s="5"/>
      <c r="AJJ737" s="5"/>
      <c r="AJK737" s="5"/>
      <c r="AJL737" s="5"/>
      <c r="AJM737" s="5"/>
      <c r="AJN737" s="5"/>
      <c r="AJO737" s="5"/>
      <c r="AJP737" s="5"/>
      <c r="AJQ737" s="5"/>
      <c r="AJR737" s="5"/>
      <c r="AJS737" s="5"/>
      <c r="AJT737" s="5"/>
      <c r="AJU737" s="5"/>
      <c r="AJV737" s="5"/>
      <c r="AJW737" s="5"/>
      <c r="AJX737" s="5"/>
      <c r="AJY737" s="5"/>
      <c r="AJZ737" s="5"/>
      <c r="AKA737" s="5"/>
      <c r="AKB737" s="5"/>
      <c r="AKC737" s="5"/>
      <c r="AKD737" s="5"/>
      <c r="AKE737" s="5"/>
      <c r="AKF737" s="5"/>
      <c r="AKG737" s="5"/>
      <c r="AKH737" s="5"/>
      <c r="AKI737" s="5"/>
      <c r="AKJ737" s="5"/>
      <c r="AKK737" s="5"/>
      <c r="AKL737" s="5"/>
      <c r="AKM737" s="5"/>
      <c r="AKN737" s="5"/>
      <c r="AKO737" s="5"/>
      <c r="AKP737" s="5"/>
      <c r="AKQ737" s="5"/>
      <c r="AKR737" s="5"/>
      <c r="AKS737" s="5"/>
      <c r="AKT737" s="5"/>
      <c r="AKU737" s="5"/>
      <c r="AKV737" s="5"/>
      <c r="AKW737" s="5"/>
      <c r="AKX737" s="5"/>
      <c r="AKY737" s="5"/>
      <c r="AKZ737" s="5"/>
      <c r="ALA737" s="5"/>
      <c r="ALB737" s="5"/>
      <c r="ALC737" s="5"/>
      <c r="ALD737" s="5"/>
      <c r="ALE737" s="5"/>
      <c r="ALF737" s="5"/>
      <c r="ALG737" s="5"/>
      <c r="ALH737" s="5"/>
      <c r="ALI737" s="5"/>
      <c r="ALJ737" s="5"/>
      <c r="ALK737" s="5"/>
      <c r="ALL737" s="5"/>
      <c r="ALM737" s="5"/>
      <c r="ALN737" s="5"/>
      <c r="ALO737" s="5"/>
      <c r="ALP737" s="5"/>
      <c r="ALQ737" s="5"/>
      <c r="ALR737" s="5"/>
      <c r="ALS737" s="5"/>
      <c r="ALT737" s="5"/>
      <c r="ALU737" s="5"/>
      <c r="ALV737" s="5"/>
      <c r="ALW737" s="5"/>
      <c r="ALX737" s="5"/>
      <c r="ALY737" s="5"/>
      <c r="ALZ737" s="5"/>
      <c r="AMA737" s="5"/>
      <c r="AMB737" s="5"/>
      <c r="AMC737" s="5"/>
      <c r="AMD737" s="5"/>
      <c r="AME737" s="5"/>
      <c r="AMF737" s="5"/>
      <c r="AMG737" s="5"/>
      <c r="AMH737" s="5"/>
      <c r="AMI737" s="5"/>
      <c r="AMJ737" s="5"/>
      <c r="AMK737" s="5"/>
      <c r="AML737" s="5"/>
      <c r="AMM737" s="5"/>
      <c r="AMN737" s="5"/>
      <c r="AMO737" s="5"/>
      <c r="AMP737" s="5"/>
      <c r="AMQ737" s="5"/>
      <c r="AMR737" s="5"/>
      <c r="AMS737" s="5"/>
      <c r="AMT737" s="5"/>
      <c r="AMU737" s="5"/>
      <c r="AMV737" s="5"/>
      <c r="AMW737" s="5"/>
      <c r="AMX737" s="5"/>
      <c r="AMY737" s="5"/>
      <c r="AMZ737" s="5"/>
      <c r="ANA737" s="5"/>
      <c r="ANB737" s="5"/>
      <c r="ANC737" s="5"/>
      <c r="AND737" s="5"/>
      <c r="ANE737" s="5"/>
      <c r="ANF737" s="5"/>
      <c r="ANG737" s="5"/>
      <c r="ANH737" s="5"/>
      <c r="ANI737" s="5"/>
      <c r="ANJ737" s="5"/>
      <c r="ANK737" s="5"/>
      <c r="ANL737" s="5"/>
      <c r="ANM737" s="5"/>
      <c r="ANN737" s="5"/>
      <c r="ANO737" s="5"/>
      <c r="ANP737" s="5"/>
      <c r="ANQ737" s="5"/>
      <c r="ANR737" s="5"/>
      <c r="ANS737" s="5"/>
      <c r="ANT737" s="5"/>
      <c r="ANU737" s="5"/>
      <c r="ANV737" s="5"/>
      <c r="ANW737" s="5"/>
      <c r="ANX737" s="5"/>
      <c r="ANY737" s="5"/>
      <c r="ANZ737" s="5"/>
      <c r="AOA737" s="5"/>
      <c r="AOB737" s="5"/>
      <c r="AOC737" s="5"/>
      <c r="AOD737" s="5"/>
      <c r="AOE737" s="5"/>
      <c r="AOF737" s="5"/>
      <c r="AOG737" s="5"/>
      <c r="AOH737" s="5"/>
      <c r="AOI737" s="5"/>
      <c r="AOJ737" s="5"/>
      <c r="AOK737" s="5"/>
      <c r="AOL737" s="5"/>
      <c r="AOM737" s="5"/>
      <c r="AON737" s="5"/>
      <c r="AOO737" s="5"/>
      <c r="AOP737" s="5"/>
      <c r="AOQ737" s="5"/>
      <c r="AOR737" s="5"/>
      <c r="AOS737" s="5"/>
      <c r="AOT737" s="5"/>
      <c r="AOU737" s="5"/>
      <c r="AOV737" s="5"/>
      <c r="AOW737" s="5"/>
      <c r="AOX737" s="5"/>
      <c r="AOY737" s="5"/>
      <c r="AOZ737" s="5"/>
      <c r="APA737" s="5"/>
      <c r="APB737" s="5"/>
      <c r="APC737" s="5"/>
      <c r="APD737" s="5"/>
      <c r="APE737" s="5"/>
      <c r="APF737" s="5"/>
      <c r="APG737" s="5"/>
      <c r="APH737" s="5"/>
      <c r="API737" s="5"/>
      <c r="APJ737" s="5"/>
      <c r="APK737" s="5"/>
      <c r="APL737" s="5"/>
      <c r="APM737" s="5"/>
      <c r="APN737" s="5"/>
      <c r="APO737" s="5"/>
      <c r="APP737" s="5"/>
      <c r="APQ737" s="5"/>
      <c r="APR737" s="5"/>
      <c r="APS737" s="5"/>
      <c r="APT737" s="5"/>
      <c r="APU737" s="5"/>
      <c r="APV737" s="5"/>
      <c r="APW737" s="5"/>
      <c r="APX737" s="5"/>
      <c r="APY737" s="5"/>
      <c r="APZ737" s="5"/>
      <c r="AQA737" s="5"/>
      <c r="AQB737" s="5"/>
      <c r="AQC737" s="5"/>
      <c r="AQD737" s="5"/>
      <c r="AQE737" s="5"/>
      <c r="AQF737" s="5"/>
      <c r="AQG737" s="5"/>
      <c r="AQH737" s="5"/>
      <c r="AQI737" s="5"/>
      <c r="AQJ737" s="5"/>
      <c r="AQK737" s="5"/>
      <c r="AQL737" s="5"/>
      <c r="AQM737" s="5"/>
      <c r="AQN737" s="5"/>
      <c r="AQO737" s="5"/>
      <c r="AQP737" s="5"/>
      <c r="AQQ737" s="5"/>
      <c r="AQR737" s="5"/>
      <c r="AQS737" s="5"/>
      <c r="AQT737" s="5"/>
      <c r="AQU737" s="5"/>
      <c r="AQV737" s="5"/>
      <c r="AQW737" s="5"/>
      <c r="AQX737" s="5"/>
      <c r="AQY737" s="5"/>
      <c r="AQZ737" s="5"/>
      <c r="ARA737" s="5"/>
      <c r="ARB737" s="5"/>
      <c r="ARC737" s="5"/>
      <c r="ARD737" s="5"/>
      <c r="ARE737" s="5"/>
      <c r="ARF737" s="5"/>
      <c r="ARG737" s="5"/>
      <c r="ARH737" s="5"/>
      <c r="ARI737" s="5"/>
      <c r="ARJ737" s="5"/>
      <c r="ARK737" s="5"/>
      <c r="ARL737" s="5"/>
      <c r="ARM737" s="5"/>
      <c r="ARN737" s="5"/>
      <c r="ARO737" s="5"/>
      <c r="ARP737" s="5"/>
      <c r="ARQ737" s="5"/>
      <c r="ARR737" s="5"/>
      <c r="ARS737" s="5"/>
      <c r="ART737" s="5"/>
      <c r="ARU737" s="5"/>
      <c r="ARV737" s="5"/>
      <c r="ARW737" s="5"/>
      <c r="ARX737" s="5"/>
      <c r="ARY737" s="5"/>
      <c r="ARZ737" s="5"/>
      <c r="ASA737" s="5"/>
      <c r="ASB737" s="5"/>
      <c r="ASC737" s="5"/>
      <c r="ASD737" s="5"/>
      <c r="ASE737" s="5"/>
      <c r="ASF737" s="5"/>
      <c r="ASG737" s="5"/>
      <c r="ASH737" s="5"/>
      <c r="ASI737" s="5"/>
      <c r="ASJ737" s="5"/>
      <c r="ASK737" s="5"/>
      <c r="ASL737" s="5"/>
      <c r="ASM737" s="5"/>
      <c r="ASN737" s="5"/>
      <c r="ASO737" s="5"/>
      <c r="ASP737" s="5"/>
      <c r="ASQ737" s="5"/>
      <c r="ASR737" s="5"/>
      <c r="ASS737" s="5"/>
      <c r="AST737" s="5"/>
      <c r="ASU737" s="5"/>
      <c r="ASV737" s="5"/>
      <c r="ASW737" s="5"/>
      <c r="ASX737" s="5"/>
      <c r="ASY737" s="5"/>
      <c r="ASZ737" s="5"/>
      <c r="ATA737" s="5"/>
      <c r="ATB737" s="5"/>
      <c r="ATC737" s="5"/>
      <c r="ATD737" s="5"/>
      <c r="ATE737" s="5"/>
      <c r="ATF737" s="5"/>
      <c r="ATG737" s="5"/>
      <c r="ATH737" s="5"/>
      <c r="ATI737" s="5"/>
      <c r="ATJ737" s="5"/>
      <c r="ATK737" s="5"/>
      <c r="ATL737" s="5"/>
      <c r="ATM737" s="5"/>
      <c r="ATN737" s="5"/>
      <c r="ATO737" s="5"/>
      <c r="ATP737" s="5"/>
      <c r="ATQ737" s="5"/>
      <c r="ATR737" s="5"/>
      <c r="ATS737" s="5"/>
      <c r="ATT737" s="5"/>
      <c r="ATU737" s="5"/>
      <c r="ATV737" s="5"/>
      <c r="ATW737" s="5"/>
      <c r="ATX737" s="5"/>
    </row>
    <row r="738" spans="1:1220" s="67" customFormat="1" ht="12.75" customHeight="1" x14ac:dyDescent="0.35">
      <c r="A738" s="76" t="s">
        <v>229</v>
      </c>
      <c r="B738" s="99" t="s">
        <v>367</v>
      </c>
      <c r="C738" s="76" t="s">
        <v>2638</v>
      </c>
      <c r="D738" s="142" t="s">
        <v>2638</v>
      </c>
      <c r="E738" s="76"/>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c r="DX738" s="5"/>
      <c r="DY738" s="5"/>
      <c r="DZ738" s="5"/>
      <c r="EA738" s="5"/>
      <c r="EB738" s="5"/>
      <c r="EC738" s="5"/>
      <c r="ED738" s="5"/>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s="5"/>
      <c r="FG738" s="5"/>
      <c r="FH738" s="5"/>
      <c r="FI738" s="5"/>
      <c r="FJ738" s="5"/>
      <c r="FK738" s="5"/>
      <c r="FL738" s="5"/>
      <c r="FM738" s="5"/>
      <c r="FN738" s="5"/>
      <c r="FO738" s="5"/>
      <c r="FP738" s="5"/>
      <c r="FQ738" s="5"/>
      <c r="FR738" s="5"/>
      <c r="FS738" s="5"/>
      <c r="FT738" s="5"/>
      <c r="FU738" s="5"/>
      <c r="FV738" s="5"/>
      <c r="FW738" s="5"/>
      <c r="FX738" s="5"/>
      <c r="FY738" s="5"/>
      <c r="FZ738" s="5"/>
      <c r="GA738" s="5"/>
      <c r="GB738" s="5"/>
      <c r="GC738" s="5"/>
      <c r="GD738" s="5"/>
      <c r="GE738" s="5"/>
      <c r="GF738" s="5"/>
      <c r="GG738" s="5"/>
      <c r="GH738" s="5"/>
      <c r="GI738" s="5"/>
      <c r="GJ738" s="5"/>
      <c r="GK738" s="5"/>
      <c r="GL738" s="5"/>
      <c r="GM738" s="5"/>
      <c r="GN738" s="5"/>
      <c r="GO738" s="5"/>
      <c r="GP738" s="5"/>
      <c r="GQ738" s="5"/>
      <c r="GR738" s="5"/>
      <c r="GS738" s="5"/>
      <c r="GT738" s="5"/>
      <c r="GU738" s="5"/>
      <c r="GV738" s="5"/>
      <c r="GW738" s="5"/>
      <c r="GX738" s="5"/>
      <c r="GY738" s="5"/>
      <c r="GZ738" s="5"/>
      <c r="HA738" s="5"/>
      <c r="HB738" s="5"/>
      <c r="HC738" s="5"/>
      <c r="HD738" s="5"/>
      <c r="HE738" s="5"/>
      <c r="HF738" s="5"/>
      <c r="HG738" s="5"/>
      <c r="HH738" s="5"/>
      <c r="HI738" s="5"/>
      <c r="HJ738" s="5"/>
      <c r="HK738" s="5"/>
      <c r="HL738" s="5"/>
      <c r="HM738" s="5"/>
      <c r="HN738" s="5"/>
      <c r="HO738" s="5"/>
      <c r="HP738" s="5"/>
      <c r="HQ738" s="5"/>
      <c r="HR738" s="5"/>
      <c r="HS738" s="5"/>
      <c r="HT738" s="5"/>
      <c r="HU738" s="5"/>
      <c r="HV738" s="5"/>
      <c r="HW738" s="5"/>
      <c r="HX738" s="5"/>
      <c r="HY738" s="5"/>
      <c r="HZ738" s="5"/>
      <c r="IA738" s="5"/>
      <c r="IB738" s="5"/>
      <c r="IC738" s="5"/>
      <c r="ID738" s="5"/>
      <c r="IE738" s="5"/>
      <c r="IF738" s="5"/>
      <c r="IG738" s="5"/>
      <c r="IH738" s="5"/>
      <c r="II738" s="5"/>
      <c r="IJ738" s="5"/>
      <c r="IK738" s="5"/>
      <c r="IL738" s="5"/>
      <c r="IM738" s="5"/>
      <c r="IN738" s="5"/>
      <c r="IO738" s="5"/>
      <c r="IP738" s="5"/>
      <c r="IQ738" s="5"/>
      <c r="IR738" s="5"/>
      <c r="IS738" s="5"/>
      <c r="IT738" s="5"/>
      <c r="IU738" s="5"/>
      <c r="IV738" s="5"/>
      <c r="IW738" s="5"/>
      <c r="IX738" s="5"/>
      <c r="IY738" s="5"/>
      <c r="IZ738" s="5"/>
      <c r="JA738" s="5"/>
      <c r="JB738" s="5"/>
      <c r="JC738" s="5"/>
      <c r="JD738" s="5"/>
      <c r="JE738" s="5"/>
      <c r="JF738" s="5"/>
      <c r="JG738" s="5"/>
      <c r="JH738" s="5"/>
      <c r="JI738" s="5"/>
      <c r="JJ738" s="5"/>
      <c r="JK738" s="5"/>
      <c r="JL738" s="5"/>
      <c r="JM738" s="5"/>
      <c r="JN738" s="5"/>
      <c r="JO738" s="5"/>
      <c r="JP738" s="5"/>
      <c r="JQ738" s="5"/>
      <c r="JR738" s="5"/>
      <c r="JS738" s="5"/>
      <c r="JT738" s="5"/>
      <c r="JU738" s="5"/>
      <c r="JV738" s="5"/>
      <c r="JW738" s="5"/>
      <c r="JX738" s="5"/>
      <c r="JY738" s="5"/>
      <c r="JZ738" s="5"/>
      <c r="KA738" s="5"/>
      <c r="KB738" s="5"/>
      <c r="KC738" s="5"/>
      <c r="KD738" s="5"/>
      <c r="KE738" s="5"/>
      <c r="KF738" s="5"/>
      <c r="KG738" s="5"/>
      <c r="KH738" s="5"/>
      <c r="KI738" s="5"/>
      <c r="KJ738" s="5"/>
      <c r="KK738" s="5"/>
      <c r="KL738" s="5"/>
      <c r="KM738" s="5"/>
      <c r="KN738" s="5"/>
      <c r="KO738" s="5"/>
      <c r="KP738" s="5"/>
      <c r="KQ738" s="5"/>
      <c r="KR738" s="5"/>
      <c r="KS738" s="5"/>
      <c r="KT738" s="5"/>
      <c r="KU738" s="5"/>
      <c r="KV738" s="5"/>
      <c r="KW738" s="5"/>
      <c r="KX738" s="5"/>
      <c r="KY738" s="5"/>
      <c r="KZ738" s="5"/>
      <c r="LA738" s="5"/>
      <c r="LB738" s="5"/>
      <c r="LC738" s="5"/>
      <c r="LD738" s="5"/>
      <c r="LE738" s="5"/>
      <c r="LF738" s="5"/>
      <c r="LG738" s="5"/>
      <c r="LH738" s="5"/>
      <c r="LI738" s="5"/>
      <c r="LJ738" s="5"/>
      <c r="LK738" s="5"/>
      <c r="LL738" s="5"/>
      <c r="LM738" s="5"/>
      <c r="LN738" s="5"/>
      <c r="LO738" s="5"/>
      <c r="LP738" s="5"/>
      <c r="LQ738" s="5"/>
      <c r="LR738" s="5"/>
      <c r="LS738" s="5"/>
      <c r="LT738" s="5"/>
      <c r="LU738" s="5"/>
      <c r="LV738" s="5"/>
      <c r="LW738" s="5"/>
      <c r="LX738" s="5"/>
      <c r="LY738" s="5"/>
      <c r="LZ738" s="5"/>
      <c r="MA738" s="5"/>
      <c r="MB738" s="5"/>
      <c r="MC738" s="5"/>
      <c r="MD738" s="5"/>
      <c r="ME738" s="5"/>
      <c r="MF738" s="5"/>
      <c r="MG738" s="5"/>
      <c r="MH738" s="5"/>
      <c r="MI738" s="5"/>
      <c r="MJ738" s="5"/>
      <c r="MK738" s="5"/>
      <c r="ML738" s="5"/>
      <c r="MM738" s="5"/>
      <c r="MN738" s="5"/>
      <c r="MO738" s="5"/>
      <c r="MP738" s="5"/>
      <c r="MQ738" s="5"/>
      <c r="MR738" s="5"/>
      <c r="MS738" s="5"/>
      <c r="MT738" s="5"/>
      <c r="MU738" s="5"/>
      <c r="MV738" s="5"/>
      <c r="MW738" s="5"/>
      <c r="MX738" s="5"/>
      <c r="MY738" s="5"/>
      <c r="MZ738" s="5"/>
      <c r="NA738" s="5"/>
      <c r="NB738" s="5"/>
      <c r="NC738" s="5"/>
      <c r="ND738" s="5"/>
      <c r="NE738" s="5"/>
      <c r="NF738" s="5"/>
      <c r="NG738" s="5"/>
      <c r="NH738" s="5"/>
      <c r="NI738" s="5"/>
      <c r="NJ738" s="5"/>
      <c r="NK738" s="5"/>
      <c r="NL738" s="5"/>
      <c r="NM738" s="5"/>
      <c r="NN738" s="5"/>
      <c r="NO738" s="5"/>
      <c r="NP738" s="5"/>
      <c r="NQ738" s="5"/>
      <c r="NR738" s="5"/>
      <c r="NS738" s="5"/>
      <c r="NT738" s="5"/>
      <c r="NU738" s="5"/>
      <c r="NV738" s="5"/>
      <c r="NW738" s="5"/>
      <c r="NX738" s="5"/>
      <c r="NY738" s="5"/>
      <c r="NZ738" s="5"/>
      <c r="OA738" s="5"/>
      <c r="OB738" s="5"/>
      <c r="OC738" s="5"/>
      <c r="OD738" s="5"/>
      <c r="OE738" s="5"/>
      <c r="OF738" s="5"/>
      <c r="OG738" s="5"/>
      <c r="OH738" s="5"/>
      <c r="OI738" s="5"/>
      <c r="OJ738" s="5"/>
      <c r="OK738" s="5"/>
      <c r="OL738" s="5"/>
      <c r="OM738" s="5"/>
      <c r="ON738" s="5"/>
      <c r="OO738" s="5"/>
      <c r="OP738" s="5"/>
      <c r="OQ738" s="5"/>
      <c r="OR738" s="5"/>
      <c r="OS738" s="5"/>
      <c r="OT738" s="5"/>
      <c r="OU738" s="5"/>
      <c r="OV738" s="5"/>
      <c r="OW738" s="5"/>
      <c r="OX738" s="5"/>
      <c r="OY738" s="5"/>
      <c r="OZ738" s="5"/>
      <c r="PA738" s="5"/>
      <c r="PB738" s="5"/>
      <c r="PC738" s="5"/>
      <c r="PD738" s="5"/>
      <c r="PE738" s="5"/>
      <c r="PF738" s="5"/>
      <c r="PG738" s="5"/>
      <c r="PH738" s="5"/>
      <c r="PI738" s="5"/>
      <c r="PJ738" s="5"/>
      <c r="PK738" s="5"/>
      <c r="PL738" s="5"/>
      <c r="PM738" s="5"/>
      <c r="PN738" s="5"/>
      <c r="PO738" s="5"/>
      <c r="PP738" s="5"/>
      <c r="PQ738" s="5"/>
      <c r="PR738" s="5"/>
      <c r="PS738" s="5"/>
      <c r="PT738" s="5"/>
      <c r="PU738" s="5"/>
      <c r="PV738" s="5"/>
      <c r="PW738" s="5"/>
      <c r="PX738" s="5"/>
      <c r="PY738" s="5"/>
      <c r="PZ738" s="5"/>
      <c r="QA738" s="5"/>
      <c r="QB738" s="5"/>
      <c r="QC738" s="5"/>
      <c r="QD738" s="5"/>
      <c r="QE738" s="5"/>
      <c r="QF738" s="5"/>
      <c r="QG738" s="5"/>
      <c r="QH738" s="5"/>
      <c r="QI738" s="5"/>
      <c r="QJ738" s="5"/>
      <c r="QK738" s="5"/>
      <c r="QL738" s="5"/>
      <c r="QM738" s="5"/>
      <c r="QN738" s="5"/>
      <c r="QO738" s="5"/>
      <c r="QP738" s="5"/>
      <c r="QQ738" s="5"/>
      <c r="QR738" s="5"/>
      <c r="QS738" s="5"/>
      <c r="QT738" s="5"/>
      <c r="QU738" s="5"/>
      <c r="QV738" s="5"/>
      <c r="QW738" s="5"/>
      <c r="QX738" s="5"/>
      <c r="QY738" s="5"/>
      <c r="QZ738" s="5"/>
      <c r="RA738" s="5"/>
      <c r="RB738" s="5"/>
      <c r="RC738" s="5"/>
      <c r="RD738" s="5"/>
      <c r="RE738" s="5"/>
      <c r="RF738" s="5"/>
      <c r="RG738" s="5"/>
      <c r="RH738" s="5"/>
      <c r="RI738" s="5"/>
      <c r="RJ738" s="5"/>
      <c r="RK738" s="5"/>
      <c r="RL738" s="5"/>
      <c r="RM738" s="5"/>
      <c r="RN738" s="5"/>
      <c r="RO738" s="5"/>
      <c r="RP738" s="5"/>
      <c r="RQ738" s="5"/>
      <c r="RR738" s="5"/>
      <c r="RS738" s="5"/>
      <c r="RT738" s="5"/>
      <c r="RU738" s="5"/>
      <c r="RV738" s="5"/>
      <c r="RW738" s="5"/>
      <c r="RX738" s="5"/>
      <c r="RY738" s="5"/>
      <c r="RZ738" s="5"/>
      <c r="SA738" s="5"/>
      <c r="SB738" s="5"/>
      <c r="SC738" s="5"/>
      <c r="SD738" s="5"/>
      <c r="SE738" s="5"/>
      <c r="SF738" s="5"/>
      <c r="SG738" s="5"/>
      <c r="SH738" s="5"/>
      <c r="SI738" s="5"/>
      <c r="SJ738" s="5"/>
      <c r="SK738" s="5"/>
      <c r="SL738" s="5"/>
      <c r="SM738" s="5"/>
      <c r="SN738" s="5"/>
      <c r="SO738" s="5"/>
      <c r="SP738" s="5"/>
      <c r="SQ738" s="5"/>
      <c r="SR738" s="5"/>
      <c r="SS738" s="5"/>
      <c r="ST738" s="5"/>
      <c r="SU738" s="5"/>
      <c r="SV738" s="5"/>
      <c r="SW738" s="5"/>
      <c r="SX738" s="5"/>
      <c r="SY738" s="5"/>
      <c r="SZ738" s="5"/>
      <c r="TA738" s="5"/>
      <c r="TB738" s="5"/>
      <c r="TC738" s="5"/>
      <c r="TD738" s="5"/>
      <c r="TE738" s="5"/>
      <c r="TF738" s="5"/>
      <c r="TG738" s="5"/>
      <c r="TH738" s="5"/>
      <c r="TI738" s="5"/>
      <c r="TJ738" s="5"/>
      <c r="TK738" s="5"/>
      <c r="TL738" s="5"/>
      <c r="TM738" s="5"/>
      <c r="TN738" s="5"/>
      <c r="TO738" s="5"/>
      <c r="TP738" s="5"/>
      <c r="TQ738" s="5"/>
      <c r="TR738" s="5"/>
      <c r="TS738" s="5"/>
      <c r="TT738" s="5"/>
      <c r="TU738" s="5"/>
      <c r="TV738" s="5"/>
      <c r="TW738" s="5"/>
      <c r="TX738" s="5"/>
      <c r="TY738" s="5"/>
      <c r="TZ738" s="5"/>
      <c r="UA738" s="5"/>
      <c r="UB738" s="5"/>
      <c r="UC738" s="5"/>
      <c r="UD738" s="5"/>
      <c r="UE738" s="5"/>
      <c r="UF738" s="5"/>
      <c r="UG738" s="5"/>
      <c r="UH738" s="5"/>
      <c r="UI738" s="5"/>
      <c r="UJ738" s="5"/>
      <c r="UK738" s="5"/>
      <c r="UL738" s="5"/>
      <c r="UM738" s="5"/>
      <c r="UN738" s="5"/>
      <c r="UO738" s="5"/>
      <c r="UP738" s="5"/>
      <c r="UQ738" s="5"/>
      <c r="UR738" s="5"/>
      <c r="US738" s="5"/>
      <c r="UT738" s="5"/>
      <c r="UU738" s="5"/>
      <c r="UV738" s="5"/>
      <c r="UW738" s="5"/>
      <c r="UX738" s="5"/>
      <c r="UY738" s="5"/>
      <c r="UZ738" s="5"/>
      <c r="VA738" s="5"/>
      <c r="VB738" s="5"/>
      <c r="VC738" s="5"/>
      <c r="VD738" s="5"/>
      <c r="VE738" s="5"/>
      <c r="VF738" s="5"/>
      <c r="VG738" s="5"/>
      <c r="VH738" s="5"/>
      <c r="VI738" s="5"/>
      <c r="VJ738" s="5"/>
      <c r="VK738" s="5"/>
      <c r="VL738" s="5"/>
      <c r="VM738" s="5"/>
      <c r="VN738" s="5"/>
      <c r="VO738" s="5"/>
      <c r="VP738" s="5"/>
      <c r="VQ738" s="5"/>
      <c r="VR738" s="5"/>
      <c r="VS738" s="5"/>
      <c r="VT738" s="5"/>
      <c r="VU738" s="5"/>
      <c r="VV738" s="5"/>
      <c r="VW738" s="5"/>
      <c r="VX738" s="5"/>
      <c r="VY738" s="5"/>
      <c r="VZ738" s="5"/>
      <c r="WA738" s="5"/>
      <c r="WB738" s="5"/>
      <c r="WC738" s="5"/>
      <c r="WD738" s="5"/>
      <c r="WE738" s="5"/>
      <c r="WF738" s="5"/>
      <c r="WG738" s="5"/>
      <c r="WH738" s="5"/>
      <c r="WI738" s="5"/>
      <c r="WJ738" s="5"/>
      <c r="WK738" s="5"/>
      <c r="WL738" s="5"/>
      <c r="WM738" s="5"/>
      <c r="WN738" s="5"/>
      <c r="WO738" s="5"/>
      <c r="WP738" s="5"/>
      <c r="WQ738" s="5"/>
      <c r="WR738" s="5"/>
      <c r="WS738" s="5"/>
      <c r="WT738" s="5"/>
      <c r="WU738" s="5"/>
      <c r="WV738" s="5"/>
      <c r="WW738" s="5"/>
      <c r="WX738" s="5"/>
      <c r="WY738" s="5"/>
      <c r="WZ738" s="5"/>
      <c r="XA738" s="5"/>
      <c r="XB738" s="5"/>
      <c r="XC738" s="5"/>
      <c r="XD738" s="5"/>
      <c r="XE738" s="5"/>
      <c r="XF738" s="5"/>
      <c r="XG738" s="5"/>
      <c r="XH738" s="5"/>
      <c r="XI738" s="5"/>
      <c r="XJ738" s="5"/>
      <c r="XK738" s="5"/>
      <c r="XL738" s="5"/>
      <c r="XM738" s="5"/>
      <c r="XN738" s="5"/>
      <c r="XO738" s="5"/>
      <c r="XP738" s="5"/>
      <c r="XQ738" s="5"/>
      <c r="XR738" s="5"/>
      <c r="XS738" s="5"/>
      <c r="XT738" s="5"/>
      <c r="XU738" s="5"/>
      <c r="XV738" s="5"/>
      <c r="XW738" s="5"/>
      <c r="XX738" s="5"/>
      <c r="XY738" s="5"/>
      <c r="XZ738" s="5"/>
      <c r="YA738" s="5"/>
      <c r="YB738" s="5"/>
      <c r="YC738" s="5"/>
      <c r="YD738" s="5"/>
      <c r="YE738" s="5"/>
      <c r="YF738" s="5"/>
      <c r="YG738" s="5"/>
      <c r="YH738" s="5"/>
      <c r="YI738" s="5"/>
      <c r="YJ738" s="5"/>
      <c r="YK738" s="5"/>
      <c r="YL738" s="5"/>
      <c r="YM738" s="5"/>
      <c r="YN738" s="5"/>
      <c r="YO738" s="5"/>
      <c r="YP738" s="5"/>
      <c r="YQ738" s="5"/>
      <c r="YR738" s="5"/>
      <c r="YS738" s="5"/>
      <c r="YT738" s="5"/>
      <c r="YU738" s="5"/>
      <c r="YV738" s="5"/>
      <c r="YW738" s="5"/>
      <c r="YX738" s="5"/>
      <c r="YY738" s="5"/>
      <c r="YZ738" s="5"/>
      <c r="ZA738" s="5"/>
      <c r="ZB738" s="5"/>
      <c r="ZC738" s="5"/>
      <c r="ZD738" s="5"/>
      <c r="ZE738" s="5"/>
      <c r="ZF738" s="5"/>
      <c r="ZG738" s="5"/>
      <c r="ZH738" s="5"/>
      <c r="ZI738" s="5"/>
      <c r="ZJ738" s="5"/>
      <c r="ZK738" s="5"/>
      <c r="ZL738" s="5"/>
      <c r="ZM738" s="5"/>
      <c r="ZN738" s="5"/>
      <c r="ZO738" s="5"/>
      <c r="ZP738" s="5"/>
      <c r="ZQ738" s="5"/>
      <c r="ZR738" s="5"/>
      <c r="ZS738" s="5"/>
      <c r="ZT738" s="5"/>
      <c r="ZU738" s="5"/>
      <c r="ZV738" s="5"/>
      <c r="ZW738" s="5"/>
      <c r="ZX738" s="5"/>
      <c r="ZY738" s="5"/>
      <c r="ZZ738" s="5"/>
      <c r="AAA738" s="5"/>
      <c r="AAB738" s="5"/>
      <c r="AAC738" s="5"/>
      <c r="AAD738" s="5"/>
      <c r="AAE738" s="5"/>
      <c r="AAF738" s="5"/>
      <c r="AAG738" s="5"/>
      <c r="AAH738" s="5"/>
      <c r="AAI738" s="5"/>
      <c r="AAJ738" s="5"/>
      <c r="AAK738" s="5"/>
      <c r="AAL738" s="5"/>
      <c r="AAM738" s="5"/>
      <c r="AAN738" s="5"/>
      <c r="AAO738" s="5"/>
      <c r="AAP738" s="5"/>
      <c r="AAQ738" s="5"/>
      <c r="AAR738" s="5"/>
      <c r="AAS738" s="5"/>
      <c r="AAT738" s="5"/>
      <c r="AAU738" s="5"/>
      <c r="AAV738" s="5"/>
      <c r="AAW738" s="5"/>
      <c r="AAX738" s="5"/>
      <c r="AAY738" s="5"/>
      <c r="AAZ738" s="5"/>
      <c r="ABA738" s="5"/>
      <c r="ABB738" s="5"/>
      <c r="ABC738" s="5"/>
      <c r="ABD738" s="5"/>
      <c r="ABE738" s="5"/>
      <c r="ABF738" s="5"/>
      <c r="ABG738" s="5"/>
      <c r="ABH738" s="5"/>
      <c r="ABI738" s="5"/>
      <c r="ABJ738" s="5"/>
      <c r="ABK738" s="5"/>
      <c r="ABL738" s="5"/>
      <c r="ABM738" s="5"/>
      <c r="ABN738" s="5"/>
      <c r="ABO738" s="5"/>
      <c r="ABP738" s="5"/>
      <c r="ABQ738" s="5"/>
      <c r="ABR738" s="5"/>
      <c r="ABS738" s="5"/>
      <c r="ABT738" s="5"/>
      <c r="ABU738" s="5"/>
      <c r="ABV738" s="5"/>
      <c r="ABW738" s="5"/>
      <c r="ABX738" s="5"/>
      <c r="ABY738" s="5"/>
      <c r="ABZ738" s="5"/>
      <c r="ACA738" s="5"/>
      <c r="ACB738" s="5"/>
      <c r="ACC738" s="5"/>
      <c r="ACD738" s="5"/>
      <c r="ACE738" s="5"/>
      <c r="ACF738" s="5"/>
      <c r="ACG738" s="5"/>
      <c r="ACH738" s="5"/>
      <c r="ACI738" s="5"/>
      <c r="ACJ738" s="5"/>
      <c r="ACK738" s="5"/>
      <c r="ACL738" s="5"/>
      <c r="ACM738" s="5"/>
      <c r="ACN738" s="5"/>
      <c r="ACO738" s="5"/>
      <c r="ACP738" s="5"/>
      <c r="ACQ738" s="5"/>
      <c r="ACR738" s="5"/>
      <c r="ACS738" s="5"/>
      <c r="ACT738" s="5"/>
      <c r="ACU738" s="5"/>
      <c r="ACV738" s="5"/>
      <c r="ACW738" s="5"/>
      <c r="ACX738" s="5"/>
      <c r="ACY738" s="5"/>
      <c r="ACZ738" s="5"/>
      <c r="ADA738" s="5"/>
      <c r="ADB738" s="5"/>
      <c r="ADC738" s="5"/>
      <c r="ADD738" s="5"/>
      <c r="ADE738" s="5"/>
      <c r="ADF738" s="5"/>
      <c r="ADG738" s="5"/>
      <c r="ADH738" s="5"/>
      <c r="ADI738" s="5"/>
      <c r="ADJ738" s="5"/>
      <c r="ADK738" s="5"/>
      <c r="ADL738" s="5"/>
      <c r="ADM738" s="5"/>
      <c r="ADN738" s="5"/>
      <c r="ADO738" s="5"/>
      <c r="ADP738" s="5"/>
      <c r="ADQ738" s="5"/>
      <c r="ADR738" s="5"/>
      <c r="ADS738" s="5"/>
      <c r="ADT738" s="5"/>
      <c r="ADU738" s="5"/>
      <c r="ADV738" s="5"/>
      <c r="ADW738" s="5"/>
      <c r="ADX738" s="5"/>
      <c r="ADY738" s="5"/>
      <c r="ADZ738" s="5"/>
      <c r="AEA738" s="5"/>
      <c r="AEB738" s="5"/>
      <c r="AEC738" s="5"/>
      <c r="AED738" s="5"/>
      <c r="AEE738" s="5"/>
      <c r="AEF738" s="5"/>
      <c r="AEG738" s="5"/>
      <c r="AEH738" s="5"/>
      <c r="AEI738" s="5"/>
      <c r="AEJ738" s="5"/>
      <c r="AEK738" s="5"/>
      <c r="AEL738" s="5"/>
      <c r="AEM738" s="5"/>
      <c r="AEN738" s="5"/>
      <c r="AEO738" s="5"/>
      <c r="AEP738" s="5"/>
      <c r="AEQ738" s="5"/>
      <c r="AER738" s="5"/>
      <c r="AES738" s="5"/>
      <c r="AET738" s="5"/>
      <c r="AEU738" s="5"/>
      <c r="AEV738" s="5"/>
      <c r="AEW738" s="5"/>
      <c r="AEX738" s="5"/>
      <c r="AEY738" s="5"/>
      <c r="AEZ738" s="5"/>
      <c r="AFA738" s="5"/>
      <c r="AFB738" s="5"/>
      <c r="AFC738" s="5"/>
      <c r="AFD738" s="5"/>
      <c r="AFE738" s="5"/>
      <c r="AFF738" s="5"/>
      <c r="AFG738" s="5"/>
      <c r="AFH738" s="5"/>
      <c r="AFI738" s="5"/>
      <c r="AFJ738" s="5"/>
      <c r="AFK738" s="5"/>
      <c r="AFL738" s="5"/>
      <c r="AFM738" s="5"/>
      <c r="AFN738" s="5"/>
      <c r="AFO738" s="5"/>
      <c r="AFP738" s="5"/>
      <c r="AFQ738" s="5"/>
      <c r="AFR738" s="5"/>
      <c r="AFS738" s="5"/>
      <c r="AFT738" s="5"/>
      <c r="AFU738" s="5"/>
      <c r="AFV738" s="5"/>
      <c r="AFW738" s="5"/>
      <c r="AFX738" s="5"/>
      <c r="AFY738" s="5"/>
      <c r="AFZ738" s="5"/>
      <c r="AGA738" s="5"/>
      <c r="AGB738" s="5"/>
      <c r="AGC738" s="5"/>
      <c r="AGD738" s="5"/>
      <c r="AGE738" s="5"/>
      <c r="AGF738" s="5"/>
      <c r="AGG738" s="5"/>
      <c r="AGH738" s="5"/>
      <c r="AGI738" s="5"/>
      <c r="AGJ738" s="5"/>
      <c r="AGK738" s="5"/>
      <c r="AGL738" s="5"/>
      <c r="AGM738" s="5"/>
      <c r="AGN738" s="5"/>
      <c r="AGO738" s="5"/>
      <c r="AGP738" s="5"/>
      <c r="AGQ738" s="5"/>
      <c r="AGR738" s="5"/>
      <c r="AGS738" s="5"/>
      <c r="AGT738" s="5"/>
      <c r="AGU738" s="5"/>
      <c r="AGV738" s="5"/>
      <c r="AGW738" s="5"/>
      <c r="AGX738" s="5"/>
      <c r="AGY738" s="5"/>
      <c r="AGZ738" s="5"/>
      <c r="AHA738" s="5"/>
      <c r="AHB738" s="5"/>
      <c r="AHC738" s="5"/>
      <c r="AHD738" s="5"/>
      <c r="AHE738" s="5"/>
      <c r="AHF738" s="5"/>
      <c r="AHG738" s="5"/>
      <c r="AHH738" s="5"/>
      <c r="AHI738" s="5"/>
      <c r="AHJ738" s="5"/>
      <c r="AHK738" s="5"/>
      <c r="AHL738" s="5"/>
      <c r="AHM738" s="5"/>
      <c r="AHN738" s="5"/>
      <c r="AHO738" s="5"/>
      <c r="AHP738" s="5"/>
      <c r="AHQ738" s="5"/>
      <c r="AHR738" s="5"/>
      <c r="AHS738" s="5"/>
      <c r="AHT738" s="5"/>
      <c r="AHU738" s="5"/>
      <c r="AHV738" s="5"/>
      <c r="AHW738" s="5"/>
      <c r="AHX738" s="5"/>
      <c r="AHY738" s="5"/>
      <c r="AHZ738" s="5"/>
      <c r="AIA738" s="5"/>
      <c r="AIB738" s="5"/>
      <c r="AIC738" s="5"/>
      <c r="AID738" s="5"/>
      <c r="AIE738" s="5"/>
      <c r="AIF738" s="5"/>
      <c r="AIG738" s="5"/>
      <c r="AIH738" s="5"/>
      <c r="AII738" s="5"/>
      <c r="AIJ738" s="5"/>
      <c r="AIK738" s="5"/>
      <c r="AIL738" s="5"/>
      <c r="AIM738" s="5"/>
      <c r="AIN738" s="5"/>
      <c r="AIO738" s="5"/>
      <c r="AIP738" s="5"/>
      <c r="AIQ738" s="5"/>
      <c r="AIR738" s="5"/>
      <c r="AIS738" s="5"/>
      <c r="AIT738" s="5"/>
      <c r="AIU738" s="5"/>
      <c r="AIV738" s="5"/>
      <c r="AIW738" s="5"/>
      <c r="AIX738" s="5"/>
      <c r="AIY738" s="5"/>
      <c r="AIZ738" s="5"/>
      <c r="AJA738" s="5"/>
      <c r="AJB738" s="5"/>
      <c r="AJC738" s="5"/>
      <c r="AJD738" s="5"/>
      <c r="AJE738" s="5"/>
      <c r="AJF738" s="5"/>
      <c r="AJG738" s="5"/>
      <c r="AJH738" s="5"/>
      <c r="AJI738" s="5"/>
      <c r="AJJ738" s="5"/>
      <c r="AJK738" s="5"/>
      <c r="AJL738" s="5"/>
      <c r="AJM738" s="5"/>
      <c r="AJN738" s="5"/>
      <c r="AJO738" s="5"/>
      <c r="AJP738" s="5"/>
      <c r="AJQ738" s="5"/>
      <c r="AJR738" s="5"/>
      <c r="AJS738" s="5"/>
      <c r="AJT738" s="5"/>
      <c r="AJU738" s="5"/>
      <c r="AJV738" s="5"/>
      <c r="AJW738" s="5"/>
      <c r="AJX738" s="5"/>
      <c r="AJY738" s="5"/>
      <c r="AJZ738" s="5"/>
      <c r="AKA738" s="5"/>
      <c r="AKB738" s="5"/>
      <c r="AKC738" s="5"/>
      <c r="AKD738" s="5"/>
      <c r="AKE738" s="5"/>
      <c r="AKF738" s="5"/>
      <c r="AKG738" s="5"/>
      <c r="AKH738" s="5"/>
      <c r="AKI738" s="5"/>
      <c r="AKJ738" s="5"/>
      <c r="AKK738" s="5"/>
      <c r="AKL738" s="5"/>
      <c r="AKM738" s="5"/>
      <c r="AKN738" s="5"/>
      <c r="AKO738" s="5"/>
      <c r="AKP738" s="5"/>
      <c r="AKQ738" s="5"/>
      <c r="AKR738" s="5"/>
      <c r="AKS738" s="5"/>
      <c r="AKT738" s="5"/>
      <c r="AKU738" s="5"/>
      <c r="AKV738" s="5"/>
      <c r="AKW738" s="5"/>
      <c r="AKX738" s="5"/>
      <c r="AKY738" s="5"/>
      <c r="AKZ738" s="5"/>
      <c r="ALA738" s="5"/>
      <c r="ALB738" s="5"/>
      <c r="ALC738" s="5"/>
      <c r="ALD738" s="5"/>
      <c r="ALE738" s="5"/>
      <c r="ALF738" s="5"/>
      <c r="ALG738" s="5"/>
      <c r="ALH738" s="5"/>
      <c r="ALI738" s="5"/>
      <c r="ALJ738" s="5"/>
      <c r="ALK738" s="5"/>
      <c r="ALL738" s="5"/>
      <c r="ALM738" s="5"/>
      <c r="ALN738" s="5"/>
      <c r="ALO738" s="5"/>
      <c r="ALP738" s="5"/>
      <c r="ALQ738" s="5"/>
      <c r="ALR738" s="5"/>
      <c r="ALS738" s="5"/>
      <c r="ALT738" s="5"/>
      <c r="ALU738" s="5"/>
      <c r="ALV738" s="5"/>
      <c r="ALW738" s="5"/>
      <c r="ALX738" s="5"/>
      <c r="ALY738" s="5"/>
      <c r="ALZ738" s="5"/>
      <c r="AMA738" s="5"/>
      <c r="AMB738" s="5"/>
      <c r="AMC738" s="5"/>
      <c r="AMD738" s="5"/>
      <c r="AME738" s="5"/>
      <c r="AMF738" s="5"/>
      <c r="AMG738" s="5"/>
      <c r="AMH738" s="5"/>
      <c r="AMI738" s="5"/>
      <c r="AMJ738" s="5"/>
      <c r="AMK738" s="5"/>
      <c r="AML738" s="5"/>
      <c r="AMM738" s="5"/>
      <c r="AMN738" s="5"/>
      <c r="AMO738" s="5"/>
      <c r="AMP738" s="5"/>
      <c r="AMQ738" s="5"/>
      <c r="AMR738" s="5"/>
      <c r="AMS738" s="5"/>
      <c r="AMT738" s="5"/>
      <c r="AMU738" s="5"/>
      <c r="AMV738" s="5"/>
      <c r="AMW738" s="5"/>
      <c r="AMX738" s="5"/>
      <c r="AMY738" s="5"/>
      <c r="AMZ738" s="5"/>
      <c r="ANA738" s="5"/>
      <c r="ANB738" s="5"/>
      <c r="ANC738" s="5"/>
      <c r="AND738" s="5"/>
      <c r="ANE738" s="5"/>
      <c r="ANF738" s="5"/>
      <c r="ANG738" s="5"/>
      <c r="ANH738" s="5"/>
      <c r="ANI738" s="5"/>
      <c r="ANJ738" s="5"/>
      <c r="ANK738" s="5"/>
      <c r="ANL738" s="5"/>
      <c r="ANM738" s="5"/>
      <c r="ANN738" s="5"/>
      <c r="ANO738" s="5"/>
      <c r="ANP738" s="5"/>
      <c r="ANQ738" s="5"/>
      <c r="ANR738" s="5"/>
      <c r="ANS738" s="5"/>
      <c r="ANT738" s="5"/>
      <c r="ANU738" s="5"/>
      <c r="ANV738" s="5"/>
      <c r="ANW738" s="5"/>
      <c r="ANX738" s="5"/>
      <c r="ANY738" s="5"/>
      <c r="ANZ738" s="5"/>
      <c r="AOA738" s="5"/>
      <c r="AOB738" s="5"/>
      <c r="AOC738" s="5"/>
      <c r="AOD738" s="5"/>
      <c r="AOE738" s="5"/>
      <c r="AOF738" s="5"/>
      <c r="AOG738" s="5"/>
      <c r="AOH738" s="5"/>
      <c r="AOI738" s="5"/>
      <c r="AOJ738" s="5"/>
      <c r="AOK738" s="5"/>
      <c r="AOL738" s="5"/>
      <c r="AOM738" s="5"/>
      <c r="AON738" s="5"/>
      <c r="AOO738" s="5"/>
      <c r="AOP738" s="5"/>
      <c r="AOQ738" s="5"/>
      <c r="AOR738" s="5"/>
      <c r="AOS738" s="5"/>
      <c r="AOT738" s="5"/>
      <c r="AOU738" s="5"/>
      <c r="AOV738" s="5"/>
      <c r="AOW738" s="5"/>
      <c r="AOX738" s="5"/>
      <c r="AOY738" s="5"/>
      <c r="AOZ738" s="5"/>
      <c r="APA738" s="5"/>
      <c r="APB738" s="5"/>
      <c r="APC738" s="5"/>
      <c r="APD738" s="5"/>
      <c r="APE738" s="5"/>
      <c r="APF738" s="5"/>
      <c r="APG738" s="5"/>
      <c r="APH738" s="5"/>
      <c r="API738" s="5"/>
      <c r="APJ738" s="5"/>
      <c r="APK738" s="5"/>
      <c r="APL738" s="5"/>
      <c r="APM738" s="5"/>
      <c r="APN738" s="5"/>
      <c r="APO738" s="5"/>
      <c r="APP738" s="5"/>
      <c r="APQ738" s="5"/>
      <c r="APR738" s="5"/>
      <c r="APS738" s="5"/>
      <c r="APT738" s="5"/>
      <c r="APU738" s="5"/>
      <c r="APV738" s="5"/>
      <c r="APW738" s="5"/>
      <c r="APX738" s="5"/>
      <c r="APY738" s="5"/>
      <c r="APZ738" s="5"/>
      <c r="AQA738" s="5"/>
      <c r="AQB738" s="5"/>
      <c r="AQC738" s="5"/>
      <c r="AQD738" s="5"/>
      <c r="AQE738" s="5"/>
      <c r="AQF738" s="5"/>
      <c r="AQG738" s="5"/>
      <c r="AQH738" s="5"/>
      <c r="AQI738" s="5"/>
      <c r="AQJ738" s="5"/>
      <c r="AQK738" s="5"/>
      <c r="AQL738" s="5"/>
      <c r="AQM738" s="5"/>
      <c r="AQN738" s="5"/>
      <c r="AQO738" s="5"/>
      <c r="AQP738" s="5"/>
      <c r="AQQ738" s="5"/>
      <c r="AQR738" s="5"/>
      <c r="AQS738" s="5"/>
      <c r="AQT738" s="5"/>
      <c r="AQU738" s="5"/>
      <c r="AQV738" s="5"/>
      <c r="AQW738" s="5"/>
      <c r="AQX738" s="5"/>
      <c r="AQY738" s="5"/>
      <c r="AQZ738" s="5"/>
      <c r="ARA738" s="5"/>
      <c r="ARB738" s="5"/>
      <c r="ARC738" s="5"/>
      <c r="ARD738" s="5"/>
      <c r="ARE738" s="5"/>
      <c r="ARF738" s="5"/>
      <c r="ARG738" s="5"/>
      <c r="ARH738" s="5"/>
      <c r="ARI738" s="5"/>
      <c r="ARJ738" s="5"/>
      <c r="ARK738" s="5"/>
      <c r="ARL738" s="5"/>
      <c r="ARM738" s="5"/>
      <c r="ARN738" s="5"/>
      <c r="ARO738" s="5"/>
      <c r="ARP738" s="5"/>
      <c r="ARQ738" s="5"/>
      <c r="ARR738" s="5"/>
      <c r="ARS738" s="5"/>
      <c r="ART738" s="5"/>
      <c r="ARU738" s="5"/>
      <c r="ARV738" s="5"/>
      <c r="ARW738" s="5"/>
      <c r="ARX738" s="5"/>
      <c r="ARY738" s="5"/>
      <c r="ARZ738" s="5"/>
      <c r="ASA738" s="5"/>
      <c r="ASB738" s="5"/>
      <c r="ASC738" s="5"/>
      <c r="ASD738" s="5"/>
      <c r="ASE738" s="5"/>
      <c r="ASF738" s="5"/>
      <c r="ASG738" s="5"/>
      <c r="ASH738" s="5"/>
      <c r="ASI738" s="5"/>
      <c r="ASJ738" s="5"/>
      <c r="ASK738" s="5"/>
      <c r="ASL738" s="5"/>
      <c r="ASM738" s="5"/>
      <c r="ASN738" s="5"/>
      <c r="ASO738" s="5"/>
      <c r="ASP738" s="5"/>
      <c r="ASQ738" s="5"/>
      <c r="ASR738" s="5"/>
      <c r="ASS738" s="5"/>
      <c r="AST738" s="5"/>
      <c r="ASU738" s="5"/>
      <c r="ASV738" s="5"/>
      <c r="ASW738" s="5"/>
      <c r="ASX738" s="5"/>
      <c r="ASY738" s="5"/>
      <c r="ASZ738" s="5"/>
      <c r="ATA738" s="5"/>
      <c r="ATB738" s="5"/>
      <c r="ATC738" s="5"/>
      <c r="ATD738" s="5"/>
      <c r="ATE738" s="5"/>
      <c r="ATF738" s="5"/>
      <c r="ATG738" s="5"/>
      <c r="ATH738" s="5"/>
      <c r="ATI738" s="5"/>
      <c r="ATJ738" s="5"/>
      <c r="ATK738" s="5"/>
      <c r="ATL738" s="5"/>
      <c r="ATM738" s="5"/>
      <c r="ATN738" s="5"/>
      <c r="ATO738" s="5"/>
      <c r="ATP738" s="5"/>
      <c r="ATQ738" s="5"/>
      <c r="ATR738" s="5"/>
      <c r="ATS738" s="5"/>
      <c r="ATT738" s="5"/>
      <c r="ATU738" s="5"/>
      <c r="ATV738" s="5"/>
      <c r="ATW738" s="5"/>
      <c r="ATX738" s="5"/>
    </row>
    <row r="739" spans="1:1220" s="67" customFormat="1" ht="12.75" customHeight="1" x14ac:dyDescent="0.35">
      <c r="A739" s="76" t="s">
        <v>229</v>
      </c>
      <c r="B739" s="99" t="s">
        <v>372</v>
      </c>
      <c r="C739" s="76" t="s">
        <v>2639</v>
      </c>
      <c r="D739" s="142" t="s">
        <v>2639</v>
      </c>
      <c r="E739" s="76"/>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c r="DX739" s="5"/>
      <c r="DY739" s="5"/>
      <c r="DZ739" s="5"/>
      <c r="EA739" s="5"/>
      <c r="EB739" s="5"/>
      <c r="EC739" s="5"/>
      <c r="ED739" s="5"/>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s="5"/>
      <c r="FG739" s="5"/>
      <c r="FH739" s="5"/>
      <c r="FI739" s="5"/>
      <c r="FJ739" s="5"/>
      <c r="FK739" s="5"/>
      <c r="FL739" s="5"/>
      <c r="FM739" s="5"/>
      <c r="FN739" s="5"/>
      <c r="FO739" s="5"/>
      <c r="FP739" s="5"/>
      <c r="FQ739" s="5"/>
      <c r="FR739" s="5"/>
      <c r="FS739" s="5"/>
      <c r="FT739" s="5"/>
      <c r="FU739" s="5"/>
      <c r="FV739" s="5"/>
      <c r="FW739" s="5"/>
      <c r="FX739" s="5"/>
      <c r="FY739" s="5"/>
      <c r="FZ739" s="5"/>
      <c r="GA739" s="5"/>
      <c r="GB739" s="5"/>
      <c r="GC739" s="5"/>
      <c r="GD739" s="5"/>
      <c r="GE739" s="5"/>
      <c r="GF739" s="5"/>
      <c r="GG739" s="5"/>
      <c r="GH739" s="5"/>
      <c r="GI739" s="5"/>
      <c r="GJ739" s="5"/>
      <c r="GK739" s="5"/>
      <c r="GL739" s="5"/>
      <c r="GM739" s="5"/>
      <c r="GN739" s="5"/>
      <c r="GO739" s="5"/>
      <c r="GP739" s="5"/>
      <c r="GQ739" s="5"/>
      <c r="GR739" s="5"/>
      <c r="GS739" s="5"/>
      <c r="GT739" s="5"/>
      <c r="GU739" s="5"/>
      <c r="GV739" s="5"/>
      <c r="GW739" s="5"/>
      <c r="GX739" s="5"/>
      <c r="GY739" s="5"/>
      <c r="GZ739" s="5"/>
      <c r="HA739" s="5"/>
      <c r="HB739" s="5"/>
      <c r="HC739" s="5"/>
      <c r="HD739" s="5"/>
      <c r="HE739" s="5"/>
      <c r="HF739" s="5"/>
      <c r="HG739" s="5"/>
      <c r="HH739" s="5"/>
      <c r="HI739" s="5"/>
      <c r="HJ739" s="5"/>
      <c r="HK739" s="5"/>
      <c r="HL739" s="5"/>
      <c r="HM739" s="5"/>
      <c r="HN739" s="5"/>
      <c r="HO739" s="5"/>
      <c r="HP739" s="5"/>
      <c r="HQ739" s="5"/>
      <c r="HR739" s="5"/>
      <c r="HS739" s="5"/>
      <c r="HT739" s="5"/>
      <c r="HU739" s="5"/>
      <c r="HV739" s="5"/>
      <c r="HW739" s="5"/>
      <c r="HX739" s="5"/>
      <c r="HY739" s="5"/>
      <c r="HZ739" s="5"/>
      <c r="IA739" s="5"/>
      <c r="IB739" s="5"/>
      <c r="IC739" s="5"/>
      <c r="ID739" s="5"/>
      <c r="IE739" s="5"/>
      <c r="IF739" s="5"/>
      <c r="IG739" s="5"/>
      <c r="IH739" s="5"/>
      <c r="II739" s="5"/>
      <c r="IJ739" s="5"/>
      <c r="IK739" s="5"/>
      <c r="IL739" s="5"/>
      <c r="IM739" s="5"/>
      <c r="IN739" s="5"/>
      <c r="IO739" s="5"/>
      <c r="IP739" s="5"/>
      <c r="IQ739" s="5"/>
      <c r="IR739" s="5"/>
      <c r="IS739" s="5"/>
      <c r="IT739" s="5"/>
      <c r="IU739" s="5"/>
      <c r="IV739" s="5"/>
      <c r="IW739" s="5"/>
      <c r="IX739" s="5"/>
      <c r="IY739" s="5"/>
      <c r="IZ739" s="5"/>
      <c r="JA739" s="5"/>
      <c r="JB739" s="5"/>
      <c r="JC739" s="5"/>
      <c r="JD739" s="5"/>
      <c r="JE739" s="5"/>
      <c r="JF739" s="5"/>
      <c r="JG739" s="5"/>
      <c r="JH739" s="5"/>
      <c r="JI739" s="5"/>
      <c r="JJ739" s="5"/>
      <c r="JK739" s="5"/>
      <c r="JL739" s="5"/>
      <c r="JM739" s="5"/>
      <c r="JN739" s="5"/>
      <c r="JO739" s="5"/>
      <c r="JP739" s="5"/>
      <c r="JQ739" s="5"/>
      <c r="JR739" s="5"/>
      <c r="JS739" s="5"/>
      <c r="JT739" s="5"/>
      <c r="JU739" s="5"/>
      <c r="JV739" s="5"/>
      <c r="JW739" s="5"/>
      <c r="JX739" s="5"/>
      <c r="JY739" s="5"/>
      <c r="JZ739" s="5"/>
      <c r="KA739" s="5"/>
      <c r="KB739" s="5"/>
      <c r="KC739" s="5"/>
      <c r="KD739" s="5"/>
      <c r="KE739" s="5"/>
      <c r="KF739" s="5"/>
      <c r="KG739" s="5"/>
      <c r="KH739" s="5"/>
      <c r="KI739" s="5"/>
      <c r="KJ739" s="5"/>
      <c r="KK739" s="5"/>
      <c r="KL739" s="5"/>
      <c r="KM739" s="5"/>
      <c r="KN739" s="5"/>
      <c r="KO739" s="5"/>
      <c r="KP739" s="5"/>
      <c r="KQ739" s="5"/>
      <c r="KR739" s="5"/>
      <c r="KS739" s="5"/>
      <c r="KT739" s="5"/>
      <c r="KU739" s="5"/>
      <c r="KV739" s="5"/>
      <c r="KW739" s="5"/>
      <c r="KX739" s="5"/>
      <c r="KY739" s="5"/>
      <c r="KZ739" s="5"/>
      <c r="LA739" s="5"/>
      <c r="LB739" s="5"/>
      <c r="LC739" s="5"/>
      <c r="LD739" s="5"/>
      <c r="LE739" s="5"/>
      <c r="LF739" s="5"/>
      <c r="LG739" s="5"/>
      <c r="LH739" s="5"/>
      <c r="LI739" s="5"/>
      <c r="LJ739" s="5"/>
      <c r="LK739" s="5"/>
      <c r="LL739" s="5"/>
      <c r="LM739" s="5"/>
      <c r="LN739" s="5"/>
      <c r="LO739" s="5"/>
      <c r="LP739" s="5"/>
      <c r="LQ739" s="5"/>
      <c r="LR739" s="5"/>
      <c r="LS739" s="5"/>
      <c r="LT739" s="5"/>
      <c r="LU739" s="5"/>
      <c r="LV739" s="5"/>
      <c r="LW739" s="5"/>
      <c r="LX739" s="5"/>
      <c r="LY739" s="5"/>
      <c r="LZ739" s="5"/>
      <c r="MA739" s="5"/>
      <c r="MB739" s="5"/>
      <c r="MC739" s="5"/>
      <c r="MD739" s="5"/>
      <c r="ME739" s="5"/>
      <c r="MF739" s="5"/>
      <c r="MG739" s="5"/>
      <c r="MH739" s="5"/>
      <c r="MI739" s="5"/>
      <c r="MJ739" s="5"/>
      <c r="MK739" s="5"/>
      <c r="ML739" s="5"/>
      <c r="MM739" s="5"/>
      <c r="MN739" s="5"/>
      <c r="MO739" s="5"/>
      <c r="MP739" s="5"/>
      <c r="MQ739" s="5"/>
      <c r="MR739" s="5"/>
      <c r="MS739" s="5"/>
      <c r="MT739" s="5"/>
      <c r="MU739" s="5"/>
      <c r="MV739" s="5"/>
      <c r="MW739" s="5"/>
      <c r="MX739" s="5"/>
      <c r="MY739" s="5"/>
      <c r="MZ739" s="5"/>
      <c r="NA739" s="5"/>
      <c r="NB739" s="5"/>
      <c r="NC739" s="5"/>
      <c r="ND739" s="5"/>
      <c r="NE739" s="5"/>
      <c r="NF739" s="5"/>
      <c r="NG739" s="5"/>
      <c r="NH739" s="5"/>
      <c r="NI739" s="5"/>
      <c r="NJ739" s="5"/>
      <c r="NK739" s="5"/>
      <c r="NL739" s="5"/>
      <c r="NM739" s="5"/>
      <c r="NN739" s="5"/>
      <c r="NO739" s="5"/>
      <c r="NP739" s="5"/>
      <c r="NQ739" s="5"/>
      <c r="NR739" s="5"/>
      <c r="NS739" s="5"/>
      <c r="NT739" s="5"/>
      <c r="NU739" s="5"/>
      <c r="NV739" s="5"/>
      <c r="NW739" s="5"/>
      <c r="NX739" s="5"/>
      <c r="NY739" s="5"/>
      <c r="NZ739" s="5"/>
      <c r="OA739" s="5"/>
      <c r="OB739" s="5"/>
      <c r="OC739" s="5"/>
      <c r="OD739" s="5"/>
      <c r="OE739" s="5"/>
      <c r="OF739" s="5"/>
      <c r="OG739" s="5"/>
      <c r="OH739" s="5"/>
      <c r="OI739" s="5"/>
      <c r="OJ739" s="5"/>
      <c r="OK739" s="5"/>
      <c r="OL739" s="5"/>
      <c r="OM739" s="5"/>
      <c r="ON739" s="5"/>
      <c r="OO739" s="5"/>
      <c r="OP739" s="5"/>
      <c r="OQ739" s="5"/>
      <c r="OR739" s="5"/>
      <c r="OS739" s="5"/>
      <c r="OT739" s="5"/>
      <c r="OU739" s="5"/>
      <c r="OV739" s="5"/>
      <c r="OW739" s="5"/>
      <c r="OX739" s="5"/>
      <c r="OY739" s="5"/>
      <c r="OZ739" s="5"/>
      <c r="PA739" s="5"/>
      <c r="PB739" s="5"/>
      <c r="PC739" s="5"/>
      <c r="PD739" s="5"/>
      <c r="PE739" s="5"/>
      <c r="PF739" s="5"/>
      <c r="PG739" s="5"/>
      <c r="PH739" s="5"/>
      <c r="PI739" s="5"/>
      <c r="PJ739" s="5"/>
      <c r="PK739" s="5"/>
      <c r="PL739" s="5"/>
      <c r="PM739" s="5"/>
      <c r="PN739" s="5"/>
      <c r="PO739" s="5"/>
      <c r="PP739" s="5"/>
      <c r="PQ739" s="5"/>
      <c r="PR739" s="5"/>
      <c r="PS739" s="5"/>
      <c r="PT739" s="5"/>
      <c r="PU739" s="5"/>
      <c r="PV739" s="5"/>
      <c r="PW739" s="5"/>
      <c r="PX739" s="5"/>
      <c r="PY739" s="5"/>
      <c r="PZ739" s="5"/>
      <c r="QA739" s="5"/>
      <c r="QB739" s="5"/>
      <c r="QC739" s="5"/>
      <c r="QD739" s="5"/>
      <c r="QE739" s="5"/>
      <c r="QF739" s="5"/>
      <c r="QG739" s="5"/>
      <c r="QH739" s="5"/>
      <c r="QI739" s="5"/>
      <c r="QJ739" s="5"/>
      <c r="QK739" s="5"/>
      <c r="QL739" s="5"/>
      <c r="QM739" s="5"/>
      <c r="QN739" s="5"/>
      <c r="QO739" s="5"/>
      <c r="QP739" s="5"/>
      <c r="QQ739" s="5"/>
      <c r="QR739" s="5"/>
      <c r="QS739" s="5"/>
      <c r="QT739" s="5"/>
      <c r="QU739" s="5"/>
      <c r="QV739" s="5"/>
      <c r="QW739" s="5"/>
      <c r="QX739" s="5"/>
      <c r="QY739" s="5"/>
      <c r="QZ739" s="5"/>
      <c r="RA739" s="5"/>
      <c r="RB739" s="5"/>
      <c r="RC739" s="5"/>
      <c r="RD739" s="5"/>
      <c r="RE739" s="5"/>
      <c r="RF739" s="5"/>
      <c r="RG739" s="5"/>
      <c r="RH739" s="5"/>
      <c r="RI739" s="5"/>
      <c r="RJ739" s="5"/>
      <c r="RK739" s="5"/>
      <c r="RL739" s="5"/>
      <c r="RM739" s="5"/>
      <c r="RN739" s="5"/>
      <c r="RO739" s="5"/>
      <c r="RP739" s="5"/>
      <c r="RQ739" s="5"/>
      <c r="RR739" s="5"/>
      <c r="RS739" s="5"/>
      <c r="RT739" s="5"/>
      <c r="RU739" s="5"/>
      <c r="RV739" s="5"/>
      <c r="RW739" s="5"/>
      <c r="RX739" s="5"/>
      <c r="RY739" s="5"/>
      <c r="RZ739" s="5"/>
      <c r="SA739" s="5"/>
      <c r="SB739" s="5"/>
      <c r="SC739" s="5"/>
      <c r="SD739" s="5"/>
      <c r="SE739" s="5"/>
      <c r="SF739" s="5"/>
      <c r="SG739" s="5"/>
      <c r="SH739" s="5"/>
      <c r="SI739" s="5"/>
      <c r="SJ739" s="5"/>
      <c r="SK739" s="5"/>
      <c r="SL739" s="5"/>
      <c r="SM739" s="5"/>
      <c r="SN739" s="5"/>
      <c r="SO739" s="5"/>
      <c r="SP739" s="5"/>
      <c r="SQ739" s="5"/>
      <c r="SR739" s="5"/>
      <c r="SS739" s="5"/>
      <c r="ST739" s="5"/>
      <c r="SU739" s="5"/>
      <c r="SV739" s="5"/>
      <c r="SW739" s="5"/>
      <c r="SX739" s="5"/>
      <c r="SY739" s="5"/>
      <c r="SZ739" s="5"/>
      <c r="TA739" s="5"/>
      <c r="TB739" s="5"/>
      <c r="TC739" s="5"/>
      <c r="TD739" s="5"/>
      <c r="TE739" s="5"/>
      <c r="TF739" s="5"/>
      <c r="TG739" s="5"/>
      <c r="TH739" s="5"/>
      <c r="TI739" s="5"/>
      <c r="TJ739" s="5"/>
      <c r="TK739" s="5"/>
      <c r="TL739" s="5"/>
      <c r="TM739" s="5"/>
      <c r="TN739" s="5"/>
      <c r="TO739" s="5"/>
      <c r="TP739" s="5"/>
      <c r="TQ739" s="5"/>
      <c r="TR739" s="5"/>
      <c r="TS739" s="5"/>
      <c r="TT739" s="5"/>
      <c r="TU739" s="5"/>
      <c r="TV739" s="5"/>
      <c r="TW739" s="5"/>
      <c r="TX739" s="5"/>
      <c r="TY739" s="5"/>
      <c r="TZ739" s="5"/>
      <c r="UA739" s="5"/>
      <c r="UB739" s="5"/>
      <c r="UC739" s="5"/>
      <c r="UD739" s="5"/>
      <c r="UE739" s="5"/>
      <c r="UF739" s="5"/>
      <c r="UG739" s="5"/>
      <c r="UH739" s="5"/>
      <c r="UI739" s="5"/>
      <c r="UJ739" s="5"/>
      <c r="UK739" s="5"/>
      <c r="UL739" s="5"/>
      <c r="UM739" s="5"/>
      <c r="UN739" s="5"/>
      <c r="UO739" s="5"/>
      <c r="UP739" s="5"/>
      <c r="UQ739" s="5"/>
      <c r="UR739" s="5"/>
      <c r="US739" s="5"/>
      <c r="UT739" s="5"/>
      <c r="UU739" s="5"/>
      <c r="UV739" s="5"/>
      <c r="UW739" s="5"/>
      <c r="UX739" s="5"/>
      <c r="UY739" s="5"/>
      <c r="UZ739" s="5"/>
      <c r="VA739" s="5"/>
      <c r="VB739" s="5"/>
      <c r="VC739" s="5"/>
      <c r="VD739" s="5"/>
      <c r="VE739" s="5"/>
      <c r="VF739" s="5"/>
      <c r="VG739" s="5"/>
      <c r="VH739" s="5"/>
      <c r="VI739" s="5"/>
      <c r="VJ739" s="5"/>
      <c r="VK739" s="5"/>
      <c r="VL739" s="5"/>
      <c r="VM739" s="5"/>
      <c r="VN739" s="5"/>
      <c r="VO739" s="5"/>
      <c r="VP739" s="5"/>
      <c r="VQ739" s="5"/>
      <c r="VR739" s="5"/>
      <c r="VS739" s="5"/>
      <c r="VT739" s="5"/>
      <c r="VU739" s="5"/>
      <c r="VV739" s="5"/>
      <c r="VW739" s="5"/>
      <c r="VX739" s="5"/>
      <c r="VY739" s="5"/>
      <c r="VZ739" s="5"/>
      <c r="WA739" s="5"/>
      <c r="WB739" s="5"/>
      <c r="WC739" s="5"/>
      <c r="WD739" s="5"/>
      <c r="WE739" s="5"/>
      <c r="WF739" s="5"/>
      <c r="WG739" s="5"/>
      <c r="WH739" s="5"/>
      <c r="WI739" s="5"/>
      <c r="WJ739" s="5"/>
      <c r="WK739" s="5"/>
      <c r="WL739" s="5"/>
      <c r="WM739" s="5"/>
      <c r="WN739" s="5"/>
      <c r="WO739" s="5"/>
      <c r="WP739" s="5"/>
      <c r="WQ739" s="5"/>
      <c r="WR739" s="5"/>
      <c r="WS739" s="5"/>
      <c r="WT739" s="5"/>
      <c r="WU739" s="5"/>
      <c r="WV739" s="5"/>
      <c r="WW739" s="5"/>
      <c r="WX739" s="5"/>
      <c r="WY739" s="5"/>
      <c r="WZ739" s="5"/>
      <c r="XA739" s="5"/>
      <c r="XB739" s="5"/>
      <c r="XC739" s="5"/>
      <c r="XD739" s="5"/>
      <c r="XE739" s="5"/>
      <c r="XF739" s="5"/>
      <c r="XG739" s="5"/>
      <c r="XH739" s="5"/>
      <c r="XI739" s="5"/>
      <c r="XJ739" s="5"/>
      <c r="XK739" s="5"/>
      <c r="XL739" s="5"/>
      <c r="XM739" s="5"/>
      <c r="XN739" s="5"/>
      <c r="XO739" s="5"/>
      <c r="XP739" s="5"/>
      <c r="XQ739" s="5"/>
      <c r="XR739" s="5"/>
      <c r="XS739" s="5"/>
      <c r="XT739" s="5"/>
      <c r="XU739" s="5"/>
      <c r="XV739" s="5"/>
      <c r="XW739" s="5"/>
      <c r="XX739" s="5"/>
      <c r="XY739" s="5"/>
      <c r="XZ739" s="5"/>
      <c r="YA739" s="5"/>
      <c r="YB739" s="5"/>
      <c r="YC739" s="5"/>
      <c r="YD739" s="5"/>
      <c r="YE739" s="5"/>
      <c r="YF739" s="5"/>
      <c r="YG739" s="5"/>
      <c r="YH739" s="5"/>
      <c r="YI739" s="5"/>
      <c r="YJ739" s="5"/>
      <c r="YK739" s="5"/>
      <c r="YL739" s="5"/>
      <c r="YM739" s="5"/>
      <c r="YN739" s="5"/>
      <c r="YO739" s="5"/>
      <c r="YP739" s="5"/>
      <c r="YQ739" s="5"/>
      <c r="YR739" s="5"/>
      <c r="YS739" s="5"/>
      <c r="YT739" s="5"/>
      <c r="YU739" s="5"/>
      <c r="YV739" s="5"/>
      <c r="YW739" s="5"/>
      <c r="YX739" s="5"/>
      <c r="YY739" s="5"/>
      <c r="YZ739" s="5"/>
      <c r="ZA739" s="5"/>
      <c r="ZB739" s="5"/>
      <c r="ZC739" s="5"/>
      <c r="ZD739" s="5"/>
      <c r="ZE739" s="5"/>
      <c r="ZF739" s="5"/>
      <c r="ZG739" s="5"/>
      <c r="ZH739" s="5"/>
      <c r="ZI739" s="5"/>
      <c r="ZJ739" s="5"/>
      <c r="ZK739" s="5"/>
      <c r="ZL739" s="5"/>
      <c r="ZM739" s="5"/>
      <c r="ZN739" s="5"/>
      <c r="ZO739" s="5"/>
      <c r="ZP739" s="5"/>
      <c r="ZQ739" s="5"/>
      <c r="ZR739" s="5"/>
      <c r="ZS739" s="5"/>
      <c r="ZT739" s="5"/>
      <c r="ZU739" s="5"/>
      <c r="ZV739" s="5"/>
      <c r="ZW739" s="5"/>
      <c r="ZX739" s="5"/>
      <c r="ZY739" s="5"/>
      <c r="ZZ739" s="5"/>
      <c r="AAA739" s="5"/>
      <c r="AAB739" s="5"/>
      <c r="AAC739" s="5"/>
      <c r="AAD739" s="5"/>
      <c r="AAE739" s="5"/>
      <c r="AAF739" s="5"/>
      <c r="AAG739" s="5"/>
      <c r="AAH739" s="5"/>
      <c r="AAI739" s="5"/>
      <c r="AAJ739" s="5"/>
      <c r="AAK739" s="5"/>
      <c r="AAL739" s="5"/>
      <c r="AAM739" s="5"/>
      <c r="AAN739" s="5"/>
      <c r="AAO739" s="5"/>
      <c r="AAP739" s="5"/>
      <c r="AAQ739" s="5"/>
      <c r="AAR739" s="5"/>
      <c r="AAS739" s="5"/>
      <c r="AAT739" s="5"/>
      <c r="AAU739" s="5"/>
      <c r="AAV739" s="5"/>
      <c r="AAW739" s="5"/>
      <c r="AAX739" s="5"/>
      <c r="AAY739" s="5"/>
      <c r="AAZ739" s="5"/>
      <c r="ABA739" s="5"/>
      <c r="ABB739" s="5"/>
      <c r="ABC739" s="5"/>
      <c r="ABD739" s="5"/>
      <c r="ABE739" s="5"/>
      <c r="ABF739" s="5"/>
      <c r="ABG739" s="5"/>
      <c r="ABH739" s="5"/>
      <c r="ABI739" s="5"/>
      <c r="ABJ739" s="5"/>
      <c r="ABK739" s="5"/>
      <c r="ABL739" s="5"/>
      <c r="ABM739" s="5"/>
      <c r="ABN739" s="5"/>
      <c r="ABO739" s="5"/>
      <c r="ABP739" s="5"/>
      <c r="ABQ739" s="5"/>
      <c r="ABR739" s="5"/>
      <c r="ABS739" s="5"/>
      <c r="ABT739" s="5"/>
      <c r="ABU739" s="5"/>
      <c r="ABV739" s="5"/>
      <c r="ABW739" s="5"/>
      <c r="ABX739" s="5"/>
      <c r="ABY739" s="5"/>
      <c r="ABZ739" s="5"/>
      <c r="ACA739" s="5"/>
      <c r="ACB739" s="5"/>
      <c r="ACC739" s="5"/>
      <c r="ACD739" s="5"/>
      <c r="ACE739" s="5"/>
      <c r="ACF739" s="5"/>
      <c r="ACG739" s="5"/>
      <c r="ACH739" s="5"/>
      <c r="ACI739" s="5"/>
      <c r="ACJ739" s="5"/>
      <c r="ACK739" s="5"/>
      <c r="ACL739" s="5"/>
      <c r="ACM739" s="5"/>
      <c r="ACN739" s="5"/>
      <c r="ACO739" s="5"/>
      <c r="ACP739" s="5"/>
      <c r="ACQ739" s="5"/>
      <c r="ACR739" s="5"/>
      <c r="ACS739" s="5"/>
      <c r="ACT739" s="5"/>
      <c r="ACU739" s="5"/>
      <c r="ACV739" s="5"/>
      <c r="ACW739" s="5"/>
      <c r="ACX739" s="5"/>
      <c r="ACY739" s="5"/>
      <c r="ACZ739" s="5"/>
      <c r="ADA739" s="5"/>
      <c r="ADB739" s="5"/>
      <c r="ADC739" s="5"/>
      <c r="ADD739" s="5"/>
      <c r="ADE739" s="5"/>
      <c r="ADF739" s="5"/>
      <c r="ADG739" s="5"/>
      <c r="ADH739" s="5"/>
      <c r="ADI739" s="5"/>
      <c r="ADJ739" s="5"/>
      <c r="ADK739" s="5"/>
      <c r="ADL739" s="5"/>
      <c r="ADM739" s="5"/>
      <c r="ADN739" s="5"/>
      <c r="ADO739" s="5"/>
      <c r="ADP739" s="5"/>
      <c r="ADQ739" s="5"/>
      <c r="ADR739" s="5"/>
      <c r="ADS739" s="5"/>
      <c r="ADT739" s="5"/>
      <c r="ADU739" s="5"/>
      <c r="ADV739" s="5"/>
      <c r="ADW739" s="5"/>
      <c r="ADX739" s="5"/>
      <c r="ADY739" s="5"/>
      <c r="ADZ739" s="5"/>
      <c r="AEA739" s="5"/>
      <c r="AEB739" s="5"/>
      <c r="AEC739" s="5"/>
      <c r="AED739" s="5"/>
      <c r="AEE739" s="5"/>
      <c r="AEF739" s="5"/>
      <c r="AEG739" s="5"/>
      <c r="AEH739" s="5"/>
      <c r="AEI739" s="5"/>
      <c r="AEJ739" s="5"/>
      <c r="AEK739" s="5"/>
      <c r="AEL739" s="5"/>
      <c r="AEM739" s="5"/>
      <c r="AEN739" s="5"/>
      <c r="AEO739" s="5"/>
      <c r="AEP739" s="5"/>
      <c r="AEQ739" s="5"/>
      <c r="AER739" s="5"/>
      <c r="AES739" s="5"/>
      <c r="AET739" s="5"/>
      <c r="AEU739" s="5"/>
      <c r="AEV739" s="5"/>
      <c r="AEW739" s="5"/>
      <c r="AEX739" s="5"/>
      <c r="AEY739" s="5"/>
      <c r="AEZ739" s="5"/>
      <c r="AFA739" s="5"/>
      <c r="AFB739" s="5"/>
      <c r="AFC739" s="5"/>
      <c r="AFD739" s="5"/>
      <c r="AFE739" s="5"/>
      <c r="AFF739" s="5"/>
      <c r="AFG739" s="5"/>
      <c r="AFH739" s="5"/>
      <c r="AFI739" s="5"/>
      <c r="AFJ739" s="5"/>
      <c r="AFK739" s="5"/>
      <c r="AFL739" s="5"/>
      <c r="AFM739" s="5"/>
      <c r="AFN739" s="5"/>
      <c r="AFO739" s="5"/>
      <c r="AFP739" s="5"/>
      <c r="AFQ739" s="5"/>
      <c r="AFR739" s="5"/>
      <c r="AFS739" s="5"/>
      <c r="AFT739" s="5"/>
      <c r="AFU739" s="5"/>
      <c r="AFV739" s="5"/>
      <c r="AFW739" s="5"/>
      <c r="AFX739" s="5"/>
      <c r="AFY739" s="5"/>
      <c r="AFZ739" s="5"/>
      <c r="AGA739" s="5"/>
      <c r="AGB739" s="5"/>
      <c r="AGC739" s="5"/>
      <c r="AGD739" s="5"/>
      <c r="AGE739" s="5"/>
      <c r="AGF739" s="5"/>
      <c r="AGG739" s="5"/>
      <c r="AGH739" s="5"/>
      <c r="AGI739" s="5"/>
      <c r="AGJ739" s="5"/>
      <c r="AGK739" s="5"/>
      <c r="AGL739" s="5"/>
      <c r="AGM739" s="5"/>
      <c r="AGN739" s="5"/>
      <c r="AGO739" s="5"/>
      <c r="AGP739" s="5"/>
      <c r="AGQ739" s="5"/>
      <c r="AGR739" s="5"/>
      <c r="AGS739" s="5"/>
      <c r="AGT739" s="5"/>
      <c r="AGU739" s="5"/>
      <c r="AGV739" s="5"/>
      <c r="AGW739" s="5"/>
      <c r="AGX739" s="5"/>
      <c r="AGY739" s="5"/>
      <c r="AGZ739" s="5"/>
      <c r="AHA739" s="5"/>
      <c r="AHB739" s="5"/>
      <c r="AHC739" s="5"/>
      <c r="AHD739" s="5"/>
      <c r="AHE739" s="5"/>
      <c r="AHF739" s="5"/>
      <c r="AHG739" s="5"/>
      <c r="AHH739" s="5"/>
      <c r="AHI739" s="5"/>
      <c r="AHJ739" s="5"/>
      <c r="AHK739" s="5"/>
      <c r="AHL739" s="5"/>
      <c r="AHM739" s="5"/>
      <c r="AHN739" s="5"/>
      <c r="AHO739" s="5"/>
      <c r="AHP739" s="5"/>
      <c r="AHQ739" s="5"/>
      <c r="AHR739" s="5"/>
      <c r="AHS739" s="5"/>
      <c r="AHT739" s="5"/>
      <c r="AHU739" s="5"/>
      <c r="AHV739" s="5"/>
      <c r="AHW739" s="5"/>
      <c r="AHX739" s="5"/>
      <c r="AHY739" s="5"/>
      <c r="AHZ739" s="5"/>
      <c r="AIA739" s="5"/>
      <c r="AIB739" s="5"/>
      <c r="AIC739" s="5"/>
      <c r="AID739" s="5"/>
      <c r="AIE739" s="5"/>
      <c r="AIF739" s="5"/>
      <c r="AIG739" s="5"/>
      <c r="AIH739" s="5"/>
      <c r="AII739" s="5"/>
      <c r="AIJ739" s="5"/>
      <c r="AIK739" s="5"/>
      <c r="AIL739" s="5"/>
      <c r="AIM739" s="5"/>
      <c r="AIN739" s="5"/>
      <c r="AIO739" s="5"/>
      <c r="AIP739" s="5"/>
      <c r="AIQ739" s="5"/>
      <c r="AIR739" s="5"/>
      <c r="AIS739" s="5"/>
      <c r="AIT739" s="5"/>
      <c r="AIU739" s="5"/>
      <c r="AIV739" s="5"/>
      <c r="AIW739" s="5"/>
      <c r="AIX739" s="5"/>
      <c r="AIY739" s="5"/>
      <c r="AIZ739" s="5"/>
      <c r="AJA739" s="5"/>
      <c r="AJB739" s="5"/>
      <c r="AJC739" s="5"/>
      <c r="AJD739" s="5"/>
      <c r="AJE739" s="5"/>
      <c r="AJF739" s="5"/>
      <c r="AJG739" s="5"/>
      <c r="AJH739" s="5"/>
      <c r="AJI739" s="5"/>
      <c r="AJJ739" s="5"/>
      <c r="AJK739" s="5"/>
      <c r="AJL739" s="5"/>
      <c r="AJM739" s="5"/>
      <c r="AJN739" s="5"/>
      <c r="AJO739" s="5"/>
      <c r="AJP739" s="5"/>
      <c r="AJQ739" s="5"/>
      <c r="AJR739" s="5"/>
      <c r="AJS739" s="5"/>
      <c r="AJT739" s="5"/>
      <c r="AJU739" s="5"/>
      <c r="AJV739" s="5"/>
      <c r="AJW739" s="5"/>
      <c r="AJX739" s="5"/>
      <c r="AJY739" s="5"/>
      <c r="AJZ739" s="5"/>
      <c r="AKA739" s="5"/>
      <c r="AKB739" s="5"/>
      <c r="AKC739" s="5"/>
      <c r="AKD739" s="5"/>
      <c r="AKE739" s="5"/>
      <c r="AKF739" s="5"/>
      <c r="AKG739" s="5"/>
      <c r="AKH739" s="5"/>
      <c r="AKI739" s="5"/>
      <c r="AKJ739" s="5"/>
      <c r="AKK739" s="5"/>
      <c r="AKL739" s="5"/>
      <c r="AKM739" s="5"/>
      <c r="AKN739" s="5"/>
      <c r="AKO739" s="5"/>
      <c r="AKP739" s="5"/>
      <c r="AKQ739" s="5"/>
      <c r="AKR739" s="5"/>
      <c r="AKS739" s="5"/>
      <c r="AKT739" s="5"/>
      <c r="AKU739" s="5"/>
      <c r="AKV739" s="5"/>
      <c r="AKW739" s="5"/>
      <c r="AKX739" s="5"/>
      <c r="AKY739" s="5"/>
      <c r="AKZ739" s="5"/>
      <c r="ALA739" s="5"/>
      <c r="ALB739" s="5"/>
      <c r="ALC739" s="5"/>
      <c r="ALD739" s="5"/>
      <c r="ALE739" s="5"/>
      <c r="ALF739" s="5"/>
      <c r="ALG739" s="5"/>
      <c r="ALH739" s="5"/>
      <c r="ALI739" s="5"/>
      <c r="ALJ739" s="5"/>
      <c r="ALK739" s="5"/>
      <c r="ALL739" s="5"/>
      <c r="ALM739" s="5"/>
      <c r="ALN739" s="5"/>
      <c r="ALO739" s="5"/>
      <c r="ALP739" s="5"/>
      <c r="ALQ739" s="5"/>
      <c r="ALR739" s="5"/>
      <c r="ALS739" s="5"/>
      <c r="ALT739" s="5"/>
      <c r="ALU739" s="5"/>
      <c r="ALV739" s="5"/>
      <c r="ALW739" s="5"/>
      <c r="ALX739" s="5"/>
      <c r="ALY739" s="5"/>
      <c r="ALZ739" s="5"/>
      <c r="AMA739" s="5"/>
      <c r="AMB739" s="5"/>
      <c r="AMC739" s="5"/>
      <c r="AMD739" s="5"/>
      <c r="AME739" s="5"/>
      <c r="AMF739" s="5"/>
      <c r="AMG739" s="5"/>
      <c r="AMH739" s="5"/>
      <c r="AMI739" s="5"/>
      <c r="AMJ739" s="5"/>
      <c r="AMK739" s="5"/>
      <c r="AML739" s="5"/>
      <c r="AMM739" s="5"/>
      <c r="AMN739" s="5"/>
      <c r="AMO739" s="5"/>
      <c r="AMP739" s="5"/>
      <c r="AMQ739" s="5"/>
      <c r="AMR739" s="5"/>
      <c r="AMS739" s="5"/>
      <c r="AMT739" s="5"/>
      <c r="AMU739" s="5"/>
      <c r="AMV739" s="5"/>
      <c r="AMW739" s="5"/>
      <c r="AMX739" s="5"/>
      <c r="AMY739" s="5"/>
      <c r="AMZ739" s="5"/>
      <c r="ANA739" s="5"/>
      <c r="ANB739" s="5"/>
      <c r="ANC739" s="5"/>
      <c r="AND739" s="5"/>
      <c r="ANE739" s="5"/>
      <c r="ANF739" s="5"/>
      <c r="ANG739" s="5"/>
      <c r="ANH739" s="5"/>
      <c r="ANI739" s="5"/>
      <c r="ANJ739" s="5"/>
      <c r="ANK739" s="5"/>
      <c r="ANL739" s="5"/>
      <c r="ANM739" s="5"/>
      <c r="ANN739" s="5"/>
      <c r="ANO739" s="5"/>
      <c r="ANP739" s="5"/>
      <c r="ANQ739" s="5"/>
      <c r="ANR739" s="5"/>
      <c r="ANS739" s="5"/>
      <c r="ANT739" s="5"/>
      <c r="ANU739" s="5"/>
      <c r="ANV739" s="5"/>
      <c r="ANW739" s="5"/>
      <c r="ANX739" s="5"/>
      <c r="ANY739" s="5"/>
      <c r="ANZ739" s="5"/>
      <c r="AOA739" s="5"/>
      <c r="AOB739" s="5"/>
      <c r="AOC739" s="5"/>
      <c r="AOD739" s="5"/>
      <c r="AOE739" s="5"/>
      <c r="AOF739" s="5"/>
      <c r="AOG739" s="5"/>
      <c r="AOH739" s="5"/>
      <c r="AOI739" s="5"/>
      <c r="AOJ739" s="5"/>
      <c r="AOK739" s="5"/>
      <c r="AOL739" s="5"/>
      <c r="AOM739" s="5"/>
      <c r="AON739" s="5"/>
      <c r="AOO739" s="5"/>
      <c r="AOP739" s="5"/>
      <c r="AOQ739" s="5"/>
      <c r="AOR739" s="5"/>
      <c r="AOS739" s="5"/>
      <c r="AOT739" s="5"/>
      <c r="AOU739" s="5"/>
      <c r="AOV739" s="5"/>
      <c r="AOW739" s="5"/>
      <c r="AOX739" s="5"/>
      <c r="AOY739" s="5"/>
      <c r="AOZ739" s="5"/>
      <c r="APA739" s="5"/>
      <c r="APB739" s="5"/>
      <c r="APC739" s="5"/>
      <c r="APD739" s="5"/>
      <c r="APE739" s="5"/>
      <c r="APF739" s="5"/>
      <c r="APG739" s="5"/>
      <c r="APH739" s="5"/>
      <c r="API739" s="5"/>
      <c r="APJ739" s="5"/>
      <c r="APK739" s="5"/>
      <c r="APL739" s="5"/>
      <c r="APM739" s="5"/>
      <c r="APN739" s="5"/>
      <c r="APO739" s="5"/>
      <c r="APP739" s="5"/>
      <c r="APQ739" s="5"/>
      <c r="APR739" s="5"/>
      <c r="APS739" s="5"/>
      <c r="APT739" s="5"/>
      <c r="APU739" s="5"/>
      <c r="APV739" s="5"/>
      <c r="APW739" s="5"/>
      <c r="APX739" s="5"/>
      <c r="APY739" s="5"/>
      <c r="APZ739" s="5"/>
      <c r="AQA739" s="5"/>
      <c r="AQB739" s="5"/>
      <c r="AQC739" s="5"/>
      <c r="AQD739" s="5"/>
      <c r="AQE739" s="5"/>
      <c r="AQF739" s="5"/>
      <c r="AQG739" s="5"/>
      <c r="AQH739" s="5"/>
      <c r="AQI739" s="5"/>
      <c r="AQJ739" s="5"/>
      <c r="AQK739" s="5"/>
      <c r="AQL739" s="5"/>
      <c r="AQM739" s="5"/>
      <c r="AQN739" s="5"/>
      <c r="AQO739" s="5"/>
      <c r="AQP739" s="5"/>
      <c r="AQQ739" s="5"/>
      <c r="AQR739" s="5"/>
      <c r="AQS739" s="5"/>
      <c r="AQT739" s="5"/>
      <c r="AQU739" s="5"/>
      <c r="AQV739" s="5"/>
      <c r="AQW739" s="5"/>
      <c r="AQX739" s="5"/>
      <c r="AQY739" s="5"/>
      <c r="AQZ739" s="5"/>
      <c r="ARA739" s="5"/>
      <c r="ARB739" s="5"/>
      <c r="ARC739" s="5"/>
      <c r="ARD739" s="5"/>
      <c r="ARE739" s="5"/>
      <c r="ARF739" s="5"/>
      <c r="ARG739" s="5"/>
      <c r="ARH739" s="5"/>
      <c r="ARI739" s="5"/>
      <c r="ARJ739" s="5"/>
      <c r="ARK739" s="5"/>
      <c r="ARL739" s="5"/>
      <c r="ARM739" s="5"/>
      <c r="ARN739" s="5"/>
      <c r="ARO739" s="5"/>
      <c r="ARP739" s="5"/>
      <c r="ARQ739" s="5"/>
      <c r="ARR739" s="5"/>
      <c r="ARS739" s="5"/>
      <c r="ART739" s="5"/>
      <c r="ARU739" s="5"/>
      <c r="ARV739" s="5"/>
      <c r="ARW739" s="5"/>
      <c r="ARX739" s="5"/>
      <c r="ARY739" s="5"/>
      <c r="ARZ739" s="5"/>
      <c r="ASA739" s="5"/>
      <c r="ASB739" s="5"/>
      <c r="ASC739" s="5"/>
      <c r="ASD739" s="5"/>
      <c r="ASE739" s="5"/>
      <c r="ASF739" s="5"/>
      <c r="ASG739" s="5"/>
      <c r="ASH739" s="5"/>
      <c r="ASI739" s="5"/>
      <c r="ASJ739" s="5"/>
      <c r="ASK739" s="5"/>
      <c r="ASL739" s="5"/>
      <c r="ASM739" s="5"/>
      <c r="ASN739" s="5"/>
      <c r="ASO739" s="5"/>
      <c r="ASP739" s="5"/>
      <c r="ASQ739" s="5"/>
      <c r="ASR739" s="5"/>
      <c r="ASS739" s="5"/>
      <c r="AST739" s="5"/>
      <c r="ASU739" s="5"/>
      <c r="ASV739" s="5"/>
      <c r="ASW739" s="5"/>
      <c r="ASX739" s="5"/>
      <c r="ASY739" s="5"/>
      <c r="ASZ739" s="5"/>
      <c r="ATA739" s="5"/>
      <c r="ATB739" s="5"/>
      <c r="ATC739" s="5"/>
      <c r="ATD739" s="5"/>
      <c r="ATE739" s="5"/>
      <c r="ATF739" s="5"/>
      <c r="ATG739" s="5"/>
      <c r="ATH739" s="5"/>
      <c r="ATI739" s="5"/>
      <c r="ATJ739" s="5"/>
      <c r="ATK739" s="5"/>
      <c r="ATL739" s="5"/>
      <c r="ATM739" s="5"/>
      <c r="ATN739" s="5"/>
      <c r="ATO739" s="5"/>
      <c r="ATP739" s="5"/>
      <c r="ATQ739" s="5"/>
      <c r="ATR739" s="5"/>
      <c r="ATS739" s="5"/>
      <c r="ATT739" s="5"/>
      <c r="ATU739" s="5"/>
      <c r="ATV739" s="5"/>
      <c r="ATW739" s="5"/>
      <c r="ATX739" s="5"/>
    </row>
    <row r="740" spans="1:1220" s="67" customFormat="1" ht="12.75" customHeight="1" x14ac:dyDescent="0.35">
      <c r="A740" s="76" t="s">
        <v>229</v>
      </c>
      <c r="B740" s="99" t="s">
        <v>377</v>
      </c>
      <c r="C740" s="76" t="s">
        <v>2640</v>
      </c>
      <c r="D740" s="142" t="s">
        <v>2640</v>
      </c>
      <c r="E740" s="76"/>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c r="DX740" s="5"/>
      <c r="DY740" s="5"/>
      <c r="DZ740" s="5"/>
      <c r="EA740" s="5"/>
      <c r="EB740" s="5"/>
      <c r="EC740" s="5"/>
      <c r="ED740" s="5"/>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s="5"/>
      <c r="FG740" s="5"/>
      <c r="FH740" s="5"/>
      <c r="FI740" s="5"/>
      <c r="FJ740" s="5"/>
      <c r="FK740" s="5"/>
      <c r="FL740" s="5"/>
      <c r="FM740" s="5"/>
      <c r="FN740" s="5"/>
      <c r="FO740" s="5"/>
      <c r="FP740" s="5"/>
      <c r="FQ740" s="5"/>
      <c r="FR740" s="5"/>
      <c r="FS740" s="5"/>
      <c r="FT740" s="5"/>
      <c r="FU740" s="5"/>
      <c r="FV740" s="5"/>
      <c r="FW740" s="5"/>
      <c r="FX740" s="5"/>
      <c r="FY740" s="5"/>
      <c r="FZ740" s="5"/>
      <c r="GA740" s="5"/>
      <c r="GB740" s="5"/>
      <c r="GC740" s="5"/>
      <c r="GD740" s="5"/>
      <c r="GE740" s="5"/>
      <c r="GF740" s="5"/>
      <c r="GG740" s="5"/>
      <c r="GH740" s="5"/>
      <c r="GI740" s="5"/>
      <c r="GJ740" s="5"/>
      <c r="GK740" s="5"/>
      <c r="GL740" s="5"/>
      <c r="GM740" s="5"/>
      <c r="GN740" s="5"/>
      <c r="GO740" s="5"/>
      <c r="GP740" s="5"/>
      <c r="GQ740" s="5"/>
      <c r="GR740" s="5"/>
      <c r="GS740" s="5"/>
      <c r="GT740" s="5"/>
      <c r="GU740" s="5"/>
      <c r="GV740" s="5"/>
      <c r="GW740" s="5"/>
      <c r="GX740" s="5"/>
      <c r="GY740" s="5"/>
      <c r="GZ740" s="5"/>
      <c r="HA740" s="5"/>
      <c r="HB740" s="5"/>
      <c r="HC740" s="5"/>
      <c r="HD740" s="5"/>
      <c r="HE740" s="5"/>
      <c r="HF740" s="5"/>
      <c r="HG740" s="5"/>
      <c r="HH740" s="5"/>
      <c r="HI740" s="5"/>
      <c r="HJ740" s="5"/>
      <c r="HK740" s="5"/>
      <c r="HL740" s="5"/>
      <c r="HM740" s="5"/>
      <c r="HN740" s="5"/>
      <c r="HO740" s="5"/>
      <c r="HP740" s="5"/>
      <c r="HQ740" s="5"/>
      <c r="HR740" s="5"/>
      <c r="HS740" s="5"/>
      <c r="HT740" s="5"/>
      <c r="HU740" s="5"/>
      <c r="HV740" s="5"/>
      <c r="HW740" s="5"/>
      <c r="HX740" s="5"/>
      <c r="HY740" s="5"/>
      <c r="HZ740" s="5"/>
      <c r="IA740" s="5"/>
      <c r="IB740" s="5"/>
      <c r="IC740" s="5"/>
      <c r="ID740" s="5"/>
      <c r="IE740" s="5"/>
      <c r="IF740" s="5"/>
      <c r="IG740" s="5"/>
      <c r="IH740" s="5"/>
      <c r="II740" s="5"/>
      <c r="IJ740" s="5"/>
      <c r="IK740" s="5"/>
      <c r="IL740" s="5"/>
      <c r="IM740" s="5"/>
      <c r="IN740" s="5"/>
      <c r="IO740" s="5"/>
      <c r="IP740" s="5"/>
      <c r="IQ740" s="5"/>
      <c r="IR740" s="5"/>
      <c r="IS740" s="5"/>
      <c r="IT740" s="5"/>
      <c r="IU740" s="5"/>
      <c r="IV740" s="5"/>
      <c r="IW740" s="5"/>
      <c r="IX740" s="5"/>
      <c r="IY740" s="5"/>
      <c r="IZ740" s="5"/>
      <c r="JA740" s="5"/>
      <c r="JB740" s="5"/>
      <c r="JC740" s="5"/>
      <c r="JD740" s="5"/>
      <c r="JE740" s="5"/>
      <c r="JF740" s="5"/>
      <c r="JG740" s="5"/>
      <c r="JH740" s="5"/>
      <c r="JI740" s="5"/>
      <c r="JJ740" s="5"/>
      <c r="JK740" s="5"/>
      <c r="JL740" s="5"/>
      <c r="JM740" s="5"/>
      <c r="JN740" s="5"/>
      <c r="JO740" s="5"/>
      <c r="JP740" s="5"/>
      <c r="JQ740" s="5"/>
      <c r="JR740" s="5"/>
      <c r="JS740" s="5"/>
      <c r="JT740" s="5"/>
      <c r="JU740" s="5"/>
      <c r="JV740" s="5"/>
      <c r="JW740" s="5"/>
      <c r="JX740" s="5"/>
      <c r="JY740" s="5"/>
      <c r="JZ740" s="5"/>
      <c r="KA740" s="5"/>
      <c r="KB740" s="5"/>
      <c r="KC740" s="5"/>
      <c r="KD740" s="5"/>
      <c r="KE740" s="5"/>
      <c r="KF740" s="5"/>
      <c r="KG740" s="5"/>
      <c r="KH740" s="5"/>
      <c r="KI740" s="5"/>
      <c r="KJ740" s="5"/>
      <c r="KK740" s="5"/>
      <c r="KL740" s="5"/>
      <c r="KM740" s="5"/>
      <c r="KN740" s="5"/>
      <c r="KO740" s="5"/>
      <c r="KP740" s="5"/>
      <c r="KQ740" s="5"/>
      <c r="KR740" s="5"/>
      <c r="KS740" s="5"/>
      <c r="KT740" s="5"/>
      <c r="KU740" s="5"/>
      <c r="KV740" s="5"/>
      <c r="KW740" s="5"/>
      <c r="KX740" s="5"/>
      <c r="KY740" s="5"/>
      <c r="KZ740" s="5"/>
      <c r="LA740" s="5"/>
      <c r="LB740" s="5"/>
      <c r="LC740" s="5"/>
      <c r="LD740" s="5"/>
      <c r="LE740" s="5"/>
      <c r="LF740" s="5"/>
      <c r="LG740" s="5"/>
      <c r="LH740" s="5"/>
      <c r="LI740" s="5"/>
      <c r="LJ740" s="5"/>
      <c r="LK740" s="5"/>
      <c r="LL740" s="5"/>
      <c r="LM740" s="5"/>
      <c r="LN740" s="5"/>
      <c r="LO740" s="5"/>
      <c r="LP740" s="5"/>
      <c r="LQ740" s="5"/>
      <c r="LR740" s="5"/>
      <c r="LS740" s="5"/>
      <c r="LT740" s="5"/>
      <c r="LU740" s="5"/>
      <c r="LV740" s="5"/>
      <c r="LW740" s="5"/>
      <c r="LX740" s="5"/>
      <c r="LY740" s="5"/>
      <c r="LZ740" s="5"/>
      <c r="MA740" s="5"/>
      <c r="MB740" s="5"/>
      <c r="MC740" s="5"/>
      <c r="MD740" s="5"/>
      <c r="ME740" s="5"/>
      <c r="MF740" s="5"/>
      <c r="MG740" s="5"/>
      <c r="MH740" s="5"/>
      <c r="MI740" s="5"/>
      <c r="MJ740" s="5"/>
      <c r="MK740" s="5"/>
      <c r="ML740" s="5"/>
      <c r="MM740" s="5"/>
      <c r="MN740" s="5"/>
      <c r="MO740" s="5"/>
      <c r="MP740" s="5"/>
      <c r="MQ740" s="5"/>
      <c r="MR740" s="5"/>
      <c r="MS740" s="5"/>
      <c r="MT740" s="5"/>
      <c r="MU740" s="5"/>
      <c r="MV740" s="5"/>
      <c r="MW740" s="5"/>
      <c r="MX740" s="5"/>
      <c r="MY740" s="5"/>
      <c r="MZ740" s="5"/>
      <c r="NA740" s="5"/>
      <c r="NB740" s="5"/>
      <c r="NC740" s="5"/>
      <c r="ND740" s="5"/>
      <c r="NE740" s="5"/>
      <c r="NF740" s="5"/>
      <c r="NG740" s="5"/>
      <c r="NH740" s="5"/>
      <c r="NI740" s="5"/>
      <c r="NJ740" s="5"/>
      <c r="NK740" s="5"/>
      <c r="NL740" s="5"/>
      <c r="NM740" s="5"/>
      <c r="NN740" s="5"/>
      <c r="NO740" s="5"/>
      <c r="NP740" s="5"/>
      <c r="NQ740" s="5"/>
      <c r="NR740" s="5"/>
      <c r="NS740" s="5"/>
      <c r="NT740" s="5"/>
      <c r="NU740" s="5"/>
      <c r="NV740" s="5"/>
      <c r="NW740" s="5"/>
      <c r="NX740" s="5"/>
      <c r="NY740" s="5"/>
      <c r="NZ740" s="5"/>
      <c r="OA740" s="5"/>
      <c r="OB740" s="5"/>
      <c r="OC740" s="5"/>
      <c r="OD740" s="5"/>
      <c r="OE740" s="5"/>
      <c r="OF740" s="5"/>
      <c r="OG740" s="5"/>
      <c r="OH740" s="5"/>
      <c r="OI740" s="5"/>
      <c r="OJ740" s="5"/>
      <c r="OK740" s="5"/>
      <c r="OL740" s="5"/>
      <c r="OM740" s="5"/>
      <c r="ON740" s="5"/>
      <c r="OO740" s="5"/>
      <c r="OP740" s="5"/>
      <c r="OQ740" s="5"/>
      <c r="OR740" s="5"/>
      <c r="OS740" s="5"/>
      <c r="OT740" s="5"/>
      <c r="OU740" s="5"/>
      <c r="OV740" s="5"/>
      <c r="OW740" s="5"/>
      <c r="OX740" s="5"/>
      <c r="OY740" s="5"/>
      <c r="OZ740" s="5"/>
      <c r="PA740" s="5"/>
      <c r="PB740" s="5"/>
      <c r="PC740" s="5"/>
      <c r="PD740" s="5"/>
      <c r="PE740" s="5"/>
      <c r="PF740" s="5"/>
      <c r="PG740" s="5"/>
      <c r="PH740" s="5"/>
      <c r="PI740" s="5"/>
      <c r="PJ740" s="5"/>
      <c r="PK740" s="5"/>
      <c r="PL740" s="5"/>
      <c r="PM740" s="5"/>
      <c r="PN740" s="5"/>
      <c r="PO740" s="5"/>
      <c r="PP740" s="5"/>
      <c r="PQ740" s="5"/>
      <c r="PR740" s="5"/>
      <c r="PS740" s="5"/>
      <c r="PT740" s="5"/>
      <c r="PU740" s="5"/>
      <c r="PV740" s="5"/>
      <c r="PW740" s="5"/>
      <c r="PX740" s="5"/>
      <c r="PY740" s="5"/>
      <c r="PZ740" s="5"/>
      <c r="QA740" s="5"/>
      <c r="QB740" s="5"/>
      <c r="QC740" s="5"/>
      <c r="QD740" s="5"/>
      <c r="QE740" s="5"/>
      <c r="QF740" s="5"/>
      <c r="QG740" s="5"/>
      <c r="QH740" s="5"/>
      <c r="QI740" s="5"/>
      <c r="QJ740" s="5"/>
      <c r="QK740" s="5"/>
      <c r="QL740" s="5"/>
      <c r="QM740" s="5"/>
      <c r="QN740" s="5"/>
      <c r="QO740" s="5"/>
      <c r="QP740" s="5"/>
      <c r="QQ740" s="5"/>
      <c r="QR740" s="5"/>
      <c r="QS740" s="5"/>
      <c r="QT740" s="5"/>
      <c r="QU740" s="5"/>
      <c r="QV740" s="5"/>
      <c r="QW740" s="5"/>
      <c r="QX740" s="5"/>
      <c r="QY740" s="5"/>
      <c r="QZ740" s="5"/>
      <c r="RA740" s="5"/>
      <c r="RB740" s="5"/>
      <c r="RC740" s="5"/>
      <c r="RD740" s="5"/>
      <c r="RE740" s="5"/>
      <c r="RF740" s="5"/>
      <c r="RG740" s="5"/>
      <c r="RH740" s="5"/>
      <c r="RI740" s="5"/>
      <c r="RJ740" s="5"/>
      <c r="RK740" s="5"/>
      <c r="RL740" s="5"/>
      <c r="RM740" s="5"/>
      <c r="RN740" s="5"/>
      <c r="RO740" s="5"/>
      <c r="RP740" s="5"/>
      <c r="RQ740" s="5"/>
      <c r="RR740" s="5"/>
      <c r="RS740" s="5"/>
      <c r="RT740" s="5"/>
      <c r="RU740" s="5"/>
      <c r="RV740" s="5"/>
      <c r="RW740" s="5"/>
      <c r="RX740" s="5"/>
      <c r="RY740" s="5"/>
      <c r="RZ740" s="5"/>
      <c r="SA740" s="5"/>
      <c r="SB740" s="5"/>
      <c r="SC740" s="5"/>
      <c r="SD740" s="5"/>
      <c r="SE740" s="5"/>
      <c r="SF740" s="5"/>
      <c r="SG740" s="5"/>
      <c r="SH740" s="5"/>
      <c r="SI740" s="5"/>
      <c r="SJ740" s="5"/>
      <c r="SK740" s="5"/>
      <c r="SL740" s="5"/>
      <c r="SM740" s="5"/>
      <c r="SN740" s="5"/>
      <c r="SO740" s="5"/>
      <c r="SP740" s="5"/>
      <c r="SQ740" s="5"/>
      <c r="SR740" s="5"/>
      <c r="SS740" s="5"/>
      <c r="ST740" s="5"/>
      <c r="SU740" s="5"/>
      <c r="SV740" s="5"/>
      <c r="SW740" s="5"/>
      <c r="SX740" s="5"/>
      <c r="SY740" s="5"/>
      <c r="SZ740" s="5"/>
      <c r="TA740" s="5"/>
      <c r="TB740" s="5"/>
      <c r="TC740" s="5"/>
      <c r="TD740" s="5"/>
      <c r="TE740" s="5"/>
      <c r="TF740" s="5"/>
      <c r="TG740" s="5"/>
      <c r="TH740" s="5"/>
      <c r="TI740" s="5"/>
      <c r="TJ740" s="5"/>
      <c r="TK740" s="5"/>
      <c r="TL740" s="5"/>
      <c r="TM740" s="5"/>
      <c r="TN740" s="5"/>
      <c r="TO740" s="5"/>
      <c r="TP740" s="5"/>
      <c r="TQ740" s="5"/>
      <c r="TR740" s="5"/>
      <c r="TS740" s="5"/>
      <c r="TT740" s="5"/>
      <c r="TU740" s="5"/>
      <c r="TV740" s="5"/>
      <c r="TW740" s="5"/>
      <c r="TX740" s="5"/>
      <c r="TY740" s="5"/>
      <c r="TZ740" s="5"/>
      <c r="UA740" s="5"/>
      <c r="UB740" s="5"/>
      <c r="UC740" s="5"/>
      <c r="UD740" s="5"/>
      <c r="UE740" s="5"/>
      <c r="UF740" s="5"/>
      <c r="UG740" s="5"/>
      <c r="UH740" s="5"/>
      <c r="UI740" s="5"/>
      <c r="UJ740" s="5"/>
      <c r="UK740" s="5"/>
      <c r="UL740" s="5"/>
      <c r="UM740" s="5"/>
      <c r="UN740" s="5"/>
      <c r="UO740" s="5"/>
      <c r="UP740" s="5"/>
      <c r="UQ740" s="5"/>
      <c r="UR740" s="5"/>
      <c r="US740" s="5"/>
      <c r="UT740" s="5"/>
      <c r="UU740" s="5"/>
      <c r="UV740" s="5"/>
      <c r="UW740" s="5"/>
      <c r="UX740" s="5"/>
      <c r="UY740" s="5"/>
      <c r="UZ740" s="5"/>
      <c r="VA740" s="5"/>
      <c r="VB740" s="5"/>
      <c r="VC740" s="5"/>
      <c r="VD740" s="5"/>
      <c r="VE740" s="5"/>
      <c r="VF740" s="5"/>
      <c r="VG740" s="5"/>
      <c r="VH740" s="5"/>
      <c r="VI740" s="5"/>
      <c r="VJ740" s="5"/>
      <c r="VK740" s="5"/>
      <c r="VL740" s="5"/>
      <c r="VM740" s="5"/>
      <c r="VN740" s="5"/>
      <c r="VO740" s="5"/>
      <c r="VP740" s="5"/>
      <c r="VQ740" s="5"/>
      <c r="VR740" s="5"/>
      <c r="VS740" s="5"/>
      <c r="VT740" s="5"/>
      <c r="VU740" s="5"/>
      <c r="VV740" s="5"/>
      <c r="VW740" s="5"/>
      <c r="VX740" s="5"/>
      <c r="VY740" s="5"/>
      <c r="VZ740" s="5"/>
      <c r="WA740" s="5"/>
      <c r="WB740" s="5"/>
      <c r="WC740" s="5"/>
      <c r="WD740" s="5"/>
      <c r="WE740" s="5"/>
      <c r="WF740" s="5"/>
      <c r="WG740" s="5"/>
      <c r="WH740" s="5"/>
      <c r="WI740" s="5"/>
      <c r="WJ740" s="5"/>
      <c r="WK740" s="5"/>
      <c r="WL740" s="5"/>
      <c r="WM740" s="5"/>
      <c r="WN740" s="5"/>
      <c r="WO740" s="5"/>
      <c r="WP740" s="5"/>
      <c r="WQ740" s="5"/>
      <c r="WR740" s="5"/>
      <c r="WS740" s="5"/>
      <c r="WT740" s="5"/>
      <c r="WU740" s="5"/>
      <c r="WV740" s="5"/>
      <c r="WW740" s="5"/>
      <c r="WX740" s="5"/>
      <c r="WY740" s="5"/>
      <c r="WZ740" s="5"/>
      <c r="XA740" s="5"/>
      <c r="XB740" s="5"/>
      <c r="XC740" s="5"/>
      <c r="XD740" s="5"/>
      <c r="XE740" s="5"/>
      <c r="XF740" s="5"/>
      <c r="XG740" s="5"/>
      <c r="XH740" s="5"/>
      <c r="XI740" s="5"/>
      <c r="XJ740" s="5"/>
      <c r="XK740" s="5"/>
      <c r="XL740" s="5"/>
      <c r="XM740" s="5"/>
      <c r="XN740" s="5"/>
      <c r="XO740" s="5"/>
      <c r="XP740" s="5"/>
      <c r="XQ740" s="5"/>
      <c r="XR740" s="5"/>
      <c r="XS740" s="5"/>
      <c r="XT740" s="5"/>
      <c r="XU740" s="5"/>
      <c r="XV740" s="5"/>
      <c r="XW740" s="5"/>
      <c r="XX740" s="5"/>
      <c r="XY740" s="5"/>
      <c r="XZ740" s="5"/>
      <c r="YA740" s="5"/>
      <c r="YB740" s="5"/>
      <c r="YC740" s="5"/>
      <c r="YD740" s="5"/>
      <c r="YE740" s="5"/>
      <c r="YF740" s="5"/>
      <c r="YG740" s="5"/>
      <c r="YH740" s="5"/>
      <c r="YI740" s="5"/>
      <c r="YJ740" s="5"/>
      <c r="YK740" s="5"/>
      <c r="YL740" s="5"/>
      <c r="YM740" s="5"/>
      <c r="YN740" s="5"/>
      <c r="YO740" s="5"/>
      <c r="YP740" s="5"/>
      <c r="YQ740" s="5"/>
      <c r="YR740" s="5"/>
      <c r="YS740" s="5"/>
      <c r="YT740" s="5"/>
      <c r="YU740" s="5"/>
      <c r="YV740" s="5"/>
      <c r="YW740" s="5"/>
      <c r="YX740" s="5"/>
      <c r="YY740" s="5"/>
      <c r="YZ740" s="5"/>
      <c r="ZA740" s="5"/>
      <c r="ZB740" s="5"/>
      <c r="ZC740" s="5"/>
      <c r="ZD740" s="5"/>
      <c r="ZE740" s="5"/>
      <c r="ZF740" s="5"/>
      <c r="ZG740" s="5"/>
      <c r="ZH740" s="5"/>
      <c r="ZI740" s="5"/>
      <c r="ZJ740" s="5"/>
      <c r="ZK740" s="5"/>
      <c r="ZL740" s="5"/>
      <c r="ZM740" s="5"/>
      <c r="ZN740" s="5"/>
      <c r="ZO740" s="5"/>
      <c r="ZP740" s="5"/>
      <c r="ZQ740" s="5"/>
      <c r="ZR740" s="5"/>
      <c r="ZS740" s="5"/>
      <c r="ZT740" s="5"/>
      <c r="ZU740" s="5"/>
      <c r="ZV740" s="5"/>
      <c r="ZW740" s="5"/>
      <c r="ZX740" s="5"/>
      <c r="ZY740" s="5"/>
      <c r="ZZ740" s="5"/>
      <c r="AAA740" s="5"/>
      <c r="AAB740" s="5"/>
      <c r="AAC740" s="5"/>
      <c r="AAD740" s="5"/>
      <c r="AAE740" s="5"/>
      <c r="AAF740" s="5"/>
      <c r="AAG740" s="5"/>
      <c r="AAH740" s="5"/>
      <c r="AAI740" s="5"/>
      <c r="AAJ740" s="5"/>
      <c r="AAK740" s="5"/>
      <c r="AAL740" s="5"/>
      <c r="AAM740" s="5"/>
      <c r="AAN740" s="5"/>
      <c r="AAO740" s="5"/>
      <c r="AAP740" s="5"/>
      <c r="AAQ740" s="5"/>
      <c r="AAR740" s="5"/>
      <c r="AAS740" s="5"/>
      <c r="AAT740" s="5"/>
      <c r="AAU740" s="5"/>
      <c r="AAV740" s="5"/>
      <c r="AAW740" s="5"/>
      <c r="AAX740" s="5"/>
      <c r="AAY740" s="5"/>
      <c r="AAZ740" s="5"/>
      <c r="ABA740" s="5"/>
      <c r="ABB740" s="5"/>
      <c r="ABC740" s="5"/>
      <c r="ABD740" s="5"/>
      <c r="ABE740" s="5"/>
      <c r="ABF740" s="5"/>
      <c r="ABG740" s="5"/>
      <c r="ABH740" s="5"/>
      <c r="ABI740" s="5"/>
      <c r="ABJ740" s="5"/>
      <c r="ABK740" s="5"/>
      <c r="ABL740" s="5"/>
      <c r="ABM740" s="5"/>
      <c r="ABN740" s="5"/>
      <c r="ABO740" s="5"/>
      <c r="ABP740" s="5"/>
      <c r="ABQ740" s="5"/>
      <c r="ABR740" s="5"/>
      <c r="ABS740" s="5"/>
      <c r="ABT740" s="5"/>
      <c r="ABU740" s="5"/>
      <c r="ABV740" s="5"/>
      <c r="ABW740" s="5"/>
      <c r="ABX740" s="5"/>
      <c r="ABY740" s="5"/>
      <c r="ABZ740" s="5"/>
      <c r="ACA740" s="5"/>
      <c r="ACB740" s="5"/>
      <c r="ACC740" s="5"/>
      <c r="ACD740" s="5"/>
      <c r="ACE740" s="5"/>
      <c r="ACF740" s="5"/>
      <c r="ACG740" s="5"/>
      <c r="ACH740" s="5"/>
      <c r="ACI740" s="5"/>
      <c r="ACJ740" s="5"/>
      <c r="ACK740" s="5"/>
      <c r="ACL740" s="5"/>
      <c r="ACM740" s="5"/>
      <c r="ACN740" s="5"/>
      <c r="ACO740" s="5"/>
      <c r="ACP740" s="5"/>
      <c r="ACQ740" s="5"/>
      <c r="ACR740" s="5"/>
      <c r="ACS740" s="5"/>
      <c r="ACT740" s="5"/>
      <c r="ACU740" s="5"/>
      <c r="ACV740" s="5"/>
      <c r="ACW740" s="5"/>
      <c r="ACX740" s="5"/>
      <c r="ACY740" s="5"/>
      <c r="ACZ740" s="5"/>
      <c r="ADA740" s="5"/>
      <c r="ADB740" s="5"/>
      <c r="ADC740" s="5"/>
      <c r="ADD740" s="5"/>
      <c r="ADE740" s="5"/>
      <c r="ADF740" s="5"/>
      <c r="ADG740" s="5"/>
      <c r="ADH740" s="5"/>
      <c r="ADI740" s="5"/>
      <c r="ADJ740" s="5"/>
      <c r="ADK740" s="5"/>
      <c r="ADL740" s="5"/>
      <c r="ADM740" s="5"/>
      <c r="ADN740" s="5"/>
      <c r="ADO740" s="5"/>
      <c r="ADP740" s="5"/>
      <c r="ADQ740" s="5"/>
      <c r="ADR740" s="5"/>
      <c r="ADS740" s="5"/>
      <c r="ADT740" s="5"/>
      <c r="ADU740" s="5"/>
      <c r="ADV740" s="5"/>
      <c r="ADW740" s="5"/>
      <c r="ADX740" s="5"/>
      <c r="ADY740" s="5"/>
      <c r="ADZ740" s="5"/>
      <c r="AEA740" s="5"/>
      <c r="AEB740" s="5"/>
      <c r="AEC740" s="5"/>
      <c r="AED740" s="5"/>
      <c r="AEE740" s="5"/>
      <c r="AEF740" s="5"/>
      <c r="AEG740" s="5"/>
      <c r="AEH740" s="5"/>
      <c r="AEI740" s="5"/>
      <c r="AEJ740" s="5"/>
      <c r="AEK740" s="5"/>
      <c r="AEL740" s="5"/>
      <c r="AEM740" s="5"/>
      <c r="AEN740" s="5"/>
      <c r="AEO740" s="5"/>
      <c r="AEP740" s="5"/>
      <c r="AEQ740" s="5"/>
      <c r="AER740" s="5"/>
      <c r="AES740" s="5"/>
      <c r="AET740" s="5"/>
      <c r="AEU740" s="5"/>
      <c r="AEV740" s="5"/>
      <c r="AEW740" s="5"/>
      <c r="AEX740" s="5"/>
      <c r="AEY740" s="5"/>
      <c r="AEZ740" s="5"/>
      <c r="AFA740" s="5"/>
      <c r="AFB740" s="5"/>
      <c r="AFC740" s="5"/>
      <c r="AFD740" s="5"/>
      <c r="AFE740" s="5"/>
      <c r="AFF740" s="5"/>
      <c r="AFG740" s="5"/>
      <c r="AFH740" s="5"/>
      <c r="AFI740" s="5"/>
      <c r="AFJ740" s="5"/>
      <c r="AFK740" s="5"/>
      <c r="AFL740" s="5"/>
      <c r="AFM740" s="5"/>
      <c r="AFN740" s="5"/>
      <c r="AFO740" s="5"/>
      <c r="AFP740" s="5"/>
      <c r="AFQ740" s="5"/>
      <c r="AFR740" s="5"/>
      <c r="AFS740" s="5"/>
      <c r="AFT740" s="5"/>
      <c r="AFU740" s="5"/>
      <c r="AFV740" s="5"/>
      <c r="AFW740" s="5"/>
      <c r="AFX740" s="5"/>
      <c r="AFY740" s="5"/>
      <c r="AFZ740" s="5"/>
      <c r="AGA740" s="5"/>
      <c r="AGB740" s="5"/>
      <c r="AGC740" s="5"/>
      <c r="AGD740" s="5"/>
      <c r="AGE740" s="5"/>
      <c r="AGF740" s="5"/>
      <c r="AGG740" s="5"/>
      <c r="AGH740" s="5"/>
      <c r="AGI740" s="5"/>
      <c r="AGJ740" s="5"/>
      <c r="AGK740" s="5"/>
      <c r="AGL740" s="5"/>
      <c r="AGM740" s="5"/>
      <c r="AGN740" s="5"/>
      <c r="AGO740" s="5"/>
      <c r="AGP740" s="5"/>
      <c r="AGQ740" s="5"/>
      <c r="AGR740" s="5"/>
      <c r="AGS740" s="5"/>
      <c r="AGT740" s="5"/>
      <c r="AGU740" s="5"/>
      <c r="AGV740" s="5"/>
      <c r="AGW740" s="5"/>
      <c r="AGX740" s="5"/>
      <c r="AGY740" s="5"/>
      <c r="AGZ740" s="5"/>
      <c r="AHA740" s="5"/>
      <c r="AHB740" s="5"/>
      <c r="AHC740" s="5"/>
      <c r="AHD740" s="5"/>
      <c r="AHE740" s="5"/>
      <c r="AHF740" s="5"/>
      <c r="AHG740" s="5"/>
      <c r="AHH740" s="5"/>
      <c r="AHI740" s="5"/>
      <c r="AHJ740" s="5"/>
      <c r="AHK740" s="5"/>
      <c r="AHL740" s="5"/>
      <c r="AHM740" s="5"/>
      <c r="AHN740" s="5"/>
      <c r="AHO740" s="5"/>
      <c r="AHP740" s="5"/>
      <c r="AHQ740" s="5"/>
      <c r="AHR740" s="5"/>
      <c r="AHS740" s="5"/>
      <c r="AHT740" s="5"/>
      <c r="AHU740" s="5"/>
      <c r="AHV740" s="5"/>
      <c r="AHW740" s="5"/>
      <c r="AHX740" s="5"/>
      <c r="AHY740" s="5"/>
      <c r="AHZ740" s="5"/>
      <c r="AIA740" s="5"/>
      <c r="AIB740" s="5"/>
      <c r="AIC740" s="5"/>
      <c r="AID740" s="5"/>
      <c r="AIE740" s="5"/>
      <c r="AIF740" s="5"/>
      <c r="AIG740" s="5"/>
      <c r="AIH740" s="5"/>
      <c r="AII740" s="5"/>
      <c r="AIJ740" s="5"/>
      <c r="AIK740" s="5"/>
      <c r="AIL740" s="5"/>
      <c r="AIM740" s="5"/>
      <c r="AIN740" s="5"/>
      <c r="AIO740" s="5"/>
      <c r="AIP740" s="5"/>
      <c r="AIQ740" s="5"/>
      <c r="AIR740" s="5"/>
      <c r="AIS740" s="5"/>
      <c r="AIT740" s="5"/>
      <c r="AIU740" s="5"/>
      <c r="AIV740" s="5"/>
      <c r="AIW740" s="5"/>
      <c r="AIX740" s="5"/>
      <c r="AIY740" s="5"/>
      <c r="AIZ740" s="5"/>
      <c r="AJA740" s="5"/>
      <c r="AJB740" s="5"/>
      <c r="AJC740" s="5"/>
      <c r="AJD740" s="5"/>
      <c r="AJE740" s="5"/>
      <c r="AJF740" s="5"/>
      <c r="AJG740" s="5"/>
      <c r="AJH740" s="5"/>
      <c r="AJI740" s="5"/>
      <c r="AJJ740" s="5"/>
      <c r="AJK740" s="5"/>
      <c r="AJL740" s="5"/>
      <c r="AJM740" s="5"/>
      <c r="AJN740" s="5"/>
      <c r="AJO740" s="5"/>
      <c r="AJP740" s="5"/>
      <c r="AJQ740" s="5"/>
      <c r="AJR740" s="5"/>
      <c r="AJS740" s="5"/>
      <c r="AJT740" s="5"/>
      <c r="AJU740" s="5"/>
      <c r="AJV740" s="5"/>
      <c r="AJW740" s="5"/>
      <c r="AJX740" s="5"/>
      <c r="AJY740" s="5"/>
      <c r="AJZ740" s="5"/>
      <c r="AKA740" s="5"/>
      <c r="AKB740" s="5"/>
      <c r="AKC740" s="5"/>
      <c r="AKD740" s="5"/>
      <c r="AKE740" s="5"/>
      <c r="AKF740" s="5"/>
      <c r="AKG740" s="5"/>
      <c r="AKH740" s="5"/>
      <c r="AKI740" s="5"/>
      <c r="AKJ740" s="5"/>
      <c r="AKK740" s="5"/>
      <c r="AKL740" s="5"/>
      <c r="AKM740" s="5"/>
      <c r="AKN740" s="5"/>
      <c r="AKO740" s="5"/>
      <c r="AKP740" s="5"/>
      <c r="AKQ740" s="5"/>
      <c r="AKR740" s="5"/>
      <c r="AKS740" s="5"/>
      <c r="AKT740" s="5"/>
      <c r="AKU740" s="5"/>
      <c r="AKV740" s="5"/>
      <c r="AKW740" s="5"/>
      <c r="AKX740" s="5"/>
      <c r="AKY740" s="5"/>
      <c r="AKZ740" s="5"/>
      <c r="ALA740" s="5"/>
      <c r="ALB740" s="5"/>
      <c r="ALC740" s="5"/>
      <c r="ALD740" s="5"/>
      <c r="ALE740" s="5"/>
      <c r="ALF740" s="5"/>
      <c r="ALG740" s="5"/>
      <c r="ALH740" s="5"/>
      <c r="ALI740" s="5"/>
      <c r="ALJ740" s="5"/>
      <c r="ALK740" s="5"/>
      <c r="ALL740" s="5"/>
      <c r="ALM740" s="5"/>
      <c r="ALN740" s="5"/>
      <c r="ALO740" s="5"/>
      <c r="ALP740" s="5"/>
      <c r="ALQ740" s="5"/>
      <c r="ALR740" s="5"/>
      <c r="ALS740" s="5"/>
      <c r="ALT740" s="5"/>
      <c r="ALU740" s="5"/>
      <c r="ALV740" s="5"/>
      <c r="ALW740" s="5"/>
      <c r="ALX740" s="5"/>
      <c r="ALY740" s="5"/>
      <c r="ALZ740" s="5"/>
      <c r="AMA740" s="5"/>
      <c r="AMB740" s="5"/>
      <c r="AMC740" s="5"/>
      <c r="AMD740" s="5"/>
      <c r="AME740" s="5"/>
      <c r="AMF740" s="5"/>
      <c r="AMG740" s="5"/>
      <c r="AMH740" s="5"/>
      <c r="AMI740" s="5"/>
      <c r="AMJ740" s="5"/>
      <c r="AMK740" s="5"/>
      <c r="AML740" s="5"/>
      <c r="AMM740" s="5"/>
      <c r="AMN740" s="5"/>
      <c r="AMO740" s="5"/>
      <c r="AMP740" s="5"/>
      <c r="AMQ740" s="5"/>
      <c r="AMR740" s="5"/>
      <c r="AMS740" s="5"/>
      <c r="AMT740" s="5"/>
      <c r="AMU740" s="5"/>
      <c r="AMV740" s="5"/>
      <c r="AMW740" s="5"/>
      <c r="AMX740" s="5"/>
      <c r="AMY740" s="5"/>
      <c r="AMZ740" s="5"/>
      <c r="ANA740" s="5"/>
      <c r="ANB740" s="5"/>
      <c r="ANC740" s="5"/>
      <c r="AND740" s="5"/>
      <c r="ANE740" s="5"/>
      <c r="ANF740" s="5"/>
      <c r="ANG740" s="5"/>
      <c r="ANH740" s="5"/>
      <c r="ANI740" s="5"/>
      <c r="ANJ740" s="5"/>
      <c r="ANK740" s="5"/>
      <c r="ANL740" s="5"/>
      <c r="ANM740" s="5"/>
      <c r="ANN740" s="5"/>
      <c r="ANO740" s="5"/>
      <c r="ANP740" s="5"/>
      <c r="ANQ740" s="5"/>
      <c r="ANR740" s="5"/>
      <c r="ANS740" s="5"/>
      <c r="ANT740" s="5"/>
      <c r="ANU740" s="5"/>
      <c r="ANV740" s="5"/>
      <c r="ANW740" s="5"/>
      <c r="ANX740" s="5"/>
      <c r="ANY740" s="5"/>
      <c r="ANZ740" s="5"/>
      <c r="AOA740" s="5"/>
      <c r="AOB740" s="5"/>
      <c r="AOC740" s="5"/>
      <c r="AOD740" s="5"/>
      <c r="AOE740" s="5"/>
      <c r="AOF740" s="5"/>
      <c r="AOG740" s="5"/>
      <c r="AOH740" s="5"/>
      <c r="AOI740" s="5"/>
      <c r="AOJ740" s="5"/>
      <c r="AOK740" s="5"/>
      <c r="AOL740" s="5"/>
      <c r="AOM740" s="5"/>
      <c r="AON740" s="5"/>
      <c r="AOO740" s="5"/>
      <c r="AOP740" s="5"/>
      <c r="AOQ740" s="5"/>
      <c r="AOR740" s="5"/>
      <c r="AOS740" s="5"/>
      <c r="AOT740" s="5"/>
      <c r="AOU740" s="5"/>
      <c r="AOV740" s="5"/>
      <c r="AOW740" s="5"/>
      <c r="AOX740" s="5"/>
      <c r="AOY740" s="5"/>
      <c r="AOZ740" s="5"/>
      <c r="APA740" s="5"/>
      <c r="APB740" s="5"/>
      <c r="APC740" s="5"/>
      <c r="APD740" s="5"/>
      <c r="APE740" s="5"/>
      <c r="APF740" s="5"/>
      <c r="APG740" s="5"/>
      <c r="APH740" s="5"/>
      <c r="API740" s="5"/>
      <c r="APJ740" s="5"/>
      <c r="APK740" s="5"/>
      <c r="APL740" s="5"/>
      <c r="APM740" s="5"/>
      <c r="APN740" s="5"/>
      <c r="APO740" s="5"/>
      <c r="APP740" s="5"/>
      <c r="APQ740" s="5"/>
      <c r="APR740" s="5"/>
      <c r="APS740" s="5"/>
      <c r="APT740" s="5"/>
      <c r="APU740" s="5"/>
      <c r="APV740" s="5"/>
      <c r="APW740" s="5"/>
      <c r="APX740" s="5"/>
      <c r="APY740" s="5"/>
      <c r="APZ740" s="5"/>
      <c r="AQA740" s="5"/>
      <c r="AQB740" s="5"/>
      <c r="AQC740" s="5"/>
      <c r="AQD740" s="5"/>
      <c r="AQE740" s="5"/>
      <c r="AQF740" s="5"/>
      <c r="AQG740" s="5"/>
      <c r="AQH740" s="5"/>
      <c r="AQI740" s="5"/>
      <c r="AQJ740" s="5"/>
      <c r="AQK740" s="5"/>
      <c r="AQL740" s="5"/>
      <c r="AQM740" s="5"/>
      <c r="AQN740" s="5"/>
      <c r="AQO740" s="5"/>
      <c r="AQP740" s="5"/>
      <c r="AQQ740" s="5"/>
      <c r="AQR740" s="5"/>
      <c r="AQS740" s="5"/>
      <c r="AQT740" s="5"/>
      <c r="AQU740" s="5"/>
      <c r="AQV740" s="5"/>
      <c r="AQW740" s="5"/>
      <c r="AQX740" s="5"/>
      <c r="AQY740" s="5"/>
      <c r="AQZ740" s="5"/>
      <c r="ARA740" s="5"/>
      <c r="ARB740" s="5"/>
      <c r="ARC740" s="5"/>
      <c r="ARD740" s="5"/>
      <c r="ARE740" s="5"/>
      <c r="ARF740" s="5"/>
      <c r="ARG740" s="5"/>
      <c r="ARH740" s="5"/>
      <c r="ARI740" s="5"/>
      <c r="ARJ740" s="5"/>
      <c r="ARK740" s="5"/>
      <c r="ARL740" s="5"/>
      <c r="ARM740" s="5"/>
      <c r="ARN740" s="5"/>
      <c r="ARO740" s="5"/>
      <c r="ARP740" s="5"/>
      <c r="ARQ740" s="5"/>
      <c r="ARR740" s="5"/>
      <c r="ARS740" s="5"/>
      <c r="ART740" s="5"/>
      <c r="ARU740" s="5"/>
      <c r="ARV740" s="5"/>
      <c r="ARW740" s="5"/>
      <c r="ARX740" s="5"/>
      <c r="ARY740" s="5"/>
      <c r="ARZ740" s="5"/>
      <c r="ASA740" s="5"/>
      <c r="ASB740" s="5"/>
      <c r="ASC740" s="5"/>
      <c r="ASD740" s="5"/>
      <c r="ASE740" s="5"/>
      <c r="ASF740" s="5"/>
      <c r="ASG740" s="5"/>
      <c r="ASH740" s="5"/>
      <c r="ASI740" s="5"/>
      <c r="ASJ740" s="5"/>
      <c r="ASK740" s="5"/>
      <c r="ASL740" s="5"/>
      <c r="ASM740" s="5"/>
      <c r="ASN740" s="5"/>
      <c r="ASO740" s="5"/>
      <c r="ASP740" s="5"/>
      <c r="ASQ740" s="5"/>
      <c r="ASR740" s="5"/>
      <c r="ASS740" s="5"/>
      <c r="AST740" s="5"/>
      <c r="ASU740" s="5"/>
      <c r="ASV740" s="5"/>
      <c r="ASW740" s="5"/>
      <c r="ASX740" s="5"/>
      <c r="ASY740" s="5"/>
      <c r="ASZ740" s="5"/>
      <c r="ATA740" s="5"/>
      <c r="ATB740" s="5"/>
      <c r="ATC740" s="5"/>
      <c r="ATD740" s="5"/>
      <c r="ATE740" s="5"/>
      <c r="ATF740" s="5"/>
      <c r="ATG740" s="5"/>
      <c r="ATH740" s="5"/>
      <c r="ATI740" s="5"/>
      <c r="ATJ740" s="5"/>
      <c r="ATK740" s="5"/>
      <c r="ATL740" s="5"/>
      <c r="ATM740" s="5"/>
      <c r="ATN740" s="5"/>
      <c r="ATO740" s="5"/>
      <c r="ATP740" s="5"/>
      <c r="ATQ740" s="5"/>
      <c r="ATR740" s="5"/>
      <c r="ATS740" s="5"/>
      <c r="ATT740" s="5"/>
      <c r="ATU740" s="5"/>
      <c r="ATV740" s="5"/>
      <c r="ATW740" s="5"/>
      <c r="ATX740" s="5"/>
    </row>
    <row r="741" spans="1:1220" s="67" customFormat="1" ht="12.75" customHeight="1" x14ac:dyDescent="0.35">
      <c r="A741" s="76" t="s">
        <v>229</v>
      </c>
      <c r="B741" s="99" t="s">
        <v>381</v>
      </c>
      <c r="C741" s="76" t="s">
        <v>115</v>
      </c>
      <c r="D741" s="142" t="s">
        <v>2641</v>
      </c>
      <c r="E741" s="76"/>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c r="DX741" s="5"/>
      <c r="DY741" s="5"/>
      <c r="DZ741" s="5"/>
      <c r="EA741" s="5"/>
      <c r="EB741" s="5"/>
      <c r="EC741" s="5"/>
      <c r="ED741" s="5"/>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s="5"/>
      <c r="FG741" s="5"/>
      <c r="FH741" s="5"/>
      <c r="FI741" s="5"/>
      <c r="FJ741" s="5"/>
      <c r="FK741" s="5"/>
      <c r="FL741" s="5"/>
      <c r="FM741" s="5"/>
      <c r="FN741" s="5"/>
      <c r="FO741" s="5"/>
      <c r="FP741" s="5"/>
      <c r="FQ741" s="5"/>
      <c r="FR741" s="5"/>
      <c r="FS741" s="5"/>
      <c r="FT741" s="5"/>
      <c r="FU741" s="5"/>
      <c r="FV741" s="5"/>
      <c r="FW741" s="5"/>
      <c r="FX741" s="5"/>
      <c r="FY741" s="5"/>
      <c r="FZ741" s="5"/>
      <c r="GA741" s="5"/>
      <c r="GB741" s="5"/>
      <c r="GC741" s="5"/>
      <c r="GD741" s="5"/>
      <c r="GE741" s="5"/>
      <c r="GF741" s="5"/>
      <c r="GG741" s="5"/>
      <c r="GH741" s="5"/>
      <c r="GI741" s="5"/>
      <c r="GJ741" s="5"/>
      <c r="GK741" s="5"/>
      <c r="GL741" s="5"/>
      <c r="GM741" s="5"/>
      <c r="GN741" s="5"/>
      <c r="GO741" s="5"/>
      <c r="GP741" s="5"/>
      <c r="GQ741" s="5"/>
      <c r="GR741" s="5"/>
      <c r="GS741" s="5"/>
      <c r="GT741" s="5"/>
      <c r="GU741" s="5"/>
      <c r="GV741" s="5"/>
      <c r="GW741" s="5"/>
      <c r="GX741" s="5"/>
      <c r="GY741" s="5"/>
      <c r="GZ741" s="5"/>
      <c r="HA741" s="5"/>
      <c r="HB741" s="5"/>
      <c r="HC741" s="5"/>
      <c r="HD741" s="5"/>
      <c r="HE741" s="5"/>
      <c r="HF741" s="5"/>
      <c r="HG741" s="5"/>
      <c r="HH741" s="5"/>
      <c r="HI741" s="5"/>
      <c r="HJ741" s="5"/>
      <c r="HK741" s="5"/>
      <c r="HL741" s="5"/>
      <c r="HM741" s="5"/>
      <c r="HN741" s="5"/>
      <c r="HO741" s="5"/>
      <c r="HP741" s="5"/>
      <c r="HQ741" s="5"/>
      <c r="HR741" s="5"/>
      <c r="HS741" s="5"/>
      <c r="HT741" s="5"/>
      <c r="HU741" s="5"/>
      <c r="HV741" s="5"/>
      <c r="HW741" s="5"/>
      <c r="HX741" s="5"/>
      <c r="HY741" s="5"/>
      <c r="HZ741" s="5"/>
      <c r="IA741" s="5"/>
      <c r="IB741" s="5"/>
      <c r="IC741" s="5"/>
      <c r="ID741" s="5"/>
      <c r="IE741" s="5"/>
      <c r="IF741" s="5"/>
      <c r="IG741" s="5"/>
      <c r="IH741" s="5"/>
      <c r="II741" s="5"/>
      <c r="IJ741" s="5"/>
      <c r="IK741" s="5"/>
      <c r="IL741" s="5"/>
      <c r="IM741" s="5"/>
      <c r="IN741" s="5"/>
      <c r="IO741" s="5"/>
      <c r="IP741" s="5"/>
      <c r="IQ741" s="5"/>
      <c r="IR741" s="5"/>
      <c r="IS741" s="5"/>
      <c r="IT741" s="5"/>
      <c r="IU741" s="5"/>
      <c r="IV741" s="5"/>
      <c r="IW741" s="5"/>
      <c r="IX741" s="5"/>
      <c r="IY741" s="5"/>
      <c r="IZ741" s="5"/>
      <c r="JA741" s="5"/>
      <c r="JB741" s="5"/>
      <c r="JC741" s="5"/>
      <c r="JD741" s="5"/>
      <c r="JE741" s="5"/>
      <c r="JF741" s="5"/>
      <c r="JG741" s="5"/>
      <c r="JH741" s="5"/>
      <c r="JI741" s="5"/>
      <c r="JJ741" s="5"/>
      <c r="JK741" s="5"/>
      <c r="JL741" s="5"/>
      <c r="JM741" s="5"/>
      <c r="JN741" s="5"/>
      <c r="JO741" s="5"/>
      <c r="JP741" s="5"/>
      <c r="JQ741" s="5"/>
      <c r="JR741" s="5"/>
      <c r="JS741" s="5"/>
      <c r="JT741" s="5"/>
      <c r="JU741" s="5"/>
      <c r="JV741" s="5"/>
      <c r="JW741" s="5"/>
      <c r="JX741" s="5"/>
      <c r="JY741" s="5"/>
      <c r="JZ741" s="5"/>
      <c r="KA741" s="5"/>
      <c r="KB741" s="5"/>
      <c r="KC741" s="5"/>
      <c r="KD741" s="5"/>
      <c r="KE741" s="5"/>
      <c r="KF741" s="5"/>
      <c r="KG741" s="5"/>
      <c r="KH741" s="5"/>
      <c r="KI741" s="5"/>
      <c r="KJ741" s="5"/>
      <c r="KK741" s="5"/>
      <c r="KL741" s="5"/>
      <c r="KM741" s="5"/>
      <c r="KN741" s="5"/>
      <c r="KO741" s="5"/>
      <c r="KP741" s="5"/>
      <c r="KQ741" s="5"/>
      <c r="KR741" s="5"/>
      <c r="KS741" s="5"/>
      <c r="KT741" s="5"/>
      <c r="KU741" s="5"/>
      <c r="KV741" s="5"/>
      <c r="KW741" s="5"/>
      <c r="KX741" s="5"/>
      <c r="KY741" s="5"/>
      <c r="KZ741" s="5"/>
      <c r="LA741" s="5"/>
      <c r="LB741" s="5"/>
      <c r="LC741" s="5"/>
      <c r="LD741" s="5"/>
      <c r="LE741" s="5"/>
      <c r="LF741" s="5"/>
      <c r="LG741" s="5"/>
      <c r="LH741" s="5"/>
      <c r="LI741" s="5"/>
      <c r="LJ741" s="5"/>
      <c r="LK741" s="5"/>
      <c r="LL741" s="5"/>
      <c r="LM741" s="5"/>
      <c r="LN741" s="5"/>
      <c r="LO741" s="5"/>
      <c r="LP741" s="5"/>
      <c r="LQ741" s="5"/>
      <c r="LR741" s="5"/>
      <c r="LS741" s="5"/>
      <c r="LT741" s="5"/>
      <c r="LU741" s="5"/>
      <c r="LV741" s="5"/>
      <c r="LW741" s="5"/>
      <c r="LX741" s="5"/>
      <c r="LY741" s="5"/>
      <c r="LZ741" s="5"/>
      <c r="MA741" s="5"/>
      <c r="MB741" s="5"/>
      <c r="MC741" s="5"/>
      <c r="MD741" s="5"/>
      <c r="ME741" s="5"/>
      <c r="MF741" s="5"/>
      <c r="MG741" s="5"/>
      <c r="MH741" s="5"/>
      <c r="MI741" s="5"/>
      <c r="MJ741" s="5"/>
      <c r="MK741" s="5"/>
      <c r="ML741" s="5"/>
      <c r="MM741" s="5"/>
      <c r="MN741" s="5"/>
      <c r="MO741" s="5"/>
      <c r="MP741" s="5"/>
      <c r="MQ741" s="5"/>
      <c r="MR741" s="5"/>
      <c r="MS741" s="5"/>
      <c r="MT741" s="5"/>
      <c r="MU741" s="5"/>
      <c r="MV741" s="5"/>
      <c r="MW741" s="5"/>
      <c r="MX741" s="5"/>
      <c r="MY741" s="5"/>
      <c r="MZ741" s="5"/>
      <c r="NA741" s="5"/>
      <c r="NB741" s="5"/>
      <c r="NC741" s="5"/>
      <c r="ND741" s="5"/>
      <c r="NE741" s="5"/>
      <c r="NF741" s="5"/>
      <c r="NG741" s="5"/>
      <c r="NH741" s="5"/>
      <c r="NI741" s="5"/>
      <c r="NJ741" s="5"/>
      <c r="NK741" s="5"/>
      <c r="NL741" s="5"/>
      <c r="NM741" s="5"/>
      <c r="NN741" s="5"/>
      <c r="NO741" s="5"/>
      <c r="NP741" s="5"/>
      <c r="NQ741" s="5"/>
      <c r="NR741" s="5"/>
      <c r="NS741" s="5"/>
      <c r="NT741" s="5"/>
      <c r="NU741" s="5"/>
      <c r="NV741" s="5"/>
      <c r="NW741" s="5"/>
      <c r="NX741" s="5"/>
      <c r="NY741" s="5"/>
      <c r="NZ741" s="5"/>
      <c r="OA741" s="5"/>
      <c r="OB741" s="5"/>
      <c r="OC741" s="5"/>
      <c r="OD741" s="5"/>
      <c r="OE741" s="5"/>
      <c r="OF741" s="5"/>
      <c r="OG741" s="5"/>
      <c r="OH741" s="5"/>
      <c r="OI741" s="5"/>
      <c r="OJ741" s="5"/>
      <c r="OK741" s="5"/>
      <c r="OL741" s="5"/>
      <c r="OM741" s="5"/>
      <c r="ON741" s="5"/>
      <c r="OO741" s="5"/>
      <c r="OP741" s="5"/>
      <c r="OQ741" s="5"/>
      <c r="OR741" s="5"/>
      <c r="OS741" s="5"/>
      <c r="OT741" s="5"/>
      <c r="OU741" s="5"/>
      <c r="OV741" s="5"/>
      <c r="OW741" s="5"/>
      <c r="OX741" s="5"/>
      <c r="OY741" s="5"/>
      <c r="OZ741" s="5"/>
      <c r="PA741" s="5"/>
      <c r="PB741" s="5"/>
      <c r="PC741" s="5"/>
      <c r="PD741" s="5"/>
      <c r="PE741" s="5"/>
      <c r="PF741" s="5"/>
      <c r="PG741" s="5"/>
      <c r="PH741" s="5"/>
      <c r="PI741" s="5"/>
      <c r="PJ741" s="5"/>
      <c r="PK741" s="5"/>
      <c r="PL741" s="5"/>
      <c r="PM741" s="5"/>
      <c r="PN741" s="5"/>
      <c r="PO741" s="5"/>
      <c r="PP741" s="5"/>
      <c r="PQ741" s="5"/>
      <c r="PR741" s="5"/>
      <c r="PS741" s="5"/>
      <c r="PT741" s="5"/>
      <c r="PU741" s="5"/>
      <c r="PV741" s="5"/>
      <c r="PW741" s="5"/>
      <c r="PX741" s="5"/>
      <c r="PY741" s="5"/>
      <c r="PZ741" s="5"/>
      <c r="QA741" s="5"/>
      <c r="QB741" s="5"/>
      <c r="QC741" s="5"/>
      <c r="QD741" s="5"/>
      <c r="QE741" s="5"/>
      <c r="QF741" s="5"/>
      <c r="QG741" s="5"/>
      <c r="QH741" s="5"/>
      <c r="QI741" s="5"/>
      <c r="QJ741" s="5"/>
      <c r="QK741" s="5"/>
      <c r="QL741" s="5"/>
      <c r="QM741" s="5"/>
      <c r="QN741" s="5"/>
      <c r="QO741" s="5"/>
      <c r="QP741" s="5"/>
      <c r="QQ741" s="5"/>
      <c r="QR741" s="5"/>
      <c r="QS741" s="5"/>
      <c r="QT741" s="5"/>
      <c r="QU741" s="5"/>
      <c r="QV741" s="5"/>
      <c r="QW741" s="5"/>
      <c r="QX741" s="5"/>
      <c r="QY741" s="5"/>
      <c r="QZ741" s="5"/>
      <c r="RA741" s="5"/>
      <c r="RB741" s="5"/>
      <c r="RC741" s="5"/>
      <c r="RD741" s="5"/>
      <c r="RE741" s="5"/>
      <c r="RF741" s="5"/>
      <c r="RG741" s="5"/>
      <c r="RH741" s="5"/>
      <c r="RI741" s="5"/>
      <c r="RJ741" s="5"/>
      <c r="RK741" s="5"/>
      <c r="RL741" s="5"/>
      <c r="RM741" s="5"/>
      <c r="RN741" s="5"/>
      <c r="RO741" s="5"/>
      <c r="RP741" s="5"/>
      <c r="RQ741" s="5"/>
      <c r="RR741" s="5"/>
      <c r="RS741" s="5"/>
      <c r="RT741" s="5"/>
      <c r="RU741" s="5"/>
      <c r="RV741" s="5"/>
      <c r="RW741" s="5"/>
      <c r="RX741" s="5"/>
      <c r="RY741" s="5"/>
      <c r="RZ741" s="5"/>
      <c r="SA741" s="5"/>
      <c r="SB741" s="5"/>
      <c r="SC741" s="5"/>
      <c r="SD741" s="5"/>
      <c r="SE741" s="5"/>
      <c r="SF741" s="5"/>
      <c r="SG741" s="5"/>
      <c r="SH741" s="5"/>
      <c r="SI741" s="5"/>
      <c r="SJ741" s="5"/>
      <c r="SK741" s="5"/>
      <c r="SL741" s="5"/>
      <c r="SM741" s="5"/>
      <c r="SN741" s="5"/>
      <c r="SO741" s="5"/>
      <c r="SP741" s="5"/>
      <c r="SQ741" s="5"/>
      <c r="SR741" s="5"/>
      <c r="SS741" s="5"/>
      <c r="ST741" s="5"/>
      <c r="SU741" s="5"/>
      <c r="SV741" s="5"/>
      <c r="SW741" s="5"/>
      <c r="SX741" s="5"/>
      <c r="SY741" s="5"/>
      <c r="SZ741" s="5"/>
      <c r="TA741" s="5"/>
      <c r="TB741" s="5"/>
      <c r="TC741" s="5"/>
      <c r="TD741" s="5"/>
      <c r="TE741" s="5"/>
      <c r="TF741" s="5"/>
      <c r="TG741" s="5"/>
      <c r="TH741" s="5"/>
      <c r="TI741" s="5"/>
      <c r="TJ741" s="5"/>
      <c r="TK741" s="5"/>
      <c r="TL741" s="5"/>
      <c r="TM741" s="5"/>
      <c r="TN741" s="5"/>
      <c r="TO741" s="5"/>
      <c r="TP741" s="5"/>
      <c r="TQ741" s="5"/>
      <c r="TR741" s="5"/>
      <c r="TS741" s="5"/>
      <c r="TT741" s="5"/>
      <c r="TU741" s="5"/>
      <c r="TV741" s="5"/>
      <c r="TW741" s="5"/>
      <c r="TX741" s="5"/>
      <c r="TY741" s="5"/>
      <c r="TZ741" s="5"/>
      <c r="UA741" s="5"/>
      <c r="UB741" s="5"/>
      <c r="UC741" s="5"/>
      <c r="UD741" s="5"/>
      <c r="UE741" s="5"/>
      <c r="UF741" s="5"/>
      <c r="UG741" s="5"/>
      <c r="UH741" s="5"/>
      <c r="UI741" s="5"/>
      <c r="UJ741" s="5"/>
      <c r="UK741" s="5"/>
      <c r="UL741" s="5"/>
      <c r="UM741" s="5"/>
      <c r="UN741" s="5"/>
      <c r="UO741" s="5"/>
      <c r="UP741" s="5"/>
      <c r="UQ741" s="5"/>
      <c r="UR741" s="5"/>
      <c r="US741" s="5"/>
      <c r="UT741" s="5"/>
      <c r="UU741" s="5"/>
      <c r="UV741" s="5"/>
      <c r="UW741" s="5"/>
      <c r="UX741" s="5"/>
      <c r="UY741" s="5"/>
      <c r="UZ741" s="5"/>
      <c r="VA741" s="5"/>
      <c r="VB741" s="5"/>
      <c r="VC741" s="5"/>
      <c r="VD741" s="5"/>
      <c r="VE741" s="5"/>
      <c r="VF741" s="5"/>
      <c r="VG741" s="5"/>
      <c r="VH741" s="5"/>
      <c r="VI741" s="5"/>
      <c r="VJ741" s="5"/>
      <c r="VK741" s="5"/>
      <c r="VL741" s="5"/>
      <c r="VM741" s="5"/>
      <c r="VN741" s="5"/>
      <c r="VO741" s="5"/>
      <c r="VP741" s="5"/>
      <c r="VQ741" s="5"/>
      <c r="VR741" s="5"/>
      <c r="VS741" s="5"/>
      <c r="VT741" s="5"/>
      <c r="VU741" s="5"/>
      <c r="VV741" s="5"/>
      <c r="VW741" s="5"/>
      <c r="VX741" s="5"/>
      <c r="VY741" s="5"/>
      <c r="VZ741" s="5"/>
      <c r="WA741" s="5"/>
      <c r="WB741" s="5"/>
      <c r="WC741" s="5"/>
      <c r="WD741" s="5"/>
      <c r="WE741" s="5"/>
      <c r="WF741" s="5"/>
      <c r="WG741" s="5"/>
      <c r="WH741" s="5"/>
      <c r="WI741" s="5"/>
      <c r="WJ741" s="5"/>
      <c r="WK741" s="5"/>
      <c r="WL741" s="5"/>
      <c r="WM741" s="5"/>
      <c r="WN741" s="5"/>
      <c r="WO741" s="5"/>
      <c r="WP741" s="5"/>
      <c r="WQ741" s="5"/>
      <c r="WR741" s="5"/>
      <c r="WS741" s="5"/>
      <c r="WT741" s="5"/>
      <c r="WU741" s="5"/>
      <c r="WV741" s="5"/>
      <c r="WW741" s="5"/>
      <c r="WX741" s="5"/>
      <c r="WY741" s="5"/>
      <c r="WZ741" s="5"/>
      <c r="XA741" s="5"/>
      <c r="XB741" s="5"/>
      <c r="XC741" s="5"/>
      <c r="XD741" s="5"/>
      <c r="XE741" s="5"/>
      <c r="XF741" s="5"/>
      <c r="XG741" s="5"/>
      <c r="XH741" s="5"/>
      <c r="XI741" s="5"/>
      <c r="XJ741" s="5"/>
      <c r="XK741" s="5"/>
      <c r="XL741" s="5"/>
      <c r="XM741" s="5"/>
      <c r="XN741" s="5"/>
      <c r="XO741" s="5"/>
      <c r="XP741" s="5"/>
      <c r="XQ741" s="5"/>
      <c r="XR741" s="5"/>
      <c r="XS741" s="5"/>
      <c r="XT741" s="5"/>
      <c r="XU741" s="5"/>
      <c r="XV741" s="5"/>
      <c r="XW741" s="5"/>
      <c r="XX741" s="5"/>
      <c r="XY741" s="5"/>
      <c r="XZ741" s="5"/>
      <c r="YA741" s="5"/>
      <c r="YB741" s="5"/>
      <c r="YC741" s="5"/>
      <c r="YD741" s="5"/>
      <c r="YE741" s="5"/>
      <c r="YF741" s="5"/>
      <c r="YG741" s="5"/>
      <c r="YH741" s="5"/>
      <c r="YI741" s="5"/>
      <c r="YJ741" s="5"/>
      <c r="YK741" s="5"/>
      <c r="YL741" s="5"/>
      <c r="YM741" s="5"/>
      <c r="YN741" s="5"/>
      <c r="YO741" s="5"/>
      <c r="YP741" s="5"/>
      <c r="YQ741" s="5"/>
      <c r="YR741" s="5"/>
      <c r="YS741" s="5"/>
      <c r="YT741" s="5"/>
      <c r="YU741" s="5"/>
      <c r="YV741" s="5"/>
      <c r="YW741" s="5"/>
      <c r="YX741" s="5"/>
      <c r="YY741" s="5"/>
      <c r="YZ741" s="5"/>
      <c r="ZA741" s="5"/>
      <c r="ZB741" s="5"/>
      <c r="ZC741" s="5"/>
      <c r="ZD741" s="5"/>
      <c r="ZE741" s="5"/>
      <c r="ZF741" s="5"/>
      <c r="ZG741" s="5"/>
      <c r="ZH741" s="5"/>
      <c r="ZI741" s="5"/>
      <c r="ZJ741" s="5"/>
      <c r="ZK741" s="5"/>
      <c r="ZL741" s="5"/>
      <c r="ZM741" s="5"/>
      <c r="ZN741" s="5"/>
      <c r="ZO741" s="5"/>
      <c r="ZP741" s="5"/>
      <c r="ZQ741" s="5"/>
      <c r="ZR741" s="5"/>
      <c r="ZS741" s="5"/>
      <c r="ZT741" s="5"/>
      <c r="ZU741" s="5"/>
      <c r="ZV741" s="5"/>
      <c r="ZW741" s="5"/>
      <c r="ZX741" s="5"/>
      <c r="ZY741" s="5"/>
      <c r="ZZ741" s="5"/>
      <c r="AAA741" s="5"/>
      <c r="AAB741" s="5"/>
      <c r="AAC741" s="5"/>
      <c r="AAD741" s="5"/>
      <c r="AAE741" s="5"/>
      <c r="AAF741" s="5"/>
      <c r="AAG741" s="5"/>
      <c r="AAH741" s="5"/>
      <c r="AAI741" s="5"/>
      <c r="AAJ741" s="5"/>
      <c r="AAK741" s="5"/>
      <c r="AAL741" s="5"/>
      <c r="AAM741" s="5"/>
      <c r="AAN741" s="5"/>
      <c r="AAO741" s="5"/>
      <c r="AAP741" s="5"/>
      <c r="AAQ741" s="5"/>
      <c r="AAR741" s="5"/>
      <c r="AAS741" s="5"/>
      <c r="AAT741" s="5"/>
      <c r="AAU741" s="5"/>
      <c r="AAV741" s="5"/>
      <c r="AAW741" s="5"/>
      <c r="AAX741" s="5"/>
      <c r="AAY741" s="5"/>
      <c r="AAZ741" s="5"/>
      <c r="ABA741" s="5"/>
      <c r="ABB741" s="5"/>
      <c r="ABC741" s="5"/>
      <c r="ABD741" s="5"/>
      <c r="ABE741" s="5"/>
      <c r="ABF741" s="5"/>
      <c r="ABG741" s="5"/>
      <c r="ABH741" s="5"/>
      <c r="ABI741" s="5"/>
      <c r="ABJ741" s="5"/>
      <c r="ABK741" s="5"/>
      <c r="ABL741" s="5"/>
      <c r="ABM741" s="5"/>
      <c r="ABN741" s="5"/>
      <c r="ABO741" s="5"/>
      <c r="ABP741" s="5"/>
      <c r="ABQ741" s="5"/>
      <c r="ABR741" s="5"/>
      <c r="ABS741" s="5"/>
      <c r="ABT741" s="5"/>
      <c r="ABU741" s="5"/>
      <c r="ABV741" s="5"/>
      <c r="ABW741" s="5"/>
      <c r="ABX741" s="5"/>
      <c r="ABY741" s="5"/>
      <c r="ABZ741" s="5"/>
      <c r="ACA741" s="5"/>
      <c r="ACB741" s="5"/>
      <c r="ACC741" s="5"/>
      <c r="ACD741" s="5"/>
      <c r="ACE741" s="5"/>
      <c r="ACF741" s="5"/>
      <c r="ACG741" s="5"/>
      <c r="ACH741" s="5"/>
      <c r="ACI741" s="5"/>
      <c r="ACJ741" s="5"/>
      <c r="ACK741" s="5"/>
      <c r="ACL741" s="5"/>
      <c r="ACM741" s="5"/>
      <c r="ACN741" s="5"/>
      <c r="ACO741" s="5"/>
      <c r="ACP741" s="5"/>
      <c r="ACQ741" s="5"/>
      <c r="ACR741" s="5"/>
      <c r="ACS741" s="5"/>
      <c r="ACT741" s="5"/>
      <c r="ACU741" s="5"/>
      <c r="ACV741" s="5"/>
      <c r="ACW741" s="5"/>
      <c r="ACX741" s="5"/>
      <c r="ACY741" s="5"/>
      <c r="ACZ741" s="5"/>
      <c r="ADA741" s="5"/>
      <c r="ADB741" s="5"/>
      <c r="ADC741" s="5"/>
      <c r="ADD741" s="5"/>
      <c r="ADE741" s="5"/>
      <c r="ADF741" s="5"/>
      <c r="ADG741" s="5"/>
      <c r="ADH741" s="5"/>
      <c r="ADI741" s="5"/>
      <c r="ADJ741" s="5"/>
      <c r="ADK741" s="5"/>
      <c r="ADL741" s="5"/>
      <c r="ADM741" s="5"/>
      <c r="ADN741" s="5"/>
      <c r="ADO741" s="5"/>
      <c r="ADP741" s="5"/>
      <c r="ADQ741" s="5"/>
      <c r="ADR741" s="5"/>
      <c r="ADS741" s="5"/>
      <c r="ADT741" s="5"/>
      <c r="ADU741" s="5"/>
      <c r="ADV741" s="5"/>
      <c r="ADW741" s="5"/>
      <c r="ADX741" s="5"/>
      <c r="ADY741" s="5"/>
      <c r="ADZ741" s="5"/>
      <c r="AEA741" s="5"/>
      <c r="AEB741" s="5"/>
      <c r="AEC741" s="5"/>
      <c r="AED741" s="5"/>
      <c r="AEE741" s="5"/>
      <c r="AEF741" s="5"/>
      <c r="AEG741" s="5"/>
      <c r="AEH741" s="5"/>
      <c r="AEI741" s="5"/>
      <c r="AEJ741" s="5"/>
      <c r="AEK741" s="5"/>
      <c r="AEL741" s="5"/>
      <c r="AEM741" s="5"/>
      <c r="AEN741" s="5"/>
      <c r="AEO741" s="5"/>
      <c r="AEP741" s="5"/>
      <c r="AEQ741" s="5"/>
      <c r="AER741" s="5"/>
      <c r="AES741" s="5"/>
      <c r="AET741" s="5"/>
      <c r="AEU741" s="5"/>
      <c r="AEV741" s="5"/>
      <c r="AEW741" s="5"/>
      <c r="AEX741" s="5"/>
      <c r="AEY741" s="5"/>
      <c r="AEZ741" s="5"/>
      <c r="AFA741" s="5"/>
      <c r="AFB741" s="5"/>
      <c r="AFC741" s="5"/>
      <c r="AFD741" s="5"/>
      <c r="AFE741" s="5"/>
      <c r="AFF741" s="5"/>
      <c r="AFG741" s="5"/>
      <c r="AFH741" s="5"/>
      <c r="AFI741" s="5"/>
      <c r="AFJ741" s="5"/>
      <c r="AFK741" s="5"/>
      <c r="AFL741" s="5"/>
      <c r="AFM741" s="5"/>
      <c r="AFN741" s="5"/>
      <c r="AFO741" s="5"/>
      <c r="AFP741" s="5"/>
      <c r="AFQ741" s="5"/>
      <c r="AFR741" s="5"/>
      <c r="AFS741" s="5"/>
      <c r="AFT741" s="5"/>
      <c r="AFU741" s="5"/>
      <c r="AFV741" s="5"/>
      <c r="AFW741" s="5"/>
      <c r="AFX741" s="5"/>
      <c r="AFY741" s="5"/>
      <c r="AFZ741" s="5"/>
      <c r="AGA741" s="5"/>
      <c r="AGB741" s="5"/>
      <c r="AGC741" s="5"/>
      <c r="AGD741" s="5"/>
      <c r="AGE741" s="5"/>
      <c r="AGF741" s="5"/>
      <c r="AGG741" s="5"/>
      <c r="AGH741" s="5"/>
      <c r="AGI741" s="5"/>
      <c r="AGJ741" s="5"/>
      <c r="AGK741" s="5"/>
      <c r="AGL741" s="5"/>
      <c r="AGM741" s="5"/>
      <c r="AGN741" s="5"/>
      <c r="AGO741" s="5"/>
      <c r="AGP741" s="5"/>
      <c r="AGQ741" s="5"/>
      <c r="AGR741" s="5"/>
      <c r="AGS741" s="5"/>
      <c r="AGT741" s="5"/>
      <c r="AGU741" s="5"/>
      <c r="AGV741" s="5"/>
      <c r="AGW741" s="5"/>
      <c r="AGX741" s="5"/>
      <c r="AGY741" s="5"/>
      <c r="AGZ741" s="5"/>
      <c r="AHA741" s="5"/>
      <c r="AHB741" s="5"/>
      <c r="AHC741" s="5"/>
      <c r="AHD741" s="5"/>
      <c r="AHE741" s="5"/>
      <c r="AHF741" s="5"/>
      <c r="AHG741" s="5"/>
      <c r="AHH741" s="5"/>
      <c r="AHI741" s="5"/>
      <c r="AHJ741" s="5"/>
      <c r="AHK741" s="5"/>
      <c r="AHL741" s="5"/>
      <c r="AHM741" s="5"/>
      <c r="AHN741" s="5"/>
      <c r="AHO741" s="5"/>
      <c r="AHP741" s="5"/>
      <c r="AHQ741" s="5"/>
      <c r="AHR741" s="5"/>
      <c r="AHS741" s="5"/>
      <c r="AHT741" s="5"/>
      <c r="AHU741" s="5"/>
      <c r="AHV741" s="5"/>
      <c r="AHW741" s="5"/>
      <c r="AHX741" s="5"/>
      <c r="AHY741" s="5"/>
      <c r="AHZ741" s="5"/>
      <c r="AIA741" s="5"/>
      <c r="AIB741" s="5"/>
      <c r="AIC741" s="5"/>
      <c r="AID741" s="5"/>
      <c r="AIE741" s="5"/>
      <c r="AIF741" s="5"/>
      <c r="AIG741" s="5"/>
      <c r="AIH741" s="5"/>
      <c r="AII741" s="5"/>
      <c r="AIJ741" s="5"/>
      <c r="AIK741" s="5"/>
      <c r="AIL741" s="5"/>
      <c r="AIM741" s="5"/>
      <c r="AIN741" s="5"/>
      <c r="AIO741" s="5"/>
      <c r="AIP741" s="5"/>
      <c r="AIQ741" s="5"/>
      <c r="AIR741" s="5"/>
      <c r="AIS741" s="5"/>
      <c r="AIT741" s="5"/>
      <c r="AIU741" s="5"/>
      <c r="AIV741" s="5"/>
      <c r="AIW741" s="5"/>
      <c r="AIX741" s="5"/>
      <c r="AIY741" s="5"/>
      <c r="AIZ741" s="5"/>
      <c r="AJA741" s="5"/>
      <c r="AJB741" s="5"/>
      <c r="AJC741" s="5"/>
      <c r="AJD741" s="5"/>
      <c r="AJE741" s="5"/>
      <c r="AJF741" s="5"/>
      <c r="AJG741" s="5"/>
      <c r="AJH741" s="5"/>
      <c r="AJI741" s="5"/>
      <c r="AJJ741" s="5"/>
      <c r="AJK741" s="5"/>
      <c r="AJL741" s="5"/>
      <c r="AJM741" s="5"/>
      <c r="AJN741" s="5"/>
      <c r="AJO741" s="5"/>
      <c r="AJP741" s="5"/>
      <c r="AJQ741" s="5"/>
      <c r="AJR741" s="5"/>
      <c r="AJS741" s="5"/>
      <c r="AJT741" s="5"/>
      <c r="AJU741" s="5"/>
      <c r="AJV741" s="5"/>
      <c r="AJW741" s="5"/>
      <c r="AJX741" s="5"/>
      <c r="AJY741" s="5"/>
      <c r="AJZ741" s="5"/>
      <c r="AKA741" s="5"/>
      <c r="AKB741" s="5"/>
      <c r="AKC741" s="5"/>
      <c r="AKD741" s="5"/>
      <c r="AKE741" s="5"/>
      <c r="AKF741" s="5"/>
      <c r="AKG741" s="5"/>
      <c r="AKH741" s="5"/>
      <c r="AKI741" s="5"/>
      <c r="AKJ741" s="5"/>
      <c r="AKK741" s="5"/>
      <c r="AKL741" s="5"/>
      <c r="AKM741" s="5"/>
      <c r="AKN741" s="5"/>
      <c r="AKO741" s="5"/>
      <c r="AKP741" s="5"/>
      <c r="AKQ741" s="5"/>
      <c r="AKR741" s="5"/>
      <c r="AKS741" s="5"/>
      <c r="AKT741" s="5"/>
      <c r="AKU741" s="5"/>
      <c r="AKV741" s="5"/>
      <c r="AKW741" s="5"/>
      <c r="AKX741" s="5"/>
      <c r="AKY741" s="5"/>
      <c r="AKZ741" s="5"/>
      <c r="ALA741" s="5"/>
      <c r="ALB741" s="5"/>
      <c r="ALC741" s="5"/>
      <c r="ALD741" s="5"/>
      <c r="ALE741" s="5"/>
      <c r="ALF741" s="5"/>
      <c r="ALG741" s="5"/>
      <c r="ALH741" s="5"/>
      <c r="ALI741" s="5"/>
      <c r="ALJ741" s="5"/>
      <c r="ALK741" s="5"/>
      <c r="ALL741" s="5"/>
      <c r="ALM741" s="5"/>
      <c r="ALN741" s="5"/>
      <c r="ALO741" s="5"/>
      <c r="ALP741" s="5"/>
      <c r="ALQ741" s="5"/>
      <c r="ALR741" s="5"/>
      <c r="ALS741" s="5"/>
      <c r="ALT741" s="5"/>
      <c r="ALU741" s="5"/>
      <c r="ALV741" s="5"/>
      <c r="ALW741" s="5"/>
      <c r="ALX741" s="5"/>
      <c r="ALY741" s="5"/>
      <c r="ALZ741" s="5"/>
      <c r="AMA741" s="5"/>
      <c r="AMB741" s="5"/>
      <c r="AMC741" s="5"/>
      <c r="AMD741" s="5"/>
      <c r="AME741" s="5"/>
      <c r="AMF741" s="5"/>
      <c r="AMG741" s="5"/>
      <c r="AMH741" s="5"/>
      <c r="AMI741" s="5"/>
      <c r="AMJ741" s="5"/>
      <c r="AMK741" s="5"/>
      <c r="AML741" s="5"/>
      <c r="AMM741" s="5"/>
      <c r="AMN741" s="5"/>
      <c r="AMO741" s="5"/>
      <c r="AMP741" s="5"/>
      <c r="AMQ741" s="5"/>
      <c r="AMR741" s="5"/>
      <c r="AMS741" s="5"/>
      <c r="AMT741" s="5"/>
      <c r="AMU741" s="5"/>
      <c r="AMV741" s="5"/>
      <c r="AMW741" s="5"/>
      <c r="AMX741" s="5"/>
      <c r="AMY741" s="5"/>
      <c r="AMZ741" s="5"/>
      <c r="ANA741" s="5"/>
      <c r="ANB741" s="5"/>
      <c r="ANC741" s="5"/>
      <c r="AND741" s="5"/>
      <c r="ANE741" s="5"/>
      <c r="ANF741" s="5"/>
      <c r="ANG741" s="5"/>
      <c r="ANH741" s="5"/>
      <c r="ANI741" s="5"/>
      <c r="ANJ741" s="5"/>
      <c r="ANK741" s="5"/>
      <c r="ANL741" s="5"/>
      <c r="ANM741" s="5"/>
      <c r="ANN741" s="5"/>
      <c r="ANO741" s="5"/>
      <c r="ANP741" s="5"/>
      <c r="ANQ741" s="5"/>
      <c r="ANR741" s="5"/>
      <c r="ANS741" s="5"/>
      <c r="ANT741" s="5"/>
      <c r="ANU741" s="5"/>
      <c r="ANV741" s="5"/>
      <c r="ANW741" s="5"/>
      <c r="ANX741" s="5"/>
      <c r="ANY741" s="5"/>
      <c r="ANZ741" s="5"/>
      <c r="AOA741" s="5"/>
      <c r="AOB741" s="5"/>
      <c r="AOC741" s="5"/>
      <c r="AOD741" s="5"/>
      <c r="AOE741" s="5"/>
      <c r="AOF741" s="5"/>
      <c r="AOG741" s="5"/>
      <c r="AOH741" s="5"/>
      <c r="AOI741" s="5"/>
      <c r="AOJ741" s="5"/>
      <c r="AOK741" s="5"/>
      <c r="AOL741" s="5"/>
      <c r="AOM741" s="5"/>
      <c r="AON741" s="5"/>
      <c r="AOO741" s="5"/>
      <c r="AOP741" s="5"/>
      <c r="AOQ741" s="5"/>
      <c r="AOR741" s="5"/>
      <c r="AOS741" s="5"/>
      <c r="AOT741" s="5"/>
      <c r="AOU741" s="5"/>
      <c r="AOV741" s="5"/>
      <c r="AOW741" s="5"/>
      <c r="AOX741" s="5"/>
      <c r="AOY741" s="5"/>
      <c r="AOZ741" s="5"/>
      <c r="APA741" s="5"/>
      <c r="APB741" s="5"/>
      <c r="APC741" s="5"/>
      <c r="APD741" s="5"/>
      <c r="APE741" s="5"/>
      <c r="APF741" s="5"/>
      <c r="APG741" s="5"/>
      <c r="APH741" s="5"/>
      <c r="API741" s="5"/>
      <c r="APJ741" s="5"/>
      <c r="APK741" s="5"/>
      <c r="APL741" s="5"/>
      <c r="APM741" s="5"/>
      <c r="APN741" s="5"/>
      <c r="APO741" s="5"/>
      <c r="APP741" s="5"/>
      <c r="APQ741" s="5"/>
      <c r="APR741" s="5"/>
      <c r="APS741" s="5"/>
      <c r="APT741" s="5"/>
      <c r="APU741" s="5"/>
      <c r="APV741" s="5"/>
      <c r="APW741" s="5"/>
      <c r="APX741" s="5"/>
      <c r="APY741" s="5"/>
      <c r="APZ741" s="5"/>
      <c r="AQA741" s="5"/>
      <c r="AQB741" s="5"/>
      <c r="AQC741" s="5"/>
      <c r="AQD741" s="5"/>
      <c r="AQE741" s="5"/>
      <c r="AQF741" s="5"/>
      <c r="AQG741" s="5"/>
      <c r="AQH741" s="5"/>
      <c r="AQI741" s="5"/>
      <c r="AQJ741" s="5"/>
      <c r="AQK741" s="5"/>
      <c r="AQL741" s="5"/>
      <c r="AQM741" s="5"/>
      <c r="AQN741" s="5"/>
      <c r="AQO741" s="5"/>
      <c r="AQP741" s="5"/>
      <c r="AQQ741" s="5"/>
      <c r="AQR741" s="5"/>
      <c r="AQS741" s="5"/>
      <c r="AQT741" s="5"/>
      <c r="AQU741" s="5"/>
      <c r="AQV741" s="5"/>
      <c r="AQW741" s="5"/>
      <c r="AQX741" s="5"/>
      <c r="AQY741" s="5"/>
      <c r="AQZ741" s="5"/>
      <c r="ARA741" s="5"/>
      <c r="ARB741" s="5"/>
      <c r="ARC741" s="5"/>
      <c r="ARD741" s="5"/>
      <c r="ARE741" s="5"/>
      <c r="ARF741" s="5"/>
      <c r="ARG741" s="5"/>
      <c r="ARH741" s="5"/>
      <c r="ARI741" s="5"/>
      <c r="ARJ741" s="5"/>
      <c r="ARK741" s="5"/>
      <c r="ARL741" s="5"/>
      <c r="ARM741" s="5"/>
      <c r="ARN741" s="5"/>
      <c r="ARO741" s="5"/>
      <c r="ARP741" s="5"/>
      <c r="ARQ741" s="5"/>
      <c r="ARR741" s="5"/>
      <c r="ARS741" s="5"/>
      <c r="ART741" s="5"/>
      <c r="ARU741" s="5"/>
      <c r="ARV741" s="5"/>
      <c r="ARW741" s="5"/>
      <c r="ARX741" s="5"/>
      <c r="ARY741" s="5"/>
      <c r="ARZ741" s="5"/>
      <c r="ASA741" s="5"/>
      <c r="ASB741" s="5"/>
      <c r="ASC741" s="5"/>
      <c r="ASD741" s="5"/>
      <c r="ASE741" s="5"/>
      <c r="ASF741" s="5"/>
      <c r="ASG741" s="5"/>
      <c r="ASH741" s="5"/>
      <c r="ASI741" s="5"/>
      <c r="ASJ741" s="5"/>
      <c r="ASK741" s="5"/>
      <c r="ASL741" s="5"/>
      <c r="ASM741" s="5"/>
      <c r="ASN741" s="5"/>
      <c r="ASO741" s="5"/>
      <c r="ASP741" s="5"/>
      <c r="ASQ741" s="5"/>
      <c r="ASR741" s="5"/>
      <c r="ASS741" s="5"/>
      <c r="AST741" s="5"/>
      <c r="ASU741" s="5"/>
      <c r="ASV741" s="5"/>
      <c r="ASW741" s="5"/>
      <c r="ASX741" s="5"/>
      <c r="ASY741" s="5"/>
      <c r="ASZ741" s="5"/>
      <c r="ATA741" s="5"/>
      <c r="ATB741" s="5"/>
      <c r="ATC741" s="5"/>
      <c r="ATD741" s="5"/>
      <c r="ATE741" s="5"/>
      <c r="ATF741" s="5"/>
      <c r="ATG741" s="5"/>
      <c r="ATH741" s="5"/>
      <c r="ATI741" s="5"/>
      <c r="ATJ741" s="5"/>
      <c r="ATK741" s="5"/>
      <c r="ATL741" s="5"/>
      <c r="ATM741" s="5"/>
      <c r="ATN741" s="5"/>
      <c r="ATO741" s="5"/>
      <c r="ATP741" s="5"/>
      <c r="ATQ741" s="5"/>
      <c r="ATR741" s="5"/>
      <c r="ATS741" s="5"/>
      <c r="ATT741" s="5"/>
      <c r="ATU741" s="5"/>
      <c r="ATV741" s="5"/>
      <c r="ATW741" s="5"/>
      <c r="ATX741" s="5"/>
    </row>
    <row r="742" spans="1:1220" s="9" customFormat="1" ht="12.75" customHeight="1" x14ac:dyDescent="0.35">
      <c r="A742" s="76" t="s">
        <v>1094</v>
      </c>
      <c r="B742" s="99" t="s">
        <v>2642</v>
      </c>
      <c r="C742" s="76" t="s">
        <v>2643</v>
      </c>
      <c r="D742" s="142"/>
      <c r="E742" s="76"/>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c r="DX742" s="5"/>
      <c r="DY742" s="5"/>
      <c r="DZ742" s="5"/>
      <c r="EA742" s="5"/>
      <c r="EB742" s="5"/>
      <c r="EC742" s="5"/>
      <c r="ED742" s="5"/>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s="5"/>
      <c r="FG742" s="5"/>
      <c r="FH742" s="5"/>
      <c r="FI742" s="5"/>
      <c r="FJ742" s="5"/>
      <c r="FK742" s="5"/>
      <c r="FL742" s="5"/>
      <c r="FM742" s="5"/>
      <c r="FN742" s="5"/>
      <c r="FO742" s="5"/>
      <c r="FP742" s="5"/>
      <c r="FQ742" s="5"/>
      <c r="FR742" s="5"/>
      <c r="FS742" s="5"/>
      <c r="FT742" s="5"/>
      <c r="FU742" s="5"/>
      <c r="FV742" s="5"/>
      <c r="FW742" s="5"/>
      <c r="FX742" s="5"/>
      <c r="FY742" s="5"/>
      <c r="FZ742" s="5"/>
      <c r="GA742" s="5"/>
      <c r="GB742" s="5"/>
      <c r="GC742" s="5"/>
      <c r="GD742" s="5"/>
      <c r="GE742" s="5"/>
      <c r="GF742" s="5"/>
      <c r="GG742" s="5"/>
      <c r="GH742" s="5"/>
      <c r="GI742" s="5"/>
      <c r="GJ742" s="5"/>
      <c r="GK742" s="5"/>
      <c r="GL742" s="5"/>
      <c r="GM742" s="5"/>
      <c r="GN742" s="5"/>
      <c r="GO742" s="5"/>
      <c r="GP742" s="5"/>
      <c r="GQ742" s="5"/>
      <c r="GR742" s="5"/>
      <c r="GS742" s="5"/>
      <c r="GT742" s="5"/>
      <c r="GU742" s="5"/>
      <c r="GV742" s="5"/>
      <c r="GW742" s="5"/>
      <c r="GX742" s="5"/>
      <c r="GY742" s="5"/>
      <c r="GZ742" s="5"/>
      <c r="HA742" s="5"/>
      <c r="HB742" s="5"/>
      <c r="HC742" s="5"/>
      <c r="HD742" s="5"/>
      <c r="HE742" s="5"/>
      <c r="HF742" s="5"/>
      <c r="HG742" s="5"/>
      <c r="HH742" s="5"/>
      <c r="HI742" s="5"/>
      <c r="HJ742" s="5"/>
      <c r="HK742" s="5"/>
      <c r="HL742" s="5"/>
      <c r="HM742" s="5"/>
      <c r="HN742" s="5"/>
      <c r="HO742" s="5"/>
      <c r="HP742" s="5"/>
      <c r="HQ742" s="5"/>
      <c r="HR742" s="5"/>
      <c r="HS742" s="5"/>
      <c r="HT742" s="5"/>
      <c r="HU742" s="5"/>
      <c r="HV742" s="5"/>
      <c r="HW742" s="5"/>
      <c r="HX742" s="5"/>
      <c r="HY742" s="5"/>
      <c r="HZ742" s="5"/>
      <c r="IA742" s="5"/>
      <c r="IB742" s="5"/>
      <c r="IC742" s="5"/>
      <c r="ID742" s="5"/>
      <c r="IE742" s="5"/>
      <c r="IF742" s="5"/>
      <c r="IG742" s="5"/>
      <c r="IH742" s="5"/>
      <c r="II742" s="5"/>
      <c r="IJ742" s="5"/>
      <c r="IK742" s="5"/>
      <c r="IL742" s="5"/>
      <c r="IM742" s="5"/>
      <c r="IN742" s="5"/>
      <c r="IO742" s="5"/>
      <c r="IP742" s="5"/>
      <c r="IQ742" s="5"/>
      <c r="IR742" s="5"/>
      <c r="IS742" s="5"/>
      <c r="IT742" s="5"/>
      <c r="IU742" s="5"/>
      <c r="IV742" s="5"/>
      <c r="IW742" s="5"/>
      <c r="IX742" s="5"/>
      <c r="IY742" s="5"/>
      <c r="IZ742" s="5"/>
      <c r="JA742" s="5"/>
      <c r="JB742" s="5"/>
      <c r="JC742" s="5"/>
      <c r="JD742" s="5"/>
      <c r="JE742" s="5"/>
      <c r="JF742" s="5"/>
      <c r="JG742" s="5"/>
      <c r="JH742" s="5"/>
      <c r="JI742" s="5"/>
      <c r="JJ742" s="5"/>
      <c r="JK742" s="5"/>
      <c r="JL742" s="5"/>
      <c r="JM742" s="5"/>
      <c r="JN742" s="5"/>
      <c r="JO742" s="5"/>
      <c r="JP742" s="5"/>
      <c r="JQ742" s="5"/>
      <c r="JR742" s="5"/>
      <c r="JS742" s="5"/>
      <c r="JT742" s="5"/>
      <c r="JU742" s="5"/>
      <c r="JV742" s="5"/>
      <c r="JW742" s="5"/>
      <c r="JX742" s="5"/>
      <c r="JY742" s="5"/>
      <c r="JZ742" s="5"/>
      <c r="KA742" s="5"/>
      <c r="KB742" s="5"/>
      <c r="KC742" s="5"/>
      <c r="KD742" s="5"/>
      <c r="KE742" s="5"/>
      <c r="KF742" s="5"/>
      <c r="KG742" s="5"/>
      <c r="KH742" s="5"/>
      <c r="KI742" s="5"/>
      <c r="KJ742" s="5"/>
      <c r="KK742" s="5"/>
      <c r="KL742" s="5"/>
      <c r="KM742" s="5"/>
      <c r="KN742" s="5"/>
      <c r="KO742" s="5"/>
      <c r="KP742" s="5"/>
      <c r="KQ742" s="5"/>
      <c r="KR742" s="5"/>
      <c r="KS742" s="5"/>
      <c r="KT742" s="5"/>
      <c r="KU742" s="5"/>
      <c r="KV742" s="5"/>
      <c r="KW742" s="5"/>
      <c r="KX742" s="5"/>
      <c r="KY742" s="5"/>
      <c r="KZ742" s="5"/>
      <c r="LA742" s="5"/>
      <c r="LB742" s="5"/>
      <c r="LC742" s="5"/>
      <c r="LD742" s="5"/>
      <c r="LE742" s="5"/>
      <c r="LF742" s="5"/>
      <c r="LG742" s="5"/>
      <c r="LH742" s="5"/>
      <c r="LI742" s="5"/>
      <c r="LJ742" s="5"/>
      <c r="LK742" s="5"/>
      <c r="LL742" s="5"/>
      <c r="LM742" s="5"/>
      <c r="LN742" s="5"/>
      <c r="LO742" s="5"/>
      <c r="LP742" s="5"/>
      <c r="LQ742" s="5"/>
      <c r="LR742" s="5"/>
      <c r="LS742" s="5"/>
      <c r="LT742" s="5"/>
      <c r="LU742" s="5"/>
      <c r="LV742" s="5"/>
      <c r="LW742" s="5"/>
      <c r="LX742" s="5"/>
      <c r="LY742" s="5"/>
      <c r="LZ742" s="5"/>
      <c r="MA742" s="5"/>
      <c r="MB742" s="5"/>
      <c r="MC742" s="5"/>
      <c r="MD742" s="5"/>
      <c r="ME742" s="5"/>
      <c r="MF742" s="5"/>
      <c r="MG742" s="5"/>
      <c r="MH742" s="5"/>
      <c r="MI742" s="5"/>
      <c r="MJ742" s="5"/>
      <c r="MK742" s="5"/>
      <c r="ML742" s="5"/>
      <c r="MM742" s="5"/>
      <c r="MN742" s="5"/>
      <c r="MO742" s="5"/>
      <c r="MP742" s="5"/>
      <c r="MQ742" s="5"/>
      <c r="MR742" s="5"/>
      <c r="MS742" s="5"/>
      <c r="MT742" s="5"/>
      <c r="MU742" s="5"/>
      <c r="MV742" s="5"/>
      <c r="MW742" s="5"/>
      <c r="MX742" s="5"/>
      <c r="MY742" s="5"/>
      <c r="MZ742" s="5"/>
      <c r="NA742" s="5"/>
      <c r="NB742" s="5"/>
      <c r="NC742" s="5"/>
      <c r="ND742" s="5"/>
      <c r="NE742" s="5"/>
      <c r="NF742" s="5"/>
      <c r="NG742" s="5"/>
      <c r="NH742" s="5"/>
      <c r="NI742" s="5"/>
      <c r="NJ742" s="5"/>
      <c r="NK742" s="5"/>
      <c r="NL742" s="5"/>
      <c r="NM742" s="5"/>
      <c r="NN742" s="5"/>
      <c r="NO742" s="5"/>
      <c r="NP742" s="5"/>
      <c r="NQ742" s="5"/>
      <c r="NR742" s="5"/>
      <c r="NS742" s="5"/>
      <c r="NT742" s="5"/>
      <c r="NU742" s="5"/>
      <c r="NV742" s="5"/>
      <c r="NW742" s="5"/>
      <c r="NX742" s="5"/>
      <c r="NY742" s="5"/>
      <c r="NZ742" s="5"/>
      <c r="OA742" s="5"/>
      <c r="OB742" s="5"/>
      <c r="OC742" s="5"/>
      <c r="OD742" s="5"/>
      <c r="OE742" s="5"/>
      <c r="OF742" s="5"/>
      <c r="OG742" s="5"/>
      <c r="OH742" s="5"/>
      <c r="OI742" s="5"/>
      <c r="OJ742" s="5"/>
      <c r="OK742" s="5"/>
      <c r="OL742" s="5"/>
      <c r="OM742" s="5"/>
      <c r="ON742" s="5"/>
      <c r="OO742" s="5"/>
      <c r="OP742" s="5"/>
      <c r="OQ742" s="5"/>
      <c r="OR742" s="5"/>
      <c r="OS742" s="5"/>
      <c r="OT742" s="5"/>
      <c r="OU742" s="5"/>
      <c r="OV742" s="5"/>
      <c r="OW742" s="5"/>
      <c r="OX742" s="5"/>
      <c r="OY742" s="5"/>
      <c r="OZ742" s="5"/>
      <c r="PA742" s="5"/>
      <c r="PB742" s="5"/>
      <c r="PC742" s="5"/>
      <c r="PD742" s="5"/>
      <c r="PE742" s="5"/>
      <c r="PF742" s="5"/>
      <c r="PG742" s="5"/>
      <c r="PH742" s="5"/>
      <c r="PI742" s="5"/>
      <c r="PJ742" s="5"/>
      <c r="PK742" s="5"/>
      <c r="PL742" s="5"/>
      <c r="PM742" s="5"/>
      <c r="PN742" s="5"/>
      <c r="PO742" s="5"/>
      <c r="PP742" s="5"/>
      <c r="PQ742" s="5"/>
      <c r="PR742" s="5"/>
      <c r="PS742" s="5"/>
      <c r="PT742" s="5"/>
      <c r="PU742" s="5"/>
      <c r="PV742" s="5"/>
      <c r="PW742" s="5"/>
      <c r="PX742" s="5"/>
      <c r="PY742" s="5"/>
      <c r="PZ742" s="5"/>
      <c r="QA742" s="5"/>
      <c r="QB742" s="5"/>
      <c r="QC742" s="5"/>
      <c r="QD742" s="5"/>
      <c r="QE742" s="5"/>
      <c r="QF742" s="5"/>
      <c r="QG742" s="5"/>
      <c r="QH742" s="5"/>
      <c r="QI742" s="5"/>
      <c r="QJ742" s="5"/>
      <c r="QK742" s="5"/>
      <c r="QL742" s="5"/>
      <c r="QM742" s="5"/>
      <c r="QN742" s="5"/>
      <c r="QO742" s="5"/>
      <c r="QP742" s="5"/>
      <c r="QQ742" s="5"/>
      <c r="QR742" s="5"/>
      <c r="QS742" s="5"/>
      <c r="QT742" s="5"/>
      <c r="QU742" s="5"/>
      <c r="QV742" s="5"/>
      <c r="QW742" s="5"/>
      <c r="QX742" s="5"/>
      <c r="QY742" s="5"/>
      <c r="QZ742" s="5"/>
      <c r="RA742" s="5"/>
      <c r="RB742" s="5"/>
      <c r="RC742" s="5"/>
      <c r="RD742" s="5"/>
      <c r="RE742" s="5"/>
      <c r="RF742" s="5"/>
      <c r="RG742" s="5"/>
      <c r="RH742" s="5"/>
      <c r="RI742" s="5"/>
      <c r="RJ742" s="5"/>
      <c r="RK742" s="5"/>
      <c r="RL742" s="5"/>
      <c r="RM742" s="5"/>
      <c r="RN742" s="5"/>
      <c r="RO742" s="5"/>
      <c r="RP742" s="5"/>
      <c r="RQ742" s="5"/>
      <c r="RR742" s="5"/>
      <c r="RS742" s="5"/>
      <c r="RT742" s="5"/>
      <c r="RU742" s="5"/>
      <c r="RV742" s="5"/>
      <c r="RW742" s="5"/>
      <c r="RX742" s="5"/>
      <c r="RY742" s="5"/>
      <c r="RZ742" s="5"/>
      <c r="SA742" s="5"/>
      <c r="SB742" s="5"/>
      <c r="SC742" s="5"/>
      <c r="SD742" s="5"/>
      <c r="SE742" s="5"/>
      <c r="SF742" s="5"/>
      <c r="SG742" s="5"/>
      <c r="SH742" s="5"/>
      <c r="SI742" s="5"/>
      <c r="SJ742" s="5"/>
      <c r="SK742" s="5"/>
      <c r="SL742" s="5"/>
      <c r="SM742" s="5"/>
      <c r="SN742" s="5"/>
      <c r="SO742" s="5"/>
      <c r="SP742" s="5"/>
      <c r="SQ742" s="5"/>
      <c r="SR742" s="5"/>
      <c r="SS742" s="5"/>
      <c r="ST742" s="5"/>
      <c r="SU742" s="5"/>
      <c r="SV742" s="5"/>
      <c r="SW742" s="5"/>
      <c r="SX742" s="5"/>
      <c r="SY742" s="5"/>
      <c r="SZ742" s="5"/>
      <c r="TA742" s="5"/>
      <c r="TB742" s="5"/>
      <c r="TC742" s="5"/>
      <c r="TD742" s="5"/>
      <c r="TE742" s="5"/>
      <c r="TF742" s="5"/>
      <c r="TG742" s="5"/>
      <c r="TH742" s="5"/>
      <c r="TI742" s="5"/>
      <c r="TJ742" s="5"/>
      <c r="TK742" s="5"/>
      <c r="TL742" s="5"/>
      <c r="TM742" s="5"/>
      <c r="TN742" s="5"/>
      <c r="TO742" s="5"/>
      <c r="TP742" s="5"/>
      <c r="TQ742" s="5"/>
      <c r="TR742" s="5"/>
      <c r="TS742" s="5"/>
      <c r="TT742" s="5"/>
      <c r="TU742" s="5"/>
      <c r="TV742" s="5"/>
      <c r="TW742" s="5"/>
      <c r="TX742" s="5"/>
      <c r="TY742" s="5"/>
      <c r="TZ742" s="5"/>
      <c r="UA742" s="5"/>
      <c r="UB742" s="5"/>
      <c r="UC742" s="5"/>
      <c r="UD742" s="5"/>
      <c r="UE742" s="5"/>
      <c r="UF742" s="5"/>
      <c r="UG742" s="5"/>
      <c r="UH742" s="5"/>
      <c r="UI742" s="5"/>
      <c r="UJ742" s="5"/>
      <c r="UK742" s="5"/>
      <c r="UL742" s="5"/>
      <c r="UM742" s="5"/>
      <c r="UN742" s="5"/>
      <c r="UO742" s="5"/>
      <c r="UP742" s="5"/>
      <c r="UQ742" s="5"/>
      <c r="UR742" s="5"/>
      <c r="US742" s="5"/>
      <c r="UT742" s="5"/>
      <c r="UU742" s="5"/>
      <c r="UV742" s="5"/>
      <c r="UW742" s="5"/>
      <c r="UX742" s="5"/>
      <c r="UY742" s="5"/>
      <c r="UZ742" s="5"/>
      <c r="VA742" s="5"/>
      <c r="VB742" s="5"/>
      <c r="VC742" s="5"/>
      <c r="VD742" s="5"/>
      <c r="VE742" s="5"/>
      <c r="VF742" s="5"/>
      <c r="VG742" s="5"/>
      <c r="VH742" s="5"/>
      <c r="VI742" s="5"/>
      <c r="VJ742" s="5"/>
      <c r="VK742" s="5"/>
      <c r="VL742" s="5"/>
      <c r="VM742" s="5"/>
      <c r="VN742" s="5"/>
      <c r="VO742" s="5"/>
      <c r="VP742" s="5"/>
      <c r="VQ742" s="5"/>
      <c r="VR742" s="5"/>
      <c r="VS742" s="5"/>
      <c r="VT742" s="5"/>
      <c r="VU742" s="5"/>
      <c r="VV742" s="5"/>
      <c r="VW742" s="5"/>
      <c r="VX742" s="5"/>
      <c r="VY742" s="5"/>
      <c r="VZ742" s="5"/>
      <c r="WA742" s="5"/>
      <c r="WB742" s="5"/>
      <c r="WC742" s="5"/>
      <c r="WD742" s="5"/>
      <c r="WE742" s="5"/>
      <c r="WF742" s="5"/>
      <c r="WG742" s="5"/>
      <c r="WH742" s="5"/>
      <c r="WI742" s="5"/>
      <c r="WJ742" s="5"/>
      <c r="WK742" s="5"/>
      <c r="WL742" s="5"/>
      <c r="WM742" s="5"/>
      <c r="WN742" s="5"/>
      <c r="WO742" s="5"/>
      <c r="WP742" s="5"/>
      <c r="WQ742" s="5"/>
      <c r="WR742" s="5"/>
      <c r="WS742" s="5"/>
      <c r="WT742" s="5"/>
      <c r="WU742" s="5"/>
      <c r="WV742" s="5"/>
      <c r="WW742" s="5"/>
      <c r="WX742" s="5"/>
      <c r="WY742" s="5"/>
      <c r="WZ742" s="5"/>
      <c r="XA742" s="5"/>
      <c r="XB742" s="5"/>
      <c r="XC742" s="5"/>
      <c r="XD742" s="5"/>
      <c r="XE742" s="5"/>
      <c r="XF742" s="5"/>
      <c r="XG742" s="5"/>
      <c r="XH742" s="5"/>
      <c r="XI742" s="5"/>
      <c r="XJ742" s="5"/>
      <c r="XK742" s="5"/>
      <c r="XL742" s="5"/>
      <c r="XM742" s="5"/>
      <c r="XN742" s="5"/>
      <c r="XO742" s="5"/>
      <c r="XP742" s="5"/>
      <c r="XQ742" s="5"/>
      <c r="XR742" s="5"/>
      <c r="XS742" s="5"/>
      <c r="XT742" s="5"/>
      <c r="XU742" s="5"/>
      <c r="XV742" s="5"/>
      <c r="XW742" s="5"/>
      <c r="XX742" s="5"/>
      <c r="XY742" s="5"/>
      <c r="XZ742" s="5"/>
      <c r="YA742" s="5"/>
      <c r="YB742" s="5"/>
      <c r="YC742" s="5"/>
      <c r="YD742" s="5"/>
      <c r="YE742" s="5"/>
      <c r="YF742" s="5"/>
      <c r="YG742" s="5"/>
      <c r="YH742" s="5"/>
      <c r="YI742" s="5"/>
      <c r="YJ742" s="5"/>
      <c r="YK742" s="5"/>
      <c r="YL742" s="5"/>
      <c r="YM742" s="5"/>
      <c r="YN742" s="5"/>
      <c r="YO742" s="5"/>
      <c r="YP742" s="5"/>
      <c r="YQ742" s="5"/>
      <c r="YR742" s="5"/>
      <c r="YS742" s="5"/>
      <c r="YT742" s="5"/>
      <c r="YU742" s="5"/>
      <c r="YV742" s="5"/>
      <c r="YW742" s="5"/>
      <c r="YX742" s="5"/>
      <c r="YY742" s="5"/>
      <c r="YZ742" s="5"/>
      <c r="ZA742" s="5"/>
      <c r="ZB742" s="5"/>
      <c r="ZC742" s="5"/>
      <c r="ZD742" s="5"/>
      <c r="ZE742" s="5"/>
      <c r="ZF742" s="5"/>
      <c r="ZG742" s="5"/>
      <c r="ZH742" s="5"/>
      <c r="ZI742" s="5"/>
      <c r="ZJ742" s="5"/>
      <c r="ZK742" s="5"/>
      <c r="ZL742" s="5"/>
      <c r="ZM742" s="5"/>
      <c r="ZN742" s="5"/>
      <c r="ZO742" s="5"/>
      <c r="ZP742" s="5"/>
      <c r="ZQ742" s="5"/>
      <c r="ZR742" s="5"/>
      <c r="ZS742" s="5"/>
      <c r="ZT742" s="5"/>
      <c r="ZU742" s="5"/>
      <c r="ZV742" s="5"/>
      <c r="ZW742" s="5"/>
      <c r="ZX742" s="5"/>
      <c r="ZY742" s="5"/>
      <c r="ZZ742" s="5"/>
      <c r="AAA742" s="5"/>
      <c r="AAB742" s="5"/>
      <c r="AAC742" s="5"/>
      <c r="AAD742" s="5"/>
      <c r="AAE742" s="5"/>
      <c r="AAF742" s="5"/>
      <c r="AAG742" s="5"/>
      <c r="AAH742" s="5"/>
      <c r="AAI742" s="5"/>
      <c r="AAJ742" s="5"/>
      <c r="AAK742" s="5"/>
      <c r="AAL742" s="5"/>
      <c r="AAM742" s="5"/>
      <c r="AAN742" s="5"/>
      <c r="AAO742" s="5"/>
      <c r="AAP742" s="5"/>
      <c r="AAQ742" s="5"/>
      <c r="AAR742" s="5"/>
      <c r="AAS742" s="5"/>
      <c r="AAT742" s="5"/>
      <c r="AAU742" s="5"/>
      <c r="AAV742" s="5"/>
      <c r="AAW742" s="5"/>
      <c r="AAX742" s="5"/>
      <c r="AAY742" s="5"/>
      <c r="AAZ742" s="5"/>
      <c r="ABA742" s="5"/>
      <c r="ABB742" s="5"/>
      <c r="ABC742" s="5"/>
      <c r="ABD742" s="5"/>
      <c r="ABE742" s="5"/>
      <c r="ABF742" s="5"/>
      <c r="ABG742" s="5"/>
      <c r="ABH742" s="5"/>
      <c r="ABI742" s="5"/>
      <c r="ABJ742" s="5"/>
      <c r="ABK742" s="5"/>
      <c r="ABL742" s="5"/>
      <c r="ABM742" s="5"/>
      <c r="ABN742" s="5"/>
      <c r="ABO742" s="5"/>
      <c r="ABP742" s="5"/>
      <c r="ABQ742" s="5"/>
      <c r="ABR742" s="5"/>
      <c r="ABS742" s="5"/>
      <c r="ABT742" s="5"/>
      <c r="ABU742" s="5"/>
      <c r="ABV742" s="5"/>
      <c r="ABW742" s="5"/>
      <c r="ABX742" s="5"/>
      <c r="ABY742" s="5"/>
      <c r="ABZ742" s="5"/>
      <c r="ACA742" s="5"/>
      <c r="ACB742" s="5"/>
      <c r="ACC742" s="5"/>
      <c r="ACD742" s="5"/>
      <c r="ACE742" s="5"/>
      <c r="ACF742" s="5"/>
      <c r="ACG742" s="5"/>
      <c r="ACH742" s="5"/>
      <c r="ACI742" s="5"/>
      <c r="ACJ742" s="5"/>
      <c r="ACK742" s="5"/>
      <c r="ACL742" s="5"/>
      <c r="ACM742" s="5"/>
      <c r="ACN742" s="5"/>
      <c r="ACO742" s="5"/>
      <c r="ACP742" s="5"/>
      <c r="ACQ742" s="5"/>
      <c r="ACR742" s="5"/>
      <c r="ACS742" s="5"/>
      <c r="ACT742" s="5"/>
      <c r="ACU742" s="5"/>
      <c r="ACV742" s="5"/>
      <c r="ACW742" s="5"/>
      <c r="ACX742" s="5"/>
      <c r="ACY742" s="5"/>
      <c r="ACZ742" s="5"/>
      <c r="ADA742" s="5"/>
      <c r="ADB742" s="5"/>
      <c r="ADC742" s="5"/>
      <c r="ADD742" s="5"/>
      <c r="ADE742" s="5"/>
      <c r="ADF742" s="5"/>
      <c r="ADG742" s="5"/>
      <c r="ADH742" s="5"/>
      <c r="ADI742" s="5"/>
      <c r="ADJ742" s="5"/>
      <c r="ADK742" s="5"/>
      <c r="ADL742" s="5"/>
      <c r="ADM742" s="5"/>
      <c r="ADN742" s="5"/>
      <c r="ADO742" s="5"/>
      <c r="ADP742" s="5"/>
      <c r="ADQ742" s="5"/>
      <c r="ADR742" s="5"/>
      <c r="ADS742" s="5"/>
      <c r="ADT742" s="5"/>
      <c r="ADU742" s="5"/>
      <c r="ADV742" s="5"/>
      <c r="ADW742" s="5"/>
      <c r="ADX742" s="5"/>
      <c r="ADY742" s="5"/>
      <c r="ADZ742" s="5"/>
      <c r="AEA742" s="5"/>
      <c r="AEB742" s="5"/>
      <c r="AEC742" s="5"/>
      <c r="AED742" s="5"/>
      <c r="AEE742" s="5"/>
      <c r="AEF742" s="5"/>
      <c r="AEG742" s="5"/>
      <c r="AEH742" s="5"/>
      <c r="AEI742" s="5"/>
      <c r="AEJ742" s="5"/>
      <c r="AEK742" s="5"/>
      <c r="AEL742" s="5"/>
      <c r="AEM742" s="5"/>
      <c r="AEN742" s="5"/>
      <c r="AEO742" s="5"/>
      <c r="AEP742" s="5"/>
      <c r="AEQ742" s="5"/>
      <c r="AER742" s="5"/>
      <c r="AES742" s="5"/>
      <c r="AET742" s="5"/>
      <c r="AEU742" s="5"/>
      <c r="AEV742" s="5"/>
      <c r="AEW742" s="5"/>
      <c r="AEX742" s="5"/>
      <c r="AEY742" s="5"/>
      <c r="AEZ742" s="5"/>
      <c r="AFA742" s="5"/>
      <c r="AFB742" s="5"/>
      <c r="AFC742" s="5"/>
      <c r="AFD742" s="5"/>
      <c r="AFE742" s="5"/>
      <c r="AFF742" s="5"/>
      <c r="AFG742" s="5"/>
      <c r="AFH742" s="5"/>
      <c r="AFI742" s="5"/>
      <c r="AFJ742" s="5"/>
      <c r="AFK742" s="5"/>
      <c r="AFL742" s="5"/>
      <c r="AFM742" s="5"/>
      <c r="AFN742" s="5"/>
      <c r="AFO742" s="5"/>
      <c r="AFP742" s="5"/>
      <c r="AFQ742" s="5"/>
      <c r="AFR742" s="5"/>
      <c r="AFS742" s="5"/>
      <c r="AFT742" s="5"/>
      <c r="AFU742" s="5"/>
      <c r="AFV742" s="5"/>
      <c r="AFW742" s="5"/>
      <c r="AFX742" s="5"/>
      <c r="AFY742" s="5"/>
      <c r="AFZ742" s="5"/>
      <c r="AGA742" s="5"/>
      <c r="AGB742" s="5"/>
      <c r="AGC742" s="5"/>
      <c r="AGD742" s="5"/>
      <c r="AGE742" s="5"/>
      <c r="AGF742" s="5"/>
      <c r="AGG742" s="5"/>
      <c r="AGH742" s="5"/>
      <c r="AGI742" s="5"/>
      <c r="AGJ742" s="5"/>
      <c r="AGK742" s="5"/>
      <c r="AGL742" s="5"/>
      <c r="AGM742" s="5"/>
      <c r="AGN742" s="5"/>
      <c r="AGO742" s="5"/>
      <c r="AGP742" s="5"/>
      <c r="AGQ742" s="5"/>
      <c r="AGR742" s="5"/>
      <c r="AGS742" s="5"/>
      <c r="AGT742" s="5"/>
      <c r="AGU742" s="5"/>
      <c r="AGV742" s="5"/>
      <c r="AGW742" s="5"/>
      <c r="AGX742" s="5"/>
      <c r="AGY742" s="5"/>
      <c r="AGZ742" s="5"/>
      <c r="AHA742" s="5"/>
      <c r="AHB742" s="5"/>
      <c r="AHC742" s="5"/>
      <c r="AHD742" s="5"/>
      <c r="AHE742" s="5"/>
      <c r="AHF742" s="5"/>
      <c r="AHG742" s="5"/>
      <c r="AHH742" s="5"/>
      <c r="AHI742" s="5"/>
      <c r="AHJ742" s="5"/>
      <c r="AHK742" s="5"/>
      <c r="AHL742" s="5"/>
      <c r="AHM742" s="5"/>
      <c r="AHN742" s="5"/>
      <c r="AHO742" s="5"/>
      <c r="AHP742" s="5"/>
      <c r="AHQ742" s="5"/>
      <c r="AHR742" s="5"/>
      <c r="AHS742" s="5"/>
      <c r="AHT742" s="5"/>
      <c r="AHU742" s="5"/>
      <c r="AHV742" s="5"/>
      <c r="AHW742" s="5"/>
      <c r="AHX742" s="5"/>
      <c r="AHY742" s="5"/>
      <c r="AHZ742" s="5"/>
      <c r="AIA742" s="5"/>
      <c r="AIB742" s="5"/>
      <c r="AIC742" s="5"/>
      <c r="AID742" s="5"/>
      <c r="AIE742" s="5"/>
      <c r="AIF742" s="5"/>
      <c r="AIG742" s="5"/>
      <c r="AIH742" s="5"/>
      <c r="AII742" s="5"/>
      <c r="AIJ742" s="5"/>
      <c r="AIK742" s="5"/>
      <c r="AIL742" s="5"/>
      <c r="AIM742" s="5"/>
      <c r="AIN742" s="5"/>
      <c r="AIO742" s="5"/>
      <c r="AIP742" s="5"/>
      <c r="AIQ742" s="5"/>
      <c r="AIR742" s="5"/>
      <c r="AIS742" s="5"/>
      <c r="AIT742" s="5"/>
      <c r="AIU742" s="5"/>
      <c r="AIV742" s="5"/>
      <c r="AIW742" s="5"/>
      <c r="AIX742" s="5"/>
      <c r="AIY742" s="5"/>
      <c r="AIZ742" s="5"/>
      <c r="AJA742" s="5"/>
      <c r="AJB742" s="5"/>
      <c r="AJC742" s="5"/>
      <c r="AJD742" s="5"/>
      <c r="AJE742" s="5"/>
      <c r="AJF742" s="5"/>
      <c r="AJG742" s="5"/>
      <c r="AJH742" s="5"/>
      <c r="AJI742" s="5"/>
      <c r="AJJ742" s="5"/>
      <c r="AJK742" s="5"/>
      <c r="AJL742" s="5"/>
      <c r="AJM742" s="5"/>
      <c r="AJN742" s="5"/>
      <c r="AJO742" s="5"/>
      <c r="AJP742" s="5"/>
      <c r="AJQ742" s="5"/>
      <c r="AJR742" s="5"/>
      <c r="AJS742" s="5"/>
      <c r="AJT742" s="5"/>
      <c r="AJU742" s="5"/>
      <c r="AJV742" s="5"/>
      <c r="AJW742" s="5"/>
      <c r="AJX742" s="5"/>
      <c r="AJY742" s="5"/>
      <c r="AJZ742" s="5"/>
      <c r="AKA742" s="5"/>
      <c r="AKB742" s="5"/>
      <c r="AKC742" s="5"/>
      <c r="AKD742" s="5"/>
      <c r="AKE742" s="5"/>
      <c r="AKF742" s="5"/>
      <c r="AKG742" s="5"/>
      <c r="AKH742" s="5"/>
      <c r="AKI742" s="5"/>
      <c r="AKJ742" s="5"/>
      <c r="AKK742" s="5"/>
      <c r="AKL742" s="5"/>
      <c r="AKM742" s="5"/>
      <c r="AKN742" s="5"/>
      <c r="AKO742" s="5"/>
      <c r="AKP742" s="5"/>
      <c r="AKQ742" s="5"/>
      <c r="AKR742" s="5"/>
      <c r="AKS742" s="5"/>
      <c r="AKT742" s="5"/>
      <c r="AKU742" s="5"/>
      <c r="AKV742" s="5"/>
      <c r="AKW742" s="5"/>
      <c r="AKX742" s="5"/>
      <c r="AKY742" s="5"/>
      <c r="AKZ742" s="5"/>
      <c r="ALA742" s="5"/>
      <c r="ALB742" s="5"/>
      <c r="ALC742" s="5"/>
      <c r="ALD742" s="5"/>
      <c r="ALE742" s="5"/>
      <c r="ALF742" s="5"/>
      <c r="ALG742" s="5"/>
      <c r="ALH742" s="5"/>
      <c r="ALI742" s="5"/>
      <c r="ALJ742" s="5"/>
      <c r="ALK742" s="5"/>
      <c r="ALL742" s="5"/>
      <c r="ALM742" s="5"/>
      <c r="ALN742" s="5"/>
      <c r="ALO742" s="5"/>
      <c r="ALP742" s="5"/>
      <c r="ALQ742" s="5"/>
      <c r="ALR742" s="5"/>
      <c r="ALS742" s="5"/>
      <c r="ALT742" s="5"/>
      <c r="ALU742" s="5"/>
      <c r="ALV742" s="5"/>
      <c r="ALW742" s="5"/>
      <c r="ALX742" s="5"/>
      <c r="ALY742" s="5"/>
      <c r="ALZ742" s="5"/>
      <c r="AMA742" s="5"/>
      <c r="AMB742" s="5"/>
      <c r="AMC742" s="5"/>
      <c r="AMD742" s="5"/>
      <c r="AME742" s="5"/>
      <c r="AMF742" s="5"/>
      <c r="AMG742" s="5"/>
      <c r="AMH742" s="5"/>
      <c r="AMI742" s="5"/>
      <c r="AMJ742" s="5"/>
      <c r="AMK742" s="5"/>
      <c r="AML742" s="5"/>
      <c r="AMM742" s="5"/>
      <c r="AMN742" s="5"/>
      <c r="AMO742" s="5"/>
      <c r="AMP742" s="5"/>
      <c r="AMQ742" s="5"/>
      <c r="AMR742" s="5"/>
      <c r="AMS742" s="5"/>
      <c r="AMT742" s="5"/>
      <c r="AMU742" s="5"/>
      <c r="AMV742" s="5"/>
      <c r="AMW742" s="5"/>
      <c r="AMX742" s="5"/>
      <c r="AMY742" s="5"/>
      <c r="AMZ742" s="5"/>
      <c r="ANA742" s="5"/>
      <c r="ANB742" s="5"/>
      <c r="ANC742" s="5"/>
      <c r="AND742" s="5"/>
      <c r="ANE742" s="5"/>
      <c r="ANF742" s="5"/>
      <c r="ANG742" s="5"/>
      <c r="ANH742" s="5"/>
      <c r="ANI742" s="5"/>
      <c r="ANJ742" s="5"/>
      <c r="ANK742" s="5"/>
      <c r="ANL742" s="5"/>
      <c r="ANM742" s="5"/>
      <c r="ANN742" s="5"/>
      <c r="ANO742" s="5"/>
      <c r="ANP742" s="5"/>
      <c r="ANQ742" s="5"/>
      <c r="ANR742" s="5"/>
      <c r="ANS742" s="5"/>
      <c r="ANT742" s="5"/>
      <c r="ANU742" s="5"/>
      <c r="ANV742" s="5"/>
      <c r="ANW742" s="5"/>
      <c r="ANX742" s="5"/>
      <c r="ANY742" s="5"/>
      <c r="ANZ742" s="5"/>
      <c r="AOA742" s="5"/>
      <c r="AOB742" s="5"/>
      <c r="AOC742" s="5"/>
      <c r="AOD742" s="5"/>
      <c r="AOE742" s="5"/>
      <c r="AOF742" s="5"/>
      <c r="AOG742" s="5"/>
      <c r="AOH742" s="5"/>
      <c r="AOI742" s="5"/>
      <c r="AOJ742" s="5"/>
      <c r="AOK742" s="5"/>
      <c r="AOL742" s="5"/>
      <c r="AOM742" s="5"/>
      <c r="AON742" s="5"/>
      <c r="AOO742" s="5"/>
      <c r="AOP742" s="5"/>
      <c r="AOQ742" s="5"/>
      <c r="AOR742" s="5"/>
      <c r="AOS742" s="5"/>
      <c r="AOT742" s="5"/>
      <c r="AOU742" s="5"/>
      <c r="AOV742" s="5"/>
      <c r="AOW742" s="5"/>
      <c r="AOX742" s="5"/>
      <c r="AOY742" s="5"/>
      <c r="AOZ742" s="5"/>
      <c r="APA742" s="5"/>
      <c r="APB742" s="5"/>
      <c r="APC742" s="5"/>
      <c r="APD742" s="5"/>
      <c r="APE742" s="5"/>
      <c r="APF742" s="5"/>
      <c r="APG742" s="5"/>
      <c r="APH742" s="5"/>
      <c r="API742" s="5"/>
      <c r="APJ742" s="5"/>
      <c r="APK742" s="5"/>
      <c r="APL742" s="5"/>
      <c r="APM742" s="5"/>
      <c r="APN742" s="5"/>
      <c r="APO742" s="5"/>
      <c r="APP742" s="5"/>
      <c r="APQ742" s="5"/>
      <c r="APR742" s="5"/>
      <c r="APS742" s="5"/>
      <c r="APT742" s="5"/>
      <c r="APU742" s="5"/>
      <c r="APV742" s="5"/>
      <c r="APW742" s="5"/>
      <c r="APX742" s="5"/>
      <c r="APY742" s="5"/>
      <c r="APZ742" s="5"/>
      <c r="AQA742" s="5"/>
      <c r="AQB742" s="5"/>
      <c r="AQC742" s="5"/>
      <c r="AQD742" s="5"/>
      <c r="AQE742" s="5"/>
      <c r="AQF742" s="5"/>
      <c r="AQG742" s="5"/>
      <c r="AQH742" s="5"/>
      <c r="AQI742" s="5"/>
      <c r="AQJ742" s="5"/>
      <c r="AQK742" s="5"/>
      <c r="AQL742" s="5"/>
      <c r="AQM742" s="5"/>
      <c r="AQN742" s="5"/>
      <c r="AQO742" s="5"/>
      <c r="AQP742" s="5"/>
      <c r="AQQ742" s="5"/>
      <c r="AQR742" s="5"/>
      <c r="AQS742" s="5"/>
      <c r="AQT742" s="5"/>
      <c r="AQU742" s="5"/>
      <c r="AQV742" s="5"/>
      <c r="AQW742" s="5"/>
      <c r="AQX742" s="5"/>
      <c r="AQY742" s="5"/>
      <c r="AQZ742" s="5"/>
      <c r="ARA742" s="5"/>
      <c r="ARB742" s="5"/>
      <c r="ARC742" s="5"/>
      <c r="ARD742" s="5"/>
      <c r="ARE742" s="5"/>
      <c r="ARF742" s="5"/>
      <c r="ARG742" s="5"/>
      <c r="ARH742" s="5"/>
      <c r="ARI742" s="5"/>
      <c r="ARJ742" s="5"/>
      <c r="ARK742" s="5"/>
      <c r="ARL742" s="5"/>
      <c r="ARM742" s="5"/>
      <c r="ARN742" s="5"/>
      <c r="ARO742" s="5"/>
      <c r="ARP742" s="5"/>
      <c r="ARQ742" s="5"/>
      <c r="ARR742" s="5"/>
      <c r="ARS742" s="5"/>
      <c r="ART742" s="5"/>
      <c r="ARU742" s="5"/>
      <c r="ARV742" s="5"/>
      <c r="ARW742" s="5"/>
      <c r="ARX742" s="5"/>
      <c r="ARY742" s="5"/>
      <c r="ARZ742" s="5"/>
      <c r="ASA742" s="5"/>
      <c r="ASB742" s="5"/>
      <c r="ASC742" s="5"/>
      <c r="ASD742" s="5"/>
      <c r="ASE742" s="5"/>
      <c r="ASF742" s="5"/>
      <c r="ASG742" s="5"/>
      <c r="ASH742" s="5"/>
      <c r="ASI742" s="5"/>
      <c r="ASJ742" s="5"/>
      <c r="ASK742" s="5"/>
      <c r="ASL742" s="5"/>
      <c r="ASM742" s="5"/>
      <c r="ASN742" s="5"/>
      <c r="ASO742" s="5"/>
      <c r="ASP742" s="5"/>
      <c r="ASQ742" s="5"/>
      <c r="ASR742" s="5"/>
      <c r="ASS742" s="5"/>
      <c r="AST742" s="5"/>
      <c r="ASU742" s="5"/>
      <c r="ASV742" s="5"/>
      <c r="ASW742" s="5"/>
      <c r="ASX742" s="5"/>
      <c r="ASY742" s="5"/>
      <c r="ASZ742" s="5"/>
      <c r="ATA742" s="5"/>
      <c r="ATB742" s="5"/>
      <c r="ATC742" s="5"/>
      <c r="ATD742" s="5"/>
      <c r="ATE742" s="5"/>
      <c r="ATF742" s="5"/>
      <c r="ATG742" s="5"/>
      <c r="ATH742" s="5"/>
      <c r="ATI742" s="5"/>
      <c r="ATJ742" s="5"/>
      <c r="ATK742" s="5"/>
      <c r="ATL742" s="5"/>
      <c r="ATM742" s="5"/>
      <c r="ATN742" s="5"/>
      <c r="ATO742" s="5"/>
      <c r="ATP742" s="5"/>
      <c r="ATQ742" s="5"/>
      <c r="ATR742" s="5"/>
      <c r="ATS742" s="5"/>
      <c r="ATT742" s="5"/>
      <c r="ATU742" s="5"/>
      <c r="ATV742" s="5"/>
      <c r="ATW742" s="5"/>
      <c r="ATX742" s="5"/>
    </row>
    <row r="743" spans="1:1220" s="9" customFormat="1" ht="12.75" customHeight="1" x14ac:dyDescent="0.35">
      <c r="A743" s="76" t="s">
        <v>1094</v>
      </c>
      <c r="B743" s="99" t="s">
        <v>2644</v>
      </c>
      <c r="C743" s="76" t="s">
        <v>2645</v>
      </c>
      <c r="D743" s="142"/>
      <c r="E743" s="76"/>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c r="DX743" s="5"/>
      <c r="DY743" s="5"/>
      <c r="DZ743" s="5"/>
      <c r="EA743" s="5"/>
      <c r="EB743" s="5"/>
      <c r="EC743" s="5"/>
      <c r="ED743" s="5"/>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s="5"/>
      <c r="FG743" s="5"/>
      <c r="FH743" s="5"/>
      <c r="FI743" s="5"/>
      <c r="FJ743" s="5"/>
      <c r="FK743" s="5"/>
      <c r="FL743" s="5"/>
      <c r="FM743" s="5"/>
      <c r="FN743" s="5"/>
      <c r="FO743" s="5"/>
      <c r="FP743" s="5"/>
      <c r="FQ743" s="5"/>
      <c r="FR743" s="5"/>
      <c r="FS743" s="5"/>
      <c r="FT743" s="5"/>
      <c r="FU743" s="5"/>
      <c r="FV743" s="5"/>
      <c r="FW743" s="5"/>
      <c r="FX743" s="5"/>
      <c r="FY743" s="5"/>
      <c r="FZ743" s="5"/>
      <c r="GA743" s="5"/>
      <c r="GB743" s="5"/>
      <c r="GC743" s="5"/>
      <c r="GD743" s="5"/>
      <c r="GE743" s="5"/>
      <c r="GF743" s="5"/>
      <c r="GG743" s="5"/>
      <c r="GH743" s="5"/>
      <c r="GI743" s="5"/>
      <c r="GJ743" s="5"/>
      <c r="GK743" s="5"/>
      <c r="GL743" s="5"/>
      <c r="GM743" s="5"/>
      <c r="GN743" s="5"/>
      <c r="GO743" s="5"/>
      <c r="GP743" s="5"/>
      <c r="GQ743" s="5"/>
      <c r="GR743" s="5"/>
      <c r="GS743" s="5"/>
      <c r="GT743" s="5"/>
      <c r="GU743" s="5"/>
      <c r="GV743" s="5"/>
      <c r="GW743" s="5"/>
      <c r="GX743" s="5"/>
      <c r="GY743" s="5"/>
      <c r="GZ743" s="5"/>
      <c r="HA743" s="5"/>
      <c r="HB743" s="5"/>
      <c r="HC743" s="5"/>
      <c r="HD743" s="5"/>
      <c r="HE743" s="5"/>
      <c r="HF743" s="5"/>
      <c r="HG743" s="5"/>
      <c r="HH743" s="5"/>
      <c r="HI743" s="5"/>
      <c r="HJ743" s="5"/>
      <c r="HK743" s="5"/>
      <c r="HL743" s="5"/>
      <c r="HM743" s="5"/>
      <c r="HN743" s="5"/>
      <c r="HO743" s="5"/>
      <c r="HP743" s="5"/>
      <c r="HQ743" s="5"/>
      <c r="HR743" s="5"/>
      <c r="HS743" s="5"/>
      <c r="HT743" s="5"/>
      <c r="HU743" s="5"/>
      <c r="HV743" s="5"/>
      <c r="HW743" s="5"/>
      <c r="HX743" s="5"/>
      <c r="HY743" s="5"/>
      <c r="HZ743" s="5"/>
      <c r="IA743" s="5"/>
      <c r="IB743" s="5"/>
      <c r="IC743" s="5"/>
      <c r="ID743" s="5"/>
      <c r="IE743" s="5"/>
      <c r="IF743" s="5"/>
      <c r="IG743" s="5"/>
      <c r="IH743" s="5"/>
      <c r="II743" s="5"/>
      <c r="IJ743" s="5"/>
      <c r="IK743" s="5"/>
      <c r="IL743" s="5"/>
      <c r="IM743" s="5"/>
      <c r="IN743" s="5"/>
      <c r="IO743" s="5"/>
      <c r="IP743" s="5"/>
      <c r="IQ743" s="5"/>
      <c r="IR743" s="5"/>
      <c r="IS743" s="5"/>
      <c r="IT743" s="5"/>
      <c r="IU743" s="5"/>
      <c r="IV743" s="5"/>
      <c r="IW743" s="5"/>
      <c r="IX743" s="5"/>
      <c r="IY743" s="5"/>
      <c r="IZ743" s="5"/>
      <c r="JA743" s="5"/>
      <c r="JB743" s="5"/>
      <c r="JC743" s="5"/>
      <c r="JD743" s="5"/>
      <c r="JE743" s="5"/>
      <c r="JF743" s="5"/>
      <c r="JG743" s="5"/>
      <c r="JH743" s="5"/>
      <c r="JI743" s="5"/>
      <c r="JJ743" s="5"/>
      <c r="JK743" s="5"/>
      <c r="JL743" s="5"/>
      <c r="JM743" s="5"/>
      <c r="JN743" s="5"/>
      <c r="JO743" s="5"/>
      <c r="JP743" s="5"/>
      <c r="JQ743" s="5"/>
      <c r="JR743" s="5"/>
      <c r="JS743" s="5"/>
      <c r="JT743" s="5"/>
      <c r="JU743" s="5"/>
      <c r="JV743" s="5"/>
      <c r="JW743" s="5"/>
      <c r="JX743" s="5"/>
      <c r="JY743" s="5"/>
      <c r="JZ743" s="5"/>
      <c r="KA743" s="5"/>
      <c r="KB743" s="5"/>
      <c r="KC743" s="5"/>
      <c r="KD743" s="5"/>
      <c r="KE743" s="5"/>
      <c r="KF743" s="5"/>
      <c r="KG743" s="5"/>
      <c r="KH743" s="5"/>
      <c r="KI743" s="5"/>
      <c r="KJ743" s="5"/>
      <c r="KK743" s="5"/>
      <c r="KL743" s="5"/>
      <c r="KM743" s="5"/>
      <c r="KN743" s="5"/>
      <c r="KO743" s="5"/>
      <c r="KP743" s="5"/>
      <c r="KQ743" s="5"/>
      <c r="KR743" s="5"/>
      <c r="KS743" s="5"/>
      <c r="KT743" s="5"/>
      <c r="KU743" s="5"/>
      <c r="KV743" s="5"/>
      <c r="KW743" s="5"/>
      <c r="KX743" s="5"/>
      <c r="KY743" s="5"/>
      <c r="KZ743" s="5"/>
      <c r="LA743" s="5"/>
      <c r="LB743" s="5"/>
      <c r="LC743" s="5"/>
      <c r="LD743" s="5"/>
      <c r="LE743" s="5"/>
      <c r="LF743" s="5"/>
      <c r="LG743" s="5"/>
      <c r="LH743" s="5"/>
      <c r="LI743" s="5"/>
      <c r="LJ743" s="5"/>
      <c r="LK743" s="5"/>
      <c r="LL743" s="5"/>
      <c r="LM743" s="5"/>
      <c r="LN743" s="5"/>
      <c r="LO743" s="5"/>
      <c r="LP743" s="5"/>
      <c r="LQ743" s="5"/>
      <c r="LR743" s="5"/>
      <c r="LS743" s="5"/>
      <c r="LT743" s="5"/>
      <c r="LU743" s="5"/>
      <c r="LV743" s="5"/>
      <c r="LW743" s="5"/>
      <c r="LX743" s="5"/>
      <c r="LY743" s="5"/>
      <c r="LZ743" s="5"/>
      <c r="MA743" s="5"/>
      <c r="MB743" s="5"/>
      <c r="MC743" s="5"/>
      <c r="MD743" s="5"/>
      <c r="ME743" s="5"/>
      <c r="MF743" s="5"/>
      <c r="MG743" s="5"/>
      <c r="MH743" s="5"/>
      <c r="MI743" s="5"/>
      <c r="MJ743" s="5"/>
      <c r="MK743" s="5"/>
      <c r="ML743" s="5"/>
      <c r="MM743" s="5"/>
      <c r="MN743" s="5"/>
      <c r="MO743" s="5"/>
      <c r="MP743" s="5"/>
      <c r="MQ743" s="5"/>
      <c r="MR743" s="5"/>
      <c r="MS743" s="5"/>
      <c r="MT743" s="5"/>
      <c r="MU743" s="5"/>
      <c r="MV743" s="5"/>
      <c r="MW743" s="5"/>
      <c r="MX743" s="5"/>
      <c r="MY743" s="5"/>
      <c r="MZ743" s="5"/>
      <c r="NA743" s="5"/>
      <c r="NB743" s="5"/>
      <c r="NC743" s="5"/>
      <c r="ND743" s="5"/>
      <c r="NE743" s="5"/>
      <c r="NF743" s="5"/>
      <c r="NG743" s="5"/>
      <c r="NH743" s="5"/>
      <c r="NI743" s="5"/>
      <c r="NJ743" s="5"/>
      <c r="NK743" s="5"/>
      <c r="NL743" s="5"/>
      <c r="NM743" s="5"/>
      <c r="NN743" s="5"/>
      <c r="NO743" s="5"/>
      <c r="NP743" s="5"/>
      <c r="NQ743" s="5"/>
      <c r="NR743" s="5"/>
      <c r="NS743" s="5"/>
      <c r="NT743" s="5"/>
      <c r="NU743" s="5"/>
      <c r="NV743" s="5"/>
      <c r="NW743" s="5"/>
      <c r="NX743" s="5"/>
      <c r="NY743" s="5"/>
      <c r="NZ743" s="5"/>
      <c r="OA743" s="5"/>
      <c r="OB743" s="5"/>
      <c r="OC743" s="5"/>
      <c r="OD743" s="5"/>
      <c r="OE743" s="5"/>
      <c r="OF743" s="5"/>
      <c r="OG743" s="5"/>
      <c r="OH743" s="5"/>
      <c r="OI743" s="5"/>
      <c r="OJ743" s="5"/>
      <c r="OK743" s="5"/>
      <c r="OL743" s="5"/>
      <c r="OM743" s="5"/>
      <c r="ON743" s="5"/>
      <c r="OO743" s="5"/>
      <c r="OP743" s="5"/>
      <c r="OQ743" s="5"/>
      <c r="OR743" s="5"/>
      <c r="OS743" s="5"/>
      <c r="OT743" s="5"/>
      <c r="OU743" s="5"/>
      <c r="OV743" s="5"/>
      <c r="OW743" s="5"/>
      <c r="OX743" s="5"/>
      <c r="OY743" s="5"/>
      <c r="OZ743" s="5"/>
      <c r="PA743" s="5"/>
      <c r="PB743" s="5"/>
      <c r="PC743" s="5"/>
      <c r="PD743" s="5"/>
      <c r="PE743" s="5"/>
      <c r="PF743" s="5"/>
      <c r="PG743" s="5"/>
      <c r="PH743" s="5"/>
      <c r="PI743" s="5"/>
      <c r="PJ743" s="5"/>
      <c r="PK743" s="5"/>
      <c r="PL743" s="5"/>
      <c r="PM743" s="5"/>
      <c r="PN743" s="5"/>
      <c r="PO743" s="5"/>
      <c r="PP743" s="5"/>
      <c r="PQ743" s="5"/>
      <c r="PR743" s="5"/>
      <c r="PS743" s="5"/>
      <c r="PT743" s="5"/>
      <c r="PU743" s="5"/>
      <c r="PV743" s="5"/>
      <c r="PW743" s="5"/>
      <c r="PX743" s="5"/>
      <c r="PY743" s="5"/>
      <c r="PZ743" s="5"/>
      <c r="QA743" s="5"/>
      <c r="QB743" s="5"/>
      <c r="QC743" s="5"/>
      <c r="QD743" s="5"/>
      <c r="QE743" s="5"/>
      <c r="QF743" s="5"/>
      <c r="QG743" s="5"/>
      <c r="QH743" s="5"/>
      <c r="QI743" s="5"/>
      <c r="QJ743" s="5"/>
      <c r="QK743" s="5"/>
      <c r="QL743" s="5"/>
      <c r="QM743" s="5"/>
      <c r="QN743" s="5"/>
      <c r="QO743" s="5"/>
      <c r="QP743" s="5"/>
      <c r="QQ743" s="5"/>
      <c r="QR743" s="5"/>
      <c r="QS743" s="5"/>
      <c r="QT743" s="5"/>
      <c r="QU743" s="5"/>
      <c r="QV743" s="5"/>
      <c r="QW743" s="5"/>
      <c r="QX743" s="5"/>
      <c r="QY743" s="5"/>
      <c r="QZ743" s="5"/>
      <c r="RA743" s="5"/>
      <c r="RB743" s="5"/>
      <c r="RC743" s="5"/>
      <c r="RD743" s="5"/>
      <c r="RE743" s="5"/>
      <c r="RF743" s="5"/>
      <c r="RG743" s="5"/>
      <c r="RH743" s="5"/>
      <c r="RI743" s="5"/>
      <c r="RJ743" s="5"/>
      <c r="RK743" s="5"/>
      <c r="RL743" s="5"/>
      <c r="RM743" s="5"/>
      <c r="RN743" s="5"/>
      <c r="RO743" s="5"/>
      <c r="RP743" s="5"/>
      <c r="RQ743" s="5"/>
      <c r="RR743" s="5"/>
      <c r="RS743" s="5"/>
      <c r="RT743" s="5"/>
      <c r="RU743" s="5"/>
      <c r="RV743" s="5"/>
      <c r="RW743" s="5"/>
      <c r="RX743" s="5"/>
      <c r="RY743" s="5"/>
      <c r="RZ743" s="5"/>
      <c r="SA743" s="5"/>
      <c r="SB743" s="5"/>
      <c r="SC743" s="5"/>
      <c r="SD743" s="5"/>
      <c r="SE743" s="5"/>
      <c r="SF743" s="5"/>
      <c r="SG743" s="5"/>
      <c r="SH743" s="5"/>
      <c r="SI743" s="5"/>
      <c r="SJ743" s="5"/>
      <c r="SK743" s="5"/>
      <c r="SL743" s="5"/>
      <c r="SM743" s="5"/>
      <c r="SN743" s="5"/>
      <c r="SO743" s="5"/>
      <c r="SP743" s="5"/>
      <c r="SQ743" s="5"/>
      <c r="SR743" s="5"/>
      <c r="SS743" s="5"/>
      <c r="ST743" s="5"/>
      <c r="SU743" s="5"/>
      <c r="SV743" s="5"/>
      <c r="SW743" s="5"/>
      <c r="SX743" s="5"/>
      <c r="SY743" s="5"/>
      <c r="SZ743" s="5"/>
      <c r="TA743" s="5"/>
      <c r="TB743" s="5"/>
      <c r="TC743" s="5"/>
      <c r="TD743" s="5"/>
      <c r="TE743" s="5"/>
      <c r="TF743" s="5"/>
      <c r="TG743" s="5"/>
      <c r="TH743" s="5"/>
      <c r="TI743" s="5"/>
      <c r="TJ743" s="5"/>
      <c r="TK743" s="5"/>
      <c r="TL743" s="5"/>
      <c r="TM743" s="5"/>
      <c r="TN743" s="5"/>
      <c r="TO743" s="5"/>
      <c r="TP743" s="5"/>
      <c r="TQ743" s="5"/>
      <c r="TR743" s="5"/>
      <c r="TS743" s="5"/>
      <c r="TT743" s="5"/>
      <c r="TU743" s="5"/>
      <c r="TV743" s="5"/>
      <c r="TW743" s="5"/>
      <c r="TX743" s="5"/>
      <c r="TY743" s="5"/>
      <c r="TZ743" s="5"/>
      <c r="UA743" s="5"/>
      <c r="UB743" s="5"/>
      <c r="UC743" s="5"/>
      <c r="UD743" s="5"/>
      <c r="UE743" s="5"/>
      <c r="UF743" s="5"/>
      <c r="UG743" s="5"/>
      <c r="UH743" s="5"/>
      <c r="UI743" s="5"/>
      <c r="UJ743" s="5"/>
      <c r="UK743" s="5"/>
      <c r="UL743" s="5"/>
      <c r="UM743" s="5"/>
      <c r="UN743" s="5"/>
      <c r="UO743" s="5"/>
      <c r="UP743" s="5"/>
      <c r="UQ743" s="5"/>
      <c r="UR743" s="5"/>
      <c r="US743" s="5"/>
      <c r="UT743" s="5"/>
      <c r="UU743" s="5"/>
      <c r="UV743" s="5"/>
      <c r="UW743" s="5"/>
      <c r="UX743" s="5"/>
      <c r="UY743" s="5"/>
      <c r="UZ743" s="5"/>
      <c r="VA743" s="5"/>
      <c r="VB743" s="5"/>
      <c r="VC743" s="5"/>
      <c r="VD743" s="5"/>
      <c r="VE743" s="5"/>
      <c r="VF743" s="5"/>
      <c r="VG743" s="5"/>
      <c r="VH743" s="5"/>
      <c r="VI743" s="5"/>
      <c r="VJ743" s="5"/>
      <c r="VK743" s="5"/>
      <c r="VL743" s="5"/>
      <c r="VM743" s="5"/>
      <c r="VN743" s="5"/>
      <c r="VO743" s="5"/>
      <c r="VP743" s="5"/>
      <c r="VQ743" s="5"/>
      <c r="VR743" s="5"/>
      <c r="VS743" s="5"/>
      <c r="VT743" s="5"/>
      <c r="VU743" s="5"/>
      <c r="VV743" s="5"/>
      <c r="VW743" s="5"/>
      <c r="VX743" s="5"/>
      <c r="VY743" s="5"/>
      <c r="VZ743" s="5"/>
      <c r="WA743" s="5"/>
      <c r="WB743" s="5"/>
      <c r="WC743" s="5"/>
      <c r="WD743" s="5"/>
      <c r="WE743" s="5"/>
      <c r="WF743" s="5"/>
      <c r="WG743" s="5"/>
      <c r="WH743" s="5"/>
      <c r="WI743" s="5"/>
      <c r="WJ743" s="5"/>
      <c r="WK743" s="5"/>
      <c r="WL743" s="5"/>
      <c r="WM743" s="5"/>
      <c r="WN743" s="5"/>
      <c r="WO743" s="5"/>
      <c r="WP743" s="5"/>
      <c r="WQ743" s="5"/>
      <c r="WR743" s="5"/>
      <c r="WS743" s="5"/>
      <c r="WT743" s="5"/>
      <c r="WU743" s="5"/>
      <c r="WV743" s="5"/>
      <c r="WW743" s="5"/>
      <c r="WX743" s="5"/>
      <c r="WY743" s="5"/>
      <c r="WZ743" s="5"/>
      <c r="XA743" s="5"/>
      <c r="XB743" s="5"/>
      <c r="XC743" s="5"/>
      <c r="XD743" s="5"/>
      <c r="XE743" s="5"/>
      <c r="XF743" s="5"/>
      <c r="XG743" s="5"/>
      <c r="XH743" s="5"/>
      <c r="XI743" s="5"/>
      <c r="XJ743" s="5"/>
      <c r="XK743" s="5"/>
      <c r="XL743" s="5"/>
      <c r="XM743" s="5"/>
      <c r="XN743" s="5"/>
      <c r="XO743" s="5"/>
      <c r="XP743" s="5"/>
      <c r="XQ743" s="5"/>
      <c r="XR743" s="5"/>
      <c r="XS743" s="5"/>
      <c r="XT743" s="5"/>
      <c r="XU743" s="5"/>
      <c r="XV743" s="5"/>
      <c r="XW743" s="5"/>
      <c r="XX743" s="5"/>
      <c r="XY743" s="5"/>
      <c r="XZ743" s="5"/>
      <c r="YA743" s="5"/>
      <c r="YB743" s="5"/>
      <c r="YC743" s="5"/>
      <c r="YD743" s="5"/>
      <c r="YE743" s="5"/>
      <c r="YF743" s="5"/>
      <c r="YG743" s="5"/>
      <c r="YH743" s="5"/>
      <c r="YI743" s="5"/>
      <c r="YJ743" s="5"/>
      <c r="YK743" s="5"/>
      <c r="YL743" s="5"/>
      <c r="YM743" s="5"/>
      <c r="YN743" s="5"/>
      <c r="YO743" s="5"/>
      <c r="YP743" s="5"/>
      <c r="YQ743" s="5"/>
      <c r="YR743" s="5"/>
      <c r="YS743" s="5"/>
      <c r="YT743" s="5"/>
      <c r="YU743" s="5"/>
      <c r="YV743" s="5"/>
      <c r="YW743" s="5"/>
      <c r="YX743" s="5"/>
      <c r="YY743" s="5"/>
      <c r="YZ743" s="5"/>
      <c r="ZA743" s="5"/>
      <c r="ZB743" s="5"/>
      <c r="ZC743" s="5"/>
      <c r="ZD743" s="5"/>
      <c r="ZE743" s="5"/>
      <c r="ZF743" s="5"/>
      <c r="ZG743" s="5"/>
      <c r="ZH743" s="5"/>
      <c r="ZI743" s="5"/>
      <c r="ZJ743" s="5"/>
      <c r="ZK743" s="5"/>
      <c r="ZL743" s="5"/>
      <c r="ZM743" s="5"/>
      <c r="ZN743" s="5"/>
      <c r="ZO743" s="5"/>
      <c r="ZP743" s="5"/>
      <c r="ZQ743" s="5"/>
      <c r="ZR743" s="5"/>
      <c r="ZS743" s="5"/>
      <c r="ZT743" s="5"/>
      <c r="ZU743" s="5"/>
      <c r="ZV743" s="5"/>
      <c r="ZW743" s="5"/>
      <c r="ZX743" s="5"/>
      <c r="ZY743" s="5"/>
      <c r="ZZ743" s="5"/>
      <c r="AAA743" s="5"/>
      <c r="AAB743" s="5"/>
      <c r="AAC743" s="5"/>
      <c r="AAD743" s="5"/>
      <c r="AAE743" s="5"/>
      <c r="AAF743" s="5"/>
      <c r="AAG743" s="5"/>
      <c r="AAH743" s="5"/>
      <c r="AAI743" s="5"/>
      <c r="AAJ743" s="5"/>
      <c r="AAK743" s="5"/>
      <c r="AAL743" s="5"/>
      <c r="AAM743" s="5"/>
      <c r="AAN743" s="5"/>
      <c r="AAO743" s="5"/>
      <c r="AAP743" s="5"/>
      <c r="AAQ743" s="5"/>
      <c r="AAR743" s="5"/>
      <c r="AAS743" s="5"/>
      <c r="AAT743" s="5"/>
      <c r="AAU743" s="5"/>
      <c r="AAV743" s="5"/>
      <c r="AAW743" s="5"/>
      <c r="AAX743" s="5"/>
      <c r="AAY743" s="5"/>
      <c r="AAZ743" s="5"/>
      <c r="ABA743" s="5"/>
      <c r="ABB743" s="5"/>
      <c r="ABC743" s="5"/>
      <c r="ABD743" s="5"/>
      <c r="ABE743" s="5"/>
      <c r="ABF743" s="5"/>
      <c r="ABG743" s="5"/>
      <c r="ABH743" s="5"/>
      <c r="ABI743" s="5"/>
      <c r="ABJ743" s="5"/>
      <c r="ABK743" s="5"/>
      <c r="ABL743" s="5"/>
      <c r="ABM743" s="5"/>
      <c r="ABN743" s="5"/>
      <c r="ABO743" s="5"/>
      <c r="ABP743" s="5"/>
      <c r="ABQ743" s="5"/>
      <c r="ABR743" s="5"/>
      <c r="ABS743" s="5"/>
      <c r="ABT743" s="5"/>
      <c r="ABU743" s="5"/>
      <c r="ABV743" s="5"/>
      <c r="ABW743" s="5"/>
      <c r="ABX743" s="5"/>
      <c r="ABY743" s="5"/>
      <c r="ABZ743" s="5"/>
      <c r="ACA743" s="5"/>
      <c r="ACB743" s="5"/>
      <c r="ACC743" s="5"/>
      <c r="ACD743" s="5"/>
      <c r="ACE743" s="5"/>
      <c r="ACF743" s="5"/>
      <c r="ACG743" s="5"/>
      <c r="ACH743" s="5"/>
      <c r="ACI743" s="5"/>
      <c r="ACJ743" s="5"/>
      <c r="ACK743" s="5"/>
      <c r="ACL743" s="5"/>
      <c r="ACM743" s="5"/>
      <c r="ACN743" s="5"/>
      <c r="ACO743" s="5"/>
      <c r="ACP743" s="5"/>
      <c r="ACQ743" s="5"/>
      <c r="ACR743" s="5"/>
      <c r="ACS743" s="5"/>
      <c r="ACT743" s="5"/>
      <c r="ACU743" s="5"/>
      <c r="ACV743" s="5"/>
      <c r="ACW743" s="5"/>
      <c r="ACX743" s="5"/>
      <c r="ACY743" s="5"/>
      <c r="ACZ743" s="5"/>
      <c r="ADA743" s="5"/>
      <c r="ADB743" s="5"/>
      <c r="ADC743" s="5"/>
      <c r="ADD743" s="5"/>
      <c r="ADE743" s="5"/>
      <c r="ADF743" s="5"/>
      <c r="ADG743" s="5"/>
      <c r="ADH743" s="5"/>
      <c r="ADI743" s="5"/>
      <c r="ADJ743" s="5"/>
      <c r="ADK743" s="5"/>
      <c r="ADL743" s="5"/>
      <c r="ADM743" s="5"/>
      <c r="ADN743" s="5"/>
      <c r="ADO743" s="5"/>
      <c r="ADP743" s="5"/>
      <c r="ADQ743" s="5"/>
      <c r="ADR743" s="5"/>
      <c r="ADS743" s="5"/>
      <c r="ADT743" s="5"/>
      <c r="ADU743" s="5"/>
      <c r="ADV743" s="5"/>
      <c r="ADW743" s="5"/>
      <c r="ADX743" s="5"/>
      <c r="ADY743" s="5"/>
      <c r="ADZ743" s="5"/>
      <c r="AEA743" s="5"/>
      <c r="AEB743" s="5"/>
      <c r="AEC743" s="5"/>
      <c r="AED743" s="5"/>
      <c r="AEE743" s="5"/>
      <c r="AEF743" s="5"/>
      <c r="AEG743" s="5"/>
      <c r="AEH743" s="5"/>
      <c r="AEI743" s="5"/>
      <c r="AEJ743" s="5"/>
      <c r="AEK743" s="5"/>
      <c r="AEL743" s="5"/>
      <c r="AEM743" s="5"/>
      <c r="AEN743" s="5"/>
      <c r="AEO743" s="5"/>
      <c r="AEP743" s="5"/>
      <c r="AEQ743" s="5"/>
      <c r="AER743" s="5"/>
      <c r="AES743" s="5"/>
      <c r="AET743" s="5"/>
      <c r="AEU743" s="5"/>
      <c r="AEV743" s="5"/>
      <c r="AEW743" s="5"/>
      <c r="AEX743" s="5"/>
      <c r="AEY743" s="5"/>
      <c r="AEZ743" s="5"/>
      <c r="AFA743" s="5"/>
      <c r="AFB743" s="5"/>
      <c r="AFC743" s="5"/>
      <c r="AFD743" s="5"/>
      <c r="AFE743" s="5"/>
      <c r="AFF743" s="5"/>
      <c r="AFG743" s="5"/>
      <c r="AFH743" s="5"/>
      <c r="AFI743" s="5"/>
      <c r="AFJ743" s="5"/>
      <c r="AFK743" s="5"/>
      <c r="AFL743" s="5"/>
      <c r="AFM743" s="5"/>
      <c r="AFN743" s="5"/>
      <c r="AFO743" s="5"/>
      <c r="AFP743" s="5"/>
      <c r="AFQ743" s="5"/>
      <c r="AFR743" s="5"/>
      <c r="AFS743" s="5"/>
      <c r="AFT743" s="5"/>
      <c r="AFU743" s="5"/>
      <c r="AFV743" s="5"/>
      <c r="AFW743" s="5"/>
      <c r="AFX743" s="5"/>
      <c r="AFY743" s="5"/>
      <c r="AFZ743" s="5"/>
      <c r="AGA743" s="5"/>
      <c r="AGB743" s="5"/>
      <c r="AGC743" s="5"/>
      <c r="AGD743" s="5"/>
      <c r="AGE743" s="5"/>
      <c r="AGF743" s="5"/>
      <c r="AGG743" s="5"/>
      <c r="AGH743" s="5"/>
      <c r="AGI743" s="5"/>
      <c r="AGJ743" s="5"/>
      <c r="AGK743" s="5"/>
      <c r="AGL743" s="5"/>
      <c r="AGM743" s="5"/>
      <c r="AGN743" s="5"/>
      <c r="AGO743" s="5"/>
      <c r="AGP743" s="5"/>
      <c r="AGQ743" s="5"/>
      <c r="AGR743" s="5"/>
      <c r="AGS743" s="5"/>
      <c r="AGT743" s="5"/>
      <c r="AGU743" s="5"/>
      <c r="AGV743" s="5"/>
      <c r="AGW743" s="5"/>
      <c r="AGX743" s="5"/>
      <c r="AGY743" s="5"/>
      <c r="AGZ743" s="5"/>
      <c r="AHA743" s="5"/>
      <c r="AHB743" s="5"/>
      <c r="AHC743" s="5"/>
      <c r="AHD743" s="5"/>
      <c r="AHE743" s="5"/>
      <c r="AHF743" s="5"/>
      <c r="AHG743" s="5"/>
      <c r="AHH743" s="5"/>
      <c r="AHI743" s="5"/>
      <c r="AHJ743" s="5"/>
      <c r="AHK743" s="5"/>
      <c r="AHL743" s="5"/>
      <c r="AHM743" s="5"/>
      <c r="AHN743" s="5"/>
      <c r="AHO743" s="5"/>
      <c r="AHP743" s="5"/>
      <c r="AHQ743" s="5"/>
      <c r="AHR743" s="5"/>
      <c r="AHS743" s="5"/>
      <c r="AHT743" s="5"/>
      <c r="AHU743" s="5"/>
      <c r="AHV743" s="5"/>
      <c r="AHW743" s="5"/>
      <c r="AHX743" s="5"/>
      <c r="AHY743" s="5"/>
      <c r="AHZ743" s="5"/>
      <c r="AIA743" s="5"/>
      <c r="AIB743" s="5"/>
      <c r="AIC743" s="5"/>
      <c r="AID743" s="5"/>
      <c r="AIE743" s="5"/>
      <c r="AIF743" s="5"/>
      <c r="AIG743" s="5"/>
      <c r="AIH743" s="5"/>
      <c r="AII743" s="5"/>
      <c r="AIJ743" s="5"/>
      <c r="AIK743" s="5"/>
      <c r="AIL743" s="5"/>
      <c r="AIM743" s="5"/>
      <c r="AIN743" s="5"/>
      <c r="AIO743" s="5"/>
      <c r="AIP743" s="5"/>
      <c r="AIQ743" s="5"/>
      <c r="AIR743" s="5"/>
      <c r="AIS743" s="5"/>
      <c r="AIT743" s="5"/>
      <c r="AIU743" s="5"/>
      <c r="AIV743" s="5"/>
      <c r="AIW743" s="5"/>
      <c r="AIX743" s="5"/>
      <c r="AIY743" s="5"/>
      <c r="AIZ743" s="5"/>
      <c r="AJA743" s="5"/>
      <c r="AJB743" s="5"/>
      <c r="AJC743" s="5"/>
      <c r="AJD743" s="5"/>
      <c r="AJE743" s="5"/>
      <c r="AJF743" s="5"/>
      <c r="AJG743" s="5"/>
      <c r="AJH743" s="5"/>
      <c r="AJI743" s="5"/>
      <c r="AJJ743" s="5"/>
      <c r="AJK743" s="5"/>
      <c r="AJL743" s="5"/>
      <c r="AJM743" s="5"/>
      <c r="AJN743" s="5"/>
      <c r="AJO743" s="5"/>
      <c r="AJP743" s="5"/>
      <c r="AJQ743" s="5"/>
      <c r="AJR743" s="5"/>
      <c r="AJS743" s="5"/>
      <c r="AJT743" s="5"/>
      <c r="AJU743" s="5"/>
      <c r="AJV743" s="5"/>
      <c r="AJW743" s="5"/>
      <c r="AJX743" s="5"/>
      <c r="AJY743" s="5"/>
      <c r="AJZ743" s="5"/>
      <c r="AKA743" s="5"/>
      <c r="AKB743" s="5"/>
      <c r="AKC743" s="5"/>
      <c r="AKD743" s="5"/>
      <c r="AKE743" s="5"/>
      <c r="AKF743" s="5"/>
      <c r="AKG743" s="5"/>
      <c r="AKH743" s="5"/>
      <c r="AKI743" s="5"/>
      <c r="AKJ743" s="5"/>
      <c r="AKK743" s="5"/>
      <c r="AKL743" s="5"/>
      <c r="AKM743" s="5"/>
      <c r="AKN743" s="5"/>
      <c r="AKO743" s="5"/>
      <c r="AKP743" s="5"/>
      <c r="AKQ743" s="5"/>
      <c r="AKR743" s="5"/>
      <c r="AKS743" s="5"/>
      <c r="AKT743" s="5"/>
      <c r="AKU743" s="5"/>
      <c r="AKV743" s="5"/>
      <c r="AKW743" s="5"/>
      <c r="AKX743" s="5"/>
      <c r="AKY743" s="5"/>
      <c r="AKZ743" s="5"/>
      <c r="ALA743" s="5"/>
      <c r="ALB743" s="5"/>
      <c r="ALC743" s="5"/>
      <c r="ALD743" s="5"/>
      <c r="ALE743" s="5"/>
      <c r="ALF743" s="5"/>
      <c r="ALG743" s="5"/>
      <c r="ALH743" s="5"/>
      <c r="ALI743" s="5"/>
      <c r="ALJ743" s="5"/>
      <c r="ALK743" s="5"/>
      <c r="ALL743" s="5"/>
      <c r="ALM743" s="5"/>
      <c r="ALN743" s="5"/>
      <c r="ALO743" s="5"/>
      <c r="ALP743" s="5"/>
      <c r="ALQ743" s="5"/>
      <c r="ALR743" s="5"/>
      <c r="ALS743" s="5"/>
      <c r="ALT743" s="5"/>
      <c r="ALU743" s="5"/>
      <c r="ALV743" s="5"/>
      <c r="ALW743" s="5"/>
      <c r="ALX743" s="5"/>
      <c r="ALY743" s="5"/>
      <c r="ALZ743" s="5"/>
      <c r="AMA743" s="5"/>
      <c r="AMB743" s="5"/>
      <c r="AMC743" s="5"/>
      <c r="AMD743" s="5"/>
      <c r="AME743" s="5"/>
      <c r="AMF743" s="5"/>
      <c r="AMG743" s="5"/>
      <c r="AMH743" s="5"/>
      <c r="AMI743" s="5"/>
      <c r="AMJ743" s="5"/>
      <c r="AMK743" s="5"/>
      <c r="AML743" s="5"/>
      <c r="AMM743" s="5"/>
      <c r="AMN743" s="5"/>
      <c r="AMO743" s="5"/>
      <c r="AMP743" s="5"/>
      <c r="AMQ743" s="5"/>
      <c r="AMR743" s="5"/>
      <c r="AMS743" s="5"/>
      <c r="AMT743" s="5"/>
      <c r="AMU743" s="5"/>
      <c r="AMV743" s="5"/>
      <c r="AMW743" s="5"/>
      <c r="AMX743" s="5"/>
      <c r="AMY743" s="5"/>
      <c r="AMZ743" s="5"/>
      <c r="ANA743" s="5"/>
      <c r="ANB743" s="5"/>
      <c r="ANC743" s="5"/>
      <c r="AND743" s="5"/>
      <c r="ANE743" s="5"/>
      <c r="ANF743" s="5"/>
      <c r="ANG743" s="5"/>
      <c r="ANH743" s="5"/>
      <c r="ANI743" s="5"/>
      <c r="ANJ743" s="5"/>
      <c r="ANK743" s="5"/>
      <c r="ANL743" s="5"/>
      <c r="ANM743" s="5"/>
      <c r="ANN743" s="5"/>
      <c r="ANO743" s="5"/>
      <c r="ANP743" s="5"/>
      <c r="ANQ743" s="5"/>
      <c r="ANR743" s="5"/>
      <c r="ANS743" s="5"/>
      <c r="ANT743" s="5"/>
      <c r="ANU743" s="5"/>
      <c r="ANV743" s="5"/>
      <c r="ANW743" s="5"/>
      <c r="ANX743" s="5"/>
      <c r="ANY743" s="5"/>
      <c r="ANZ743" s="5"/>
      <c r="AOA743" s="5"/>
      <c r="AOB743" s="5"/>
      <c r="AOC743" s="5"/>
      <c r="AOD743" s="5"/>
      <c r="AOE743" s="5"/>
      <c r="AOF743" s="5"/>
      <c r="AOG743" s="5"/>
      <c r="AOH743" s="5"/>
      <c r="AOI743" s="5"/>
      <c r="AOJ743" s="5"/>
      <c r="AOK743" s="5"/>
      <c r="AOL743" s="5"/>
      <c r="AOM743" s="5"/>
      <c r="AON743" s="5"/>
      <c r="AOO743" s="5"/>
      <c r="AOP743" s="5"/>
      <c r="AOQ743" s="5"/>
      <c r="AOR743" s="5"/>
      <c r="AOS743" s="5"/>
      <c r="AOT743" s="5"/>
      <c r="AOU743" s="5"/>
      <c r="AOV743" s="5"/>
      <c r="AOW743" s="5"/>
      <c r="AOX743" s="5"/>
      <c r="AOY743" s="5"/>
      <c r="AOZ743" s="5"/>
      <c r="APA743" s="5"/>
      <c r="APB743" s="5"/>
      <c r="APC743" s="5"/>
      <c r="APD743" s="5"/>
      <c r="APE743" s="5"/>
      <c r="APF743" s="5"/>
      <c r="APG743" s="5"/>
      <c r="APH743" s="5"/>
      <c r="API743" s="5"/>
      <c r="APJ743" s="5"/>
      <c r="APK743" s="5"/>
      <c r="APL743" s="5"/>
      <c r="APM743" s="5"/>
      <c r="APN743" s="5"/>
      <c r="APO743" s="5"/>
      <c r="APP743" s="5"/>
      <c r="APQ743" s="5"/>
      <c r="APR743" s="5"/>
      <c r="APS743" s="5"/>
      <c r="APT743" s="5"/>
      <c r="APU743" s="5"/>
      <c r="APV743" s="5"/>
      <c r="APW743" s="5"/>
      <c r="APX743" s="5"/>
      <c r="APY743" s="5"/>
      <c r="APZ743" s="5"/>
      <c r="AQA743" s="5"/>
      <c r="AQB743" s="5"/>
      <c r="AQC743" s="5"/>
      <c r="AQD743" s="5"/>
      <c r="AQE743" s="5"/>
      <c r="AQF743" s="5"/>
      <c r="AQG743" s="5"/>
      <c r="AQH743" s="5"/>
      <c r="AQI743" s="5"/>
      <c r="AQJ743" s="5"/>
      <c r="AQK743" s="5"/>
      <c r="AQL743" s="5"/>
      <c r="AQM743" s="5"/>
      <c r="AQN743" s="5"/>
      <c r="AQO743" s="5"/>
      <c r="AQP743" s="5"/>
      <c r="AQQ743" s="5"/>
      <c r="AQR743" s="5"/>
      <c r="AQS743" s="5"/>
      <c r="AQT743" s="5"/>
      <c r="AQU743" s="5"/>
      <c r="AQV743" s="5"/>
      <c r="AQW743" s="5"/>
      <c r="AQX743" s="5"/>
      <c r="AQY743" s="5"/>
      <c r="AQZ743" s="5"/>
      <c r="ARA743" s="5"/>
      <c r="ARB743" s="5"/>
      <c r="ARC743" s="5"/>
      <c r="ARD743" s="5"/>
      <c r="ARE743" s="5"/>
      <c r="ARF743" s="5"/>
      <c r="ARG743" s="5"/>
      <c r="ARH743" s="5"/>
      <c r="ARI743" s="5"/>
      <c r="ARJ743" s="5"/>
      <c r="ARK743" s="5"/>
      <c r="ARL743" s="5"/>
      <c r="ARM743" s="5"/>
      <c r="ARN743" s="5"/>
      <c r="ARO743" s="5"/>
      <c r="ARP743" s="5"/>
      <c r="ARQ743" s="5"/>
      <c r="ARR743" s="5"/>
      <c r="ARS743" s="5"/>
      <c r="ART743" s="5"/>
      <c r="ARU743" s="5"/>
      <c r="ARV743" s="5"/>
      <c r="ARW743" s="5"/>
      <c r="ARX743" s="5"/>
      <c r="ARY743" s="5"/>
      <c r="ARZ743" s="5"/>
      <c r="ASA743" s="5"/>
      <c r="ASB743" s="5"/>
      <c r="ASC743" s="5"/>
      <c r="ASD743" s="5"/>
      <c r="ASE743" s="5"/>
      <c r="ASF743" s="5"/>
      <c r="ASG743" s="5"/>
      <c r="ASH743" s="5"/>
      <c r="ASI743" s="5"/>
      <c r="ASJ743" s="5"/>
      <c r="ASK743" s="5"/>
      <c r="ASL743" s="5"/>
      <c r="ASM743" s="5"/>
      <c r="ASN743" s="5"/>
      <c r="ASO743" s="5"/>
      <c r="ASP743" s="5"/>
      <c r="ASQ743" s="5"/>
      <c r="ASR743" s="5"/>
      <c r="ASS743" s="5"/>
      <c r="AST743" s="5"/>
      <c r="ASU743" s="5"/>
      <c r="ASV743" s="5"/>
      <c r="ASW743" s="5"/>
      <c r="ASX743" s="5"/>
      <c r="ASY743" s="5"/>
      <c r="ASZ743" s="5"/>
      <c r="ATA743" s="5"/>
      <c r="ATB743" s="5"/>
      <c r="ATC743" s="5"/>
      <c r="ATD743" s="5"/>
      <c r="ATE743" s="5"/>
      <c r="ATF743" s="5"/>
      <c r="ATG743" s="5"/>
      <c r="ATH743" s="5"/>
      <c r="ATI743" s="5"/>
      <c r="ATJ743" s="5"/>
      <c r="ATK743" s="5"/>
      <c r="ATL743" s="5"/>
      <c r="ATM743" s="5"/>
      <c r="ATN743" s="5"/>
      <c r="ATO743" s="5"/>
      <c r="ATP743" s="5"/>
      <c r="ATQ743" s="5"/>
      <c r="ATR743" s="5"/>
      <c r="ATS743" s="5"/>
      <c r="ATT743" s="5"/>
      <c r="ATU743" s="5"/>
      <c r="ATV743" s="5"/>
      <c r="ATW743" s="5"/>
      <c r="ATX743" s="5"/>
    </row>
    <row r="744" spans="1:1220" s="9" customFormat="1" ht="12.75" customHeight="1" x14ac:dyDescent="0.35">
      <c r="A744" s="76" t="s">
        <v>1094</v>
      </c>
      <c r="B744" s="99" t="s">
        <v>2646</v>
      </c>
      <c r="C744" s="76" t="s">
        <v>2647</v>
      </c>
      <c r="D744" s="142"/>
      <c r="E744" s="76"/>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c r="DX744" s="5"/>
      <c r="DY744" s="5"/>
      <c r="DZ744" s="5"/>
      <c r="EA744" s="5"/>
      <c r="EB744" s="5"/>
      <c r="EC744" s="5"/>
      <c r="ED744" s="5"/>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s="5"/>
      <c r="FG744" s="5"/>
      <c r="FH744" s="5"/>
      <c r="FI744" s="5"/>
      <c r="FJ744" s="5"/>
      <c r="FK744" s="5"/>
      <c r="FL744" s="5"/>
      <c r="FM744" s="5"/>
      <c r="FN744" s="5"/>
      <c r="FO744" s="5"/>
      <c r="FP744" s="5"/>
      <c r="FQ744" s="5"/>
      <c r="FR744" s="5"/>
      <c r="FS744" s="5"/>
      <c r="FT744" s="5"/>
      <c r="FU744" s="5"/>
      <c r="FV744" s="5"/>
      <c r="FW744" s="5"/>
      <c r="FX744" s="5"/>
      <c r="FY744" s="5"/>
      <c r="FZ744" s="5"/>
      <c r="GA744" s="5"/>
      <c r="GB744" s="5"/>
      <c r="GC744" s="5"/>
      <c r="GD744" s="5"/>
      <c r="GE744" s="5"/>
      <c r="GF744" s="5"/>
      <c r="GG744" s="5"/>
      <c r="GH744" s="5"/>
      <c r="GI744" s="5"/>
      <c r="GJ744" s="5"/>
      <c r="GK744" s="5"/>
      <c r="GL744" s="5"/>
      <c r="GM744" s="5"/>
      <c r="GN744" s="5"/>
      <c r="GO744" s="5"/>
      <c r="GP744" s="5"/>
      <c r="GQ744" s="5"/>
      <c r="GR744" s="5"/>
      <c r="GS744" s="5"/>
      <c r="GT744" s="5"/>
      <c r="GU744" s="5"/>
      <c r="GV744" s="5"/>
      <c r="GW744" s="5"/>
      <c r="GX744" s="5"/>
      <c r="GY744" s="5"/>
      <c r="GZ744" s="5"/>
      <c r="HA744" s="5"/>
      <c r="HB744" s="5"/>
      <c r="HC744" s="5"/>
      <c r="HD744" s="5"/>
      <c r="HE744" s="5"/>
      <c r="HF744" s="5"/>
      <c r="HG744" s="5"/>
      <c r="HH744" s="5"/>
      <c r="HI744" s="5"/>
      <c r="HJ744" s="5"/>
      <c r="HK744" s="5"/>
      <c r="HL744" s="5"/>
      <c r="HM744" s="5"/>
      <c r="HN744" s="5"/>
      <c r="HO744" s="5"/>
      <c r="HP744" s="5"/>
      <c r="HQ744" s="5"/>
      <c r="HR744" s="5"/>
      <c r="HS744" s="5"/>
      <c r="HT744" s="5"/>
      <c r="HU744" s="5"/>
      <c r="HV744" s="5"/>
      <c r="HW744" s="5"/>
      <c r="HX744" s="5"/>
      <c r="HY744" s="5"/>
      <c r="HZ744" s="5"/>
      <c r="IA744" s="5"/>
      <c r="IB744" s="5"/>
      <c r="IC744" s="5"/>
      <c r="ID744" s="5"/>
      <c r="IE744" s="5"/>
      <c r="IF744" s="5"/>
      <c r="IG744" s="5"/>
      <c r="IH744" s="5"/>
      <c r="II744" s="5"/>
      <c r="IJ744" s="5"/>
      <c r="IK744" s="5"/>
      <c r="IL744" s="5"/>
      <c r="IM744" s="5"/>
      <c r="IN744" s="5"/>
      <c r="IO744" s="5"/>
      <c r="IP744" s="5"/>
      <c r="IQ744" s="5"/>
      <c r="IR744" s="5"/>
      <c r="IS744" s="5"/>
      <c r="IT744" s="5"/>
      <c r="IU744" s="5"/>
      <c r="IV744" s="5"/>
      <c r="IW744" s="5"/>
      <c r="IX744" s="5"/>
      <c r="IY744" s="5"/>
      <c r="IZ744" s="5"/>
      <c r="JA744" s="5"/>
      <c r="JB744" s="5"/>
      <c r="JC744" s="5"/>
      <c r="JD744" s="5"/>
      <c r="JE744" s="5"/>
      <c r="JF744" s="5"/>
      <c r="JG744" s="5"/>
      <c r="JH744" s="5"/>
      <c r="JI744" s="5"/>
      <c r="JJ744" s="5"/>
      <c r="JK744" s="5"/>
      <c r="JL744" s="5"/>
      <c r="JM744" s="5"/>
      <c r="JN744" s="5"/>
      <c r="JO744" s="5"/>
      <c r="JP744" s="5"/>
      <c r="JQ744" s="5"/>
      <c r="JR744" s="5"/>
      <c r="JS744" s="5"/>
      <c r="JT744" s="5"/>
      <c r="JU744" s="5"/>
      <c r="JV744" s="5"/>
      <c r="JW744" s="5"/>
      <c r="JX744" s="5"/>
      <c r="JY744" s="5"/>
      <c r="JZ744" s="5"/>
      <c r="KA744" s="5"/>
      <c r="KB744" s="5"/>
      <c r="KC744" s="5"/>
      <c r="KD744" s="5"/>
      <c r="KE744" s="5"/>
      <c r="KF744" s="5"/>
      <c r="KG744" s="5"/>
      <c r="KH744" s="5"/>
      <c r="KI744" s="5"/>
      <c r="KJ744" s="5"/>
      <c r="KK744" s="5"/>
      <c r="KL744" s="5"/>
      <c r="KM744" s="5"/>
      <c r="KN744" s="5"/>
      <c r="KO744" s="5"/>
      <c r="KP744" s="5"/>
      <c r="KQ744" s="5"/>
      <c r="KR744" s="5"/>
      <c r="KS744" s="5"/>
      <c r="KT744" s="5"/>
      <c r="KU744" s="5"/>
      <c r="KV744" s="5"/>
      <c r="KW744" s="5"/>
      <c r="KX744" s="5"/>
      <c r="KY744" s="5"/>
      <c r="KZ744" s="5"/>
      <c r="LA744" s="5"/>
      <c r="LB744" s="5"/>
      <c r="LC744" s="5"/>
      <c r="LD744" s="5"/>
      <c r="LE744" s="5"/>
      <c r="LF744" s="5"/>
      <c r="LG744" s="5"/>
      <c r="LH744" s="5"/>
      <c r="LI744" s="5"/>
      <c r="LJ744" s="5"/>
      <c r="LK744" s="5"/>
      <c r="LL744" s="5"/>
      <c r="LM744" s="5"/>
      <c r="LN744" s="5"/>
      <c r="LO744" s="5"/>
      <c r="LP744" s="5"/>
      <c r="LQ744" s="5"/>
      <c r="LR744" s="5"/>
      <c r="LS744" s="5"/>
      <c r="LT744" s="5"/>
      <c r="LU744" s="5"/>
      <c r="LV744" s="5"/>
      <c r="LW744" s="5"/>
      <c r="LX744" s="5"/>
      <c r="LY744" s="5"/>
      <c r="LZ744" s="5"/>
      <c r="MA744" s="5"/>
      <c r="MB744" s="5"/>
      <c r="MC744" s="5"/>
      <c r="MD744" s="5"/>
      <c r="ME744" s="5"/>
      <c r="MF744" s="5"/>
      <c r="MG744" s="5"/>
      <c r="MH744" s="5"/>
      <c r="MI744" s="5"/>
      <c r="MJ744" s="5"/>
      <c r="MK744" s="5"/>
      <c r="ML744" s="5"/>
      <c r="MM744" s="5"/>
      <c r="MN744" s="5"/>
      <c r="MO744" s="5"/>
      <c r="MP744" s="5"/>
      <c r="MQ744" s="5"/>
      <c r="MR744" s="5"/>
      <c r="MS744" s="5"/>
      <c r="MT744" s="5"/>
      <c r="MU744" s="5"/>
      <c r="MV744" s="5"/>
      <c r="MW744" s="5"/>
      <c r="MX744" s="5"/>
      <c r="MY744" s="5"/>
      <c r="MZ744" s="5"/>
      <c r="NA744" s="5"/>
      <c r="NB744" s="5"/>
      <c r="NC744" s="5"/>
      <c r="ND744" s="5"/>
      <c r="NE744" s="5"/>
      <c r="NF744" s="5"/>
      <c r="NG744" s="5"/>
      <c r="NH744" s="5"/>
      <c r="NI744" s="5"/>
      <c r="NJ744" s="5"/>
      <c r="NK744" s="5"/>
      <c r="NL744" s="5"/>
      <c r="NM744" s="5"/>
      <c r="NN744" s="5"/>
      <c r="NO744" s="5"/>
      <c r="NP744" s="5"/>
      <c r="NQ744" s="5"/>
      <c r="NR744" s="5"/>
      <c r="NS744" s="5"/>
      <c r="NT744" s="5"/>
      <c r="NU744" s="5"/>
      <c r="NV744" s="5"/>
      <c r="NW744" s="5"/>
      <c r="NX744" s="5"/>
      <c r="NY744" s="5"/>
      <c r="NZ744" s="5"/>
      <c r="OA744" s="5"/>
      <c r="OB744" s="5"/>
      <c r="OC744" s="5"/>
      <c r="OD744" s="5"/>
      <c r="OE744" s="5"/>
      <c r="OF744" s="5"/>
      <c r="OG744" s="5"/>
      <c r="OH744" s="5"/>
      <c r="OI744" s="5"/>
      <c r="OJ744" s="5"/>
      <c r="OK744" s="5"/>
      <c r="OL744" s="5"/>
      <c r="OM744" s="5"/>
      <c r="ON744" s="5"/>
      <c r="OO744" s="5"/>
      <c r="OP744" s="5"/>
      <c r="OQ744" s="5"/>
      <c r="OR744" s="5"/>
      <c r="OS744" s="5"/>
      <c r="OT744" s="5"/>
      <c r="OU744" s="5"/>
      <c r="OV744" s="5"/>
      <c r="OW744" s="5"/>
      <c r="OX744" s="5"/>
      <c r="OY744" s="5"/>
      <c r="OZ744" s="5"/>
      <c r="PA744" s="5"/>
      <c r="PB744" s="5"/>
      <c r="PC744" s="5"/>
      <c r="PD744" s="5"/>
      <c r="PE744" s="5"/>
      <c r="PF744" s="5"/>
      <c r="PG744" s="5"/>
      <c r="PH744" s="5"/>
      <c r="PI744" s="5"/>
      <c r="PJ744" s="5"/>
      <c r="PK744" s="5"/>
      <c r="PL744" s="5"/>
      <c r="PM744" s="5"/>
      <c r="PN744" s="5"/>
      <c r="PO744" s="5"/>
      <c r="PP744" s="5"/>
      <c r="PQ744" s="5"/>
      <c r="PR744" s="5"/>
      <c r="PS744" s="5"/>
      <c r="PT744" s="5"/>
      <c r="PU744" s="5"/>
      <c r="PV744" s="5"/>
      <c r="PW744" s="5"/>
      <c r="PX744" s="5"/>
      <c r="PY744" s="5"/>
      <c r="PZ744" s="5"/>
      <c r="QA744" s="5"/>
      <c r="QB744" s="5"/>
      <c r="QC744" s="5"/>
      <c r="QD744" s="5"/>
      <c r="QE744" s="5"/>
      <c r="QF744" s="5"/>
      <c r="QG744" s="5"/>
      <c r="QH744" s="5"/>
      <c r="QI744" s="5"/>
      <c r="QJ744" s="5"/>
      <c r="QK744" s="5"/>
      <c r="QL744" s="5"/>
      <c r="QM744" s="5"/>
      <c r="QN744" s="5"/>
      <c r="QO744" s="5"/>
      <c r="QP744" s="5"/>
      <c r="QQ744" s="5"/>
      <c r="QR744" s="5"/>
      <c r="QS744" s="5"/>
      <c r="QT744" s="5"/>
      <c r="QU744" s="5"/>
      <c r="QV744" s="5"/>
      <c r="QW744" s="5"/>
      <c r="QX744" s="5"/>
      <c r="QY744" s="5"/>
      <c r="QZ744" s="5"/>
      <c r="RA744" s="5"/>
      <c r="RB744" s="5"/>
      <c r="RC744" s="5"/>
      <c r="RD744" s="5"/>
      <c r="RE744" s="5"/>
      <c r="RF744" s="5"/>
      <c r="RG744" s="5"/>
      <c r="RH744" s="5"/>
      <c r="RI744" s="5"/>
      <c r="RJ744" s="5"/>
      <c r="RK744" s="5"/>
      <c r="RL744" s="5"/>
      <c r="RM744" s="5"/>
      <c r="RN744" s="5"/>
      <c r="RO744" s="5"/>
      <c r="RP744" s="5"/>
      <c r="RQ744" s="5"/>
      <c r="RR744" s="5"/>
      <c r="RS744" s="5"/>
      <c r="RT744" s="5"/>
      <c r="RU744" s="5"/>
      <c r="RV744" s="5"/>
      <c r="RW744" s="5"/>
      <c r="RX744" s="5"/>
      <c r="RY744" s="5"/>
      <c r="RZ744" s="5"/>
      <c r="SA744" s="5"/>
      <c r="SB744" s="5"/>
      <c r="SC744" s="5"/>
      <c r="SD744" s="5"/>
      <c r="SE744" s="5"/>
      <c r="SF744" s="5"/>
      <c r="SG744" s="5"/>
      <c r="SH744" s="5"/>
      <c r="SI744" s="5"/>
      <c r="SJ744" s="5"/>
      <c r="SK744" s="5"/>
      <c r="SL744" s="5"/>
      <c r="SM744" s="5"/>
      <c r="SN744" s="5"/>
      <c r="SO744" s="5"/>
      <c r="SP744" s="5"/>
      <c r="SQ744" s="5"/>
      <c r="SR744" s="5"/>
      <c r="SS744" s="5"/>
      <c r="ST744" s="5"/>
      <c r="SU744" s="5"/>
      <c r="SV744" s="5"/>
      <c r="SW744" s="5"/>
      <c r="SX744" s="5"/>
      <c r="SY744" s="5"/>
      <c r="SZ744" s="5"/>
      <c r="TA744" s="5"/>
      <c r="TB744" s="5"/>
      <c r="TC744" s="5"/>
      <c r="TD744" s="5"/>
      <c r="TE744" s="5"/>
      <c r="TF744" s="5"/>
      <c r="TG744" s="5"/>
      <c r="TH744" s="5"/>
      <c r="TI744" s="5"/>
      <c r="TJ744" s="5"/>
      <c r="TK744" s="5"/>
      <c r="TL744" s="5"/>
      <c r="TM744" s="5"/>
      <c r="TN744" s="5"/>
      <c r="TO744" s="5"/>
      <c r="TP744" s="5"/>
      <c r="TQ744" s="5"/>
      <c r="TR744" s="5"/>
      <c r="TS744" s="5"/>
      <c r="TT744" s="5"/>
      <c r="TU744" s="5"/>
      <c r="TV744" s="5"/>
      <c r="TW744" s="5"/>
      <c r="TX744" s="5"/>
      <c r="TY744" s="5"/>
      <c r="TZ744" s="5"/>
      <c r="UA744" s="5"/>
      <c r="UB744" s="5"/>
      <c r="UC744" s="5"/>
      <c r="UD744" s="5"/>
      <c r="UE744" s="5"/>
      <c r="UF744" s="5"/>
      <c r="UG744" s="5"/>
      <c r="UH744" s="5"/>
      <c r="UI744" s="5"/>
      <c r="UJ744" s="5"/>
      <c r="UK744" s="5"/>
      <c r="UL744" s="5"/>
      <c r="UM744" s="5"/>
      <c r="UN744" s="5"/>
      <c r="UO744" s="5"/>
      <c r="UP744" s="5"/>
      <c r="UQ744" s="5"/>
      <c r="UR744" s="5"/>
      <c r="US744" s="5"/>
      <c r="UT744" s="5"/>
      <c r="UU744" s="5"/>
      <c r="UV744" s="5"/>
      <c r="UW744" s="5"/>
      <c r="UX744" s="5"/>
      <c r="UY744" s="5"/>
      <c r="UZ744" s="5"/>
      <c r="VA744" s="5"/>
      <c r="VB744" s="5"/>
      <c r="VC744" s="5"/>
      <c r="VD744" s="5"/>
      <c r="VE744" s="5"/>
      <c r="VF744" s="5"/>
      <c r="VG744" s="5"/>
      <c r="VH744" s="5"/>
      <c r="VI744" s="5"/>
      <c r="VJ744" s="5"/>
      <c r="VK744" s="5"/>
      <c r="VL744" s="5"/>
      <c r="VM744" s="5"/>
      <c r="VN744" s="5"/>
      <c r="VO744" s="5"/>
      <c r="VP744" s="5"/>
      <c r="VQ744" s="5"/>
      <c r="VR744" s="5"/>
      <c r="VS744" s="5"/>
      <c r="VT744" s="5"/>
      <c r="VU744" s="5"/>
      <c r="VV744" s="5"/>
      <c r="VW744" s="5"/>
      <c r="VX744" s="5"/>
      <c r="VY744" s="5"/>
      <c r="VZ744" s="5"/>
      <c r="WA744" s="5"/>
      <c r="WB744" s="5"/>
      <c r="WC744" s="5"/>
      <c r="WD744" s="5"/>
      <c r="WE744" s="5"/>
      <c r="WF744" s="5"/>
      <c r="WG744" s="5"/>
      <c r="WH744" s="5"/>
      <c r="WI744" s="5"/>
      <c r="WJ744" s="5"/>
      <c r="WK744" s="5"/>
      <c r="WL744" s="5"/>
      <c r="WM744" s="5"/>
      <c r="WN744" s="5"/>
      <c r="WO744" s="5"/>
      <c r="WP744" s="5"/>
      <c r="WQ744" s="5"/>
      <c r="WR744" s="5"/>
      <c r="WS744" s="5"/>
      <c r="WT744" s="5"/>
      <c r="WU744" s="5"/>
      <c r="WV744" s="5"/>
      <c r="WW744" s="5"/>
      <c r="WX744" s="5"/>
      <c r="WY744" s="5"/>
      <c r="WZ744" s="5"/>
      <c r="XA744" s="5"/>
      <c r="XB744" s="5"/>
      <c r="XC744" s="5"/>
      <c r="XD744" s="5"/>
      <c r="XE744" s="5"/>
      <c r="XF744" s="5"/>
      <c r="XG744" s="5"/>
      <c r="XH744" s="5"/>
      <c r="XI744" s="5"/>
      <c r="XJ744" s="5"/>
      <c r="XK744" s="5"/>
      <c r="XL744" s="5"/>
      <c r="XM744" s="5"/>
      <c r="XN744" s="5"/>
      <c r="XO744" s="5"/>
      <c r="XP744" s="5"/>
      <c r="XQ744" s="5"/>
      <c r="XR744" s="5"/>
      <c r="XS744" s="5"/>
      <c r="XT744" s="5"/>
      <c r="XU744" s="5"/>
      <c r="XV744" s="5"/>
      <c r="XW744" s="5"/>
      <c r="XX744" s="5"/>
      <c r="XY744" s="5"/>
      <c r="XZ744" s="5"/>
      <c r="YA744" s="5"/>
      <c r="YB744" s="5"/>
      <c r="YC744" s="5"/>
      <c r="YD744" s="5"/>
      <c r="YE744" s="5"/>
      <c r="YF744" s="5"/>
      <c r="YG744" s="5"/>
      <c r="YH744" s="5"/>
      <c r="YI744" s="5"/>
      <c r="YJ744" s="5"/>
      <c r="YK744" s="5"/>
      <c r="YL744" s="5"/>
      <c r="YM744" s="5"/>
      <c r="YN744" s="5"/>
      <c r="YO744" s="5"/>
      <c r="YP744" s="5"/>
      <c r="YQ744" s="5"/>
      <c r="YR744" s="5"/>
      <c r="YS744" s="5"/>
      <c r="YT744" s="5"/>
      <c r="YU744" s="5"/>
      <c r="YV744" s="5"/>
      <c r="YW744" s="5"/>
      <c r="YX744" s="5"/>
      <c r="YY744" s="5"/>
      <c r="YZ744" s="5"/>
      <c r="ZA744" s="5"/>
      <c r="ZB744" s="5"/>
      <c r="ZC744" s="5"/>
      <c r="ZD744" s="5"/>
      <c r="ZE744" s="5"/>
      <c r="ZF744" s="5"/>
      <c r="ZG744" s="5"/>
      <c r="ZH744" s="5"/>
      <c r="ZI744" s="5"/>
      <c r="ZJ744" s="5"/>
      <c r="ZK744" s="5"/>
      <c r="ZL744" s="5"/>
      <c r="ZM744" s="5"/>
      <c r="ZN744" s="5"/>
      <c r="ZO744" s="5"/>
      <c r="ZP744" s="5"/>
      <c r="ZQ744" s="5"/>
      <c r="ZR744" s="5"/>
      <c r="ZS744" s="5"/>
      <c r="ZT744" s="5"/>
      <c r="ZU744" s="5"/>
      <c r="ZV744" s="5"/>
      <c r="ZW744" s="5"/>
      <c r="ZX744" s="5"/>
      <c r="ZY744" s="5"/>
      <c r="ZZ744" s="5"/>
      <c r="AAA744" s="5"/>
      <c r="AAB744" s="5"/>
      <c r="AAC744" s="5"/>
      <c r="AAD744" s="5"/>
      <c r="AAE744" s="5"/>
      <c r="AAF744" s="5"/>
      <c r="AAG744" s="5"/>
      <c r="AAH744" s="5"/>
      <c r="AAI744" s="5"/>
      <c r="AAJ744" s="5"/>
      <c r="AAK744" s="5"/>
      <c r="AAL744" s="5"/>
      <c r="AAM744" s="5"/>
      <c r="AAN744" s="5"/>
      <c r="AAO744" s="5"/>
      <c r="AAP744" s="5"/>
      <c r="AAQ744" s="5"/>
      <c r="AAR744" s="5"/>
      <c r="AAS744" s="5"/>
      <c r="AAT744" s="5"/>
      <c r="AAU744" s="5"/>
      <c r="AAV744" s="5"/>
      <c r="AAW744" s="5"/>
      <c r="AAX744" s="5"/>
      <c r="AAY744" s="5"/>
      <c r="AAZ744" s="5"/>
      <c r="ABA744" s="5"/>
      <c r="ABB744" s="5"/>
      <c r="ABC744" s="5"/>
      <c r="ABD744" s="5"/>
      <c r="ABE744" s="5"/>
      <c r="ABF744" s="5"/>
      <c r="ABG744" s="5"/>
      <c r="ABH744" s="5"/>
      <c r="ABI744" s="5"/>
      <c r="ABJ744" s="5"/>
      <c r="ABK744" s="5"/>
      <c r="ABL744" s="5"/>
      <c r="ABM744" s="5"/>
      <c r="ABN744" s="5"/>
      <c r="ABO744" s="5"/>
      <c r="ABP744" s="5"/>
      <c r="ABQ744" s="5"/>
      <c r="ABR744" s="5"/>
      <c r="ABS744" s="5"/>
      <c r="ABT744" s="5"/>
      <c r="ABU744" s="5"/>
      <c r="ABV744" s="5"/>
      <c r="ABW744" s="5"/>
      <c r="ABX744" s="5"/>
      <c r="ABY744" s="5"/>
      <c r="ABZ744" s="5"/>
      <c r="ACA744" s="5"/>
      <c r="ACB744" s="5"/>
      <c r="ACC744" s="5"/>
      <c r="ACD744" s="5"/>
      <c r="ACE744" s="5"/>
      <c r="ACF744" s="5"/>
      <c r="ACG744" s="5"/>
      <c r="ACH744" s="5"/>
      <c r="ACI744" s="5"/>
      <c r="ACJ744" s="5"/>
      <c r="ACK744" s="5"/>
      <c r="ACL744" s="5"/>
      <c r="ACM744" s="5"/>
      <c r="ACN744" s="5"/>
      <c r="ACO744" s="5"/>
      <c r="ACP744" s="5"/>
      <c r="ACQ744" s="5"/>
      <c r="ACR744" s="5"/>
      <c r="ACS744" s="5"/>
      <c r="ACT744" s="5"/>
      <c r="ACU744" s="5"/>
      <c r="ACV744" s="5"/>
      <c r="ACW744" s="5"/>
      <c r="ACX744" s="5"/>
      <c r="ACY744" s="5"/>
      <c r="ACZ744" s="5"/>
      <c r="ADA744" s="5"/>
      <c r="ADB744" s="5"/>
      <c r="ADC744" s="5"/>
      <c r="ADD744" s="5"/>
      <c r="ADE744" s="5"/>
      <c r="ADF744" s="5"/>
      <c r="ADG744" s="5"/>
      <c r="ADH744" s="5"/>
      <c r="ADI744" s="5"/>
      <c r="ADJ744" s="5"/>
      <c r="ADK744" s="5"/>
      <c r="ADL744" s="5"/>
      <c r="ADM744" s="5"/>
      <c r="ADN744" s="5"/>
      <c r="ADO744" s="5"/>
      <c r="ADP744" s="5"/>
      <c r="ADQ744" s="5"/>
      <c r="ADR744" s="5"/>
      <c r="ADS744" s="5"/>
      <c r="ADT744" s="5"/>
      <c r="ADU744" s="5"/>
      <c r="ADV744" s="5"/>
      <c r="ADW744" s="5"/>
      <c r="ADX744" s="5"/>
      <c r="ADY744" s="5"/>
      <c r="ADZ744" s="5"/>
      <c r="AEA744" s="5"/>
      <c r="AEB744" s="5"/>
      <c r="AEC744" s="5"/>
      <c r="AED744" s="5"/>
      <c r="AEE744" s="5"/>
      <c r="AEF744" s="5"/>
      <c r="AEG744" s="5"/>
      <c r="AEH744" s="5"/>
      <c r="AEI744" s="5"/>
      <c r="AEJ744" s="5"/>
      <c r="AEK744" s="5"/>
      <c r="AEL744" s="5"/>
      <c r="AEM744" s="5"/>
      <c r="AEN744" s="5"/>
      <c r="AEO744" s="5"/>
      <c r="AEP744" s="5"/>
      <c r="AEQ744" s="5"/>
      <c r="AER744" s="5"/>
      <c r="AES744" s="5"/>
      <c r="AET744" s="5"/>
      <c r="AEU744" s="5"/>
      <c r="AEV744" s="5"/>
      <c r="AEW744" s="5"/>
      <c r="AEX744" s="5"/>
      <c r="AEY744" s="5"/>
      <c r="AEZ744" s="5"/>
      <c r="AFA744" s="5"/>
      <c r="AFB744" s="5"/>
      <c r="AFC744" s="5"/>
      <c r="AFD744" s="5"/>
      <c r="AFE744" s="5"/>
      <c r="AFF744" s="5"/>
      <c r="AFG744" s="5"/>
      <c r="AFH744" s="5"/>
      <c r="AFI744" s="5"/>
      <c r="AFJ744" s="5"/>
      <c r="AFK744" s="5"/>
      <c r="AFL744" s="5"/>
      <c r="AFM744" s="5"/>
      <c r="AFN744" s="5"/>
      <c r="AFO744" s="5"/>
      <c r="AFP744" s="5"/>
      <c r="AFQ744" s="5"/>
      <c r="AFR744" s="5"/>
      <c r="AFS744" s="5"/>
      <c r="AFT744" s="5"/>
      <c r="AFU744" s="5"/>
      <c r="AFV744" s="5"/>
      <c r="AFW744" s="5"/>
      <c r="AFX744" s="5"/>
      <c r="AFY744" s="5"/>
      <c r="AFZ744" s="5"/>
      <c r="AGA744" s="5"/>
      <c r="AGB744" s="5"/>
      <c r="AGC744" s="5"/>
      <c r="AGD744" s="5"/>
      <c r="AGE744" s="5"/>
      <c r="AGF744" s="5"/>
      <c r="AGG744" s="5"/>
      <c r="AGH744" s="5"/>
      <c r="AGI744" s="5"/>
      <c r="AGJ744" s="5"/>
      <c r="AGK744" s="5"/>
      <c r="AGL744" s="5"/>
      <c r="AGM744" s="5"/>
      <c r="AGN744" s="5"/>
      <c r="AGO744" s="5"/>
      <c r="AGP744" s="5"/>
      <c r="AGQ744" s="5"/>
      <c r="AGR744" s="5"/>
      <c r="AGS744" s="5"/>
      <c r="AGT744" s="5"/>
      <c r="AGU744" s="5"/>
      <c r="AGV744" s="5"/>
      <c r="AGW744" s="5"/>
      <c r="AGX744" s="5"/>
      <c r="AGY744" s="5"/>
      <c r="AGZ744" s="5"/>
      <c r="AHA744" s="5"/>
      <c r="AHB744" s="5"/>
      <c r="AHC744" s="5"/>
      <c r="AHD744" s="5"/>
      <c r="AHE744" s="5"/>
      <c r="AHF744" s="5"/>
      <c r="AHG744" s="5"/>
      <c r="AHH744" s="5"/>
      <c r="AHI744" s="5"/>
      <c r="AHJ744" s="5"/>
      <c r="AHK744" s="5"/>
      <c r="AHL744" s="5"/>
      <c r="AHM744" s="5"/>
      <c r="AHN744" s="5"/>
      <c r="AHO744" s="5"/>
      <c r="AHP744" s="5"/>
      <c r="AHQ744" s="5"/>
      <c r="AHR744" s="5"/>
      <c r="AHS744" s="5"/>
      <c r="AHT744" s="5"/>
      <c r="AHU744" s="5"/>
      <c r="AHV744" s="5"/>
      <c r="AHW744" s="5"/>
      <c r="AHX744" s="5"/>
      <c r="AHY744" s="5"/>
      <c r="AHZ744" s="5"/>
      <c r="AIA744" s="5"/>
      <c r="AIB744" s="5"/>
      <c r="AIC744" s="5"/>
      <c r="AID744" s="5"/>
      <c r="AIE744" s="5"/>
      <c r="AIF744" s="5"/>
      <c r="AIG744" s="5"/>
      <c r="AIH744" s="5"/>
      <c r="AII744" s="5"/>
      <c r="AIJ744" s="5"/>
      <c r="AIK744" s="5"/>
      <c r="AIL744" s="5"/>
      <c r="AIM744" s="5"/>
      <c r="AIN744" s="5"/>
      <c r="AIO744" s="5"/>
      <c r="AIP744" s="5"/>
      <c r="AIQ744" s="5"/>
      <c r="AIR744" s="5"/>
      <c r="AIS744" s="5"/>
      <c r="AIT744" s="5"/>
      <c r="AIU744" s="5"/>
      <c r="AIV744" s="5"/>
      <c r="AIW744" s="5"/>
      <c r="AIX744" s="5"/>
      <c r="AIY744" s="5"/>
      <c r="AIZ744" s="5"/>
      <c r="AJA744" s="5"/>
      <c r="AJB744" s="5"/>
      <c r="AJC744" s="5"/>
      <c r="AJD744" s="5"/>
      <c r="AJE744" s="5"/>
      <c r="AJF744" s="5"/>
      <c r="AJG744" s="5"/>
      <c r="AJH744" s="5"/>
      <c r="AJI744" s="5"/>
      <c r="AJJ744" s="5"/>
      <c r="AJK744" s="5"/>
      <c r="AJL744" s="5"/>
      <c r="AJM744" s="5"/>
      <c r="AJN744" s="5"/>
      <c r="AJO744" s="5"/>
      <c r="AJP744" s="5"/>
      <c r="AJQ744" s="5"/>
      <c r="AJR744" s="5"/>
      <c r="AJS744" s="5"/>
      <c r="AJT744" s="5"/>
      <c r="AJU744" s="5"/>
      <c r="AJV744" s="5"/>
      <c r="AJW744" s="5"/>
      <c r="AJX744" s="5"/>
      <c r="AJY744" s="5"/>
      <c r="AJZ744" s="5"/>
      <c r="AKA744" s="5"/>
      <c r="AKB744" s="5"/>
      <c r="AKC744" s="5"/>
      <c r="AKD744" s="5"/>
      <c r="AKE744" s="5"/>
      <c r="AKF744" s="5"/>
      <c r="AKG744" s="5"/>
      <c r="AKH744" s="5"/>
      <c r="AKI744" s="5"/>
      <c r="AKJ744" s="5"/>
      <c r="AKK744" s="5"/>
      <c r="AKL744" s="5"/>
      <c r="AKM744" s="5"/>
      <c r="AKN744" s="5"/>
      <c r="AKO744" s="5"/>
      <c r="AKP744" s="5"/>
      <c r="AKQ744" s="5"/>
      <c r="AKR744" s="5"/>
      <c r="AKS744" s="5"/>
      <c r="AKT744" s="5"/>
      <c r="AKU744" s="5"/>
      <c r="AKV744" s="5"/>
      <c r="AKW744" s="5"/>
      <c r="AKX744" s="5"/>
      <c r="AKY744" s="5"/>
      <c r="AKZ744" s="5"/>
      <c r="ALA744" s="5"/>
      <c r="ALB744" s="5"/>
      <c r="ALC744" s="5"/>
      <c r="ALD744" s="5"/>
      <c r="ALE744" s="5"/>
      <c r="ALF744" s="5"/>
      <c r="ALG744" s="5"/>
      <c r="ALH744" s="5"/>
      <c r="ALI744" s="5"/>
      <c r="ALJ744" s="5"/>
      <c r="ALK744" s="5"/>
      <c r="ALL744" s="5"/>
      <c r="ALM744" s="5"/>
      <c r="ALN744" s="5"/>
      <c r="ALO744" s="5"/>
      <c r="ALP744" s="5"/>
      <c r="ALQ744" s="5"/>
      <c r="ALR744" s="5"/>
      <c r="ALS744" s="5"/>
      <c r="ALT744" s="5"/>
      <c r="ALU744" s="5"/>
      <c r="ALV744" s="5"/>
      <c r="ALW744" s="5"/>
      <c r="ALX744" s="5"/>
      <c r="ALY744" s="5"/>
      <c r="ALZ744" s="5"/>
      <c r="AMA744" s="5"/>
      <c r="AMB744" s="5"/>
      <c r="AMC744" s="5"/>
      <c r="AMD744" s="5"/>
      <c r="AME744" s="5"/>
      <c r="AMF744" s="5"/>
      <c r="AMG744" s="5"/>
      <c r="AMH744" s="5"/>
      <c r="AMI744" s="5"/>
      <c r="AMJ744" s="5"/>
      <c r="AMK744" s="5"/>
      <c r="AML744" s="5"/>
      <c r="AMM744" s="5"/>
      <c r="AMN744" s="5"/>
      <c r="AMO744" s="5"/>
      <c r="AMP744" s="5"/>
      <c r="AMQ744" s="5"/>
      <c r="AMR744" s="5"/>
      <c r="AMS744" s="5"/>
      <c r="AMT744" s="5"/>
      <c r="AMU744" s="5"/>
      <c r="AMV744" s="5"/>
      <c r="AMW744" s="5"/>
      <c r="AMX744" s="5"/>
      <c r="AMY744" s="5"/>
      <c r="AMZ744" s="5"/>
      <c r="ANA744" s="5"/>
      <c r="ANB744" s="5"/>
      <c r="ANC744" s="5"/>
      <c r="AND744" s="5"/>
      <c r="ANE744" s="5"/>
      <c r="ANF744" s="5"/>
      <c r="ANG744" s="5"/>
      <c r="ANH744" s="5"/>
      <c r="ANI744" s="5"/>
      <c r="ANJ744" s="5"/>
      <c r="ANK744" s="5"/>
      <c r="ANL744" s="5"/>
      <c r="ANM744" s="5"/>
      <c r="ANN744" s="5"/>
      <c r="ANO744" s="5"/>
      <c r="ANP744" s="5"/>
      <c r="ANQ744" s="5"/>
      <c r="ANR744" s="5"/>
      <c r="ANS744" s="5"/>
      <c r="ANT744" s="5"/>
      <c r="ANU744" s="5"/>
      <c r="ANV744" s="5"/>
      <c r="ANW744" s="5"/>
      <c r="ANX744" s="5"/>
      <c r="ANY744" s="5"/>
      <c r="ANZ744" s="5"/>
      <c r="AOA744" s="5"/>
      <c r="AOB744" s="5"/>
      <c r="AOC744" s="5"/>
      <c r="AOD744" s="5"/>
      <c r="AOE744" s="5"/>
      <c r="AOF744" s="5"/>
      <c r="AOG744" s="5"/>
      <c r="AOH744" s="5"/>
      <c r="AOI744" s="5"/>
      <c r="AOJ744" s="5"/>
      <c r="AOK744" s="5"/>
      <c r="AOL744" s="5"/>
      <c r="AOM744" s="5"/>
      <c r="AON744" s="5"/>
      <c r="AOO744" s="5"/>
      <c r="AOP744" s="5"/>
      <c r="AOQ744" s="5"/>
      <c r="AOR744" s="5"/>
      <c r="AOS744" s="5"/>
      <c r="AOT744" s="5"/>
      <c r="AOU744" s="5"/>
      <c r="AOV744" s="5"/>
      <c r="AOW744" s="5"/>
      <c r="AOX744" s="5"/>
      <c r="AOY744" s="5"/>
      <c r="AOZ744" s="5"/>
      <c r="APA744" s="5"/>
      <c r="APB744" s="5"/>
      <c r="APC744" s="5"/>
      <c r="APD744" s="5"/>
      <c r="APE744" s="5"/>
      <c r="APF744" s="5"/>
      <c r="APG744" s="5"/>
      <c r="APH744" s="5"/>
      <c r="API744" s="5"/>
      <c r="APJ744" s="5"/>
      <c r="APK744" s="5"/>
      <c r="APL744" s="5"/>
      <c r="APM744" s="5"/>
      <c r="APN744" s="5"/>
      <c r="APO744" s="5"/>
      <c r="APP744" s="5"/>
      <c r="APQ744" s="5"/>
      <c r="APR744" s="5"/>
      <c r="APS744" s="5"/>
      <c r="APT744" s="5"/>
      <c r="APU744" s="5"/>
      <c r="APV744" s="5"/>
      <c r="APW744" s="5"/>
      <c r="APX744" s="5"/>
      <c r="APY744" s="5"/>
      <c r="APZ744" s="5"/>
      <c r="AQA744" s="5"/>
      <c r="AQB744" s="5"/>
      <c r="AQC744" s="5"/>
      <c r="AQD744" s="5"/>
      <c r="AQE744" s="5"/>
      <c r="AQF744" s="5"/>
      <c r="AQG744" s="5"/>
      <c r="AQH744" s="5"/>
      <c r="AQI744" s="5"/>
      <c r="AQJ744" s="5"/>
      <c r="AQK744" s="5"/>
      <c r="AQL744" s="5"/>
      <c r="AQM744" s="5"/>
      <c r="AQN744" s="5"/>
      <c r="AQO744" s="5"/>
      <c r="AQP744" s="5"/>
      <c r="AQQ744" s="5"/>
      <c r="AQR744" s="5"/>
      <c r="AQS744" s="5"/>
      <c r="AQT744" s="5"/>
      <c r="AQU744" s="5"/>
      <c r="AQV744" s="5"/>
      <c r="AQW744" s="5"/>
      <c r="AQX744" s="5"/>
      <c r="AQY744" s="5"/>
      <c r="AQZ744" s="5"/>
      <c r="ARA744" s="5"/>
      <c r="ARB744" s="5"/>
      <c r="ARC744" s="5"/>
      <c r="ARD744" s="5"/>
      <c r="ARE744" s="5"/>
      <c r="ARF744" s="5"/>
      <c r="ARG744" s="5"/>
      <c r="ARH744" s="5"/>
      <c r="ARI744" s="5"/>
      <c r="ARJ744" s="5"/>
      <c r="ARK744" s="5"/>
      <c r="ARL744" s="5"/>
      <c r="ARM744" s="5"/>
      <c r="ARN744" s="5"/>
      <c r="ARO744" s="5"/>
      <c r="ARP744" s="5"/>
      <c r="ARQ744" s="5"/>
      <c r="ARR744" s="5"/>
      <c r="ARS744" s="5"/>
      <c r="ART744" s="5"/>
      <c r="ARU744" s="5"/>
      <c r="ARV744" s="5"/>
      <c r="ARW744" s="5"/>
      <c r="ARX744" s="5"/>
      <c r="ARY744" s="5"/>
      <c r="ARZ744" s="5"/>
      <c r="ASA744" s="5"/>
      <c r="ASB744" s="5"/>
      <c r="ASC744" s="5"/>
      <c r="ASD744" s="5"/>
      <c r="ASE744" s="5"/>
      <c r="ASF744" s="5"/>
      <c r="ASG744" s="5"/>
      <c r="ASH744" s="5"/>
      <c r="ASI744" s="5"/>
      <c r="ASJ744" s="5"/>
      <c r="ASK744" s="5"/>
      <c r="ASL744" s="5"/>
      <c r="ASM744" s="5"/>
      <c r="ASN744" s="5"/>
      <c r="ASO744" s="5"/>
      <c r="ASP744" s="5"/>
      <c r="ASQ744" s="5"/>
      <c r="ASR744" s="5"/>
      <c r="ASS744" s="5"/>
      <c r="AST744" s="5"/>
      <c r="ASU744" s="5"/>
      <c r="ASV744" s="5"/>
      <c r="ASW744" s="5"/>
      <c r="ASX744" s="5"/>
      <c r="ASY744" s="5"/>
      <c r="ASZ744" s="5"/>
      <c r="ATA744" s="5"/>
      <c r="ATB744" s="5"/>
      <c r="ATC744" s="5"/>
      <c r="ATD744" s="5"/>
      <c r="ATE744" s="5"/>
      <c r="ATF744" s="5"/>
      <c r="ATG744" s="5"/>
      <c r="ATH744" s="5"/>
      <c r="ATI744" s="5"/>
      <c r="ATJ744" s="5"/>
      <c r="ATK744" s="5"/>
      <c r="ATL744" s="5"/>
      <c r="ATM744" s="5"/>
      <c r="ATN744" s="5"/>
      <c r="ATO744" s="5"/>
      <c r="ATP744" s="5"/>
      <c r="ATQ744" s="5"/>
      <c r="ATR744" s="5"/>
      <c r="ATS744" s="5"/>
      <c r="ATT744" s="5"/>
      <c r="ATU744" s="5"/>
      <c r="ATV744" s="5"/>
      <c r="ATW744" s="5"/>
      <c r="ATX744" s="5"/>
    </row>
    <row r="745" spans="1:1220" s="9" customFormat="1" ht="12.75" customHeight="1" x14ac:dyDescent="0.35">
      <c r="A745" s="76" t="s">
        <v>1094</v>
      </c>
      <c r="B745" s="99" t="s">
        <v>2648</v>
      </c>
      <c r="C745" s="76" t="s">
        <v>2649</v>
      </c>
      <c r="D745" s="142"/>
      <c r="E745" s="76"/>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c r="DX745" s="5"/>
      <c r="DY745" s="5"/>
      <c r="DZ745" s="5"/>
      <c r="EA745" s="5"/>
      <c r="EB745" s="5"/>
      <c r="EC745" s="5"/>
      <c r="ED745" s="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s="5"/>
      <c r="FG745" s="5"/>
      <c r="FH745" s="5"/>
      <c r="FI745" s="5"/>
      <c r="FJ745" s="5"/>
      <c r="FK745" s="5"/>
      <c r="FL745" s="5"/>
      <c r="FM745" s="5"/>
      <c r="FN745" s="5"/>
      <c r="FO745" s="5"/>
      <c r="FP745" s="5"/>
      <c r="FQ745" s="5"/>
      <c r="FR745" s="5"/>
      <c r="FS745" s="5"/>
      <c r="FT745" s="5"/>
      <c r="FU745" s="5"/>
      <c r="FV745" s="5"/>
      <c r="FW745" s="5"/>
      <c r="FX745" s="5"/>
      <c r="FY745" s="5"/>
      <c r="FZ745" s="5"/>
      <c r="GA745" s="5"/>
      <c r="GB745" s="5"/>
      <c r="GC745" s="5"/>
      <c r="GD745" s="5"/>
      <c r="GE745" s="5"/>
      <c r="GF745" s="5"/>
      <c r="GG745" s="5"/>
      <c r="GH745" s="5"/>
      <c r="GI745" s="5"/>
      <c r="GJ745" s="5"/>
      <c r="GK745" s="5"/>
      <c r="GL745" s="5"/>
      <c r="GM745" s="5"/>
      <c r="GN745" s="5"/>
      <c r="GO745" s="5"/>
      <c r="GP745" s="5"/>
      <c r="GQ745" s="5"/>
      <c r="GR745" s="5"/>
      <c r="GS745" s="5"/>
      <c r="GT745" s="5"/>
      <c r="GU745" s="5"/>
      <c r="GV745" s="5"/>
      <c r="GW745" s="5"/>
      <c r="GX745" s="5"/>
      <c r="GY745" s="5"/>
      <c r="GZ745" s="5"/>
      <c r="HA745" s="5"/>
      <c r="HB745" s="5"/>
      <c r="HC745" s="5"/>
      <c r="HD745" s="5"/>
      <c r="HE745" s="5"/>
      <c r="HF745" s="5"/>
      <c r="HG745" s="5"/>
      <c r="HH745" s="5"/>
      <c r="HI745" s="5"/>
      <c r="HJ745" s="5"/>
      <c r="HK745" s="5"/>
      <c r="HL745" s="5"/>
      <c r="HM745" s="5"/>
      <c r="HN745" s="5"/>
      <c r="HO745" s="5"/>
      <c r="HP745" s="5"/>
      <c r="HQ745" s="5"/>
      <c r="HR745" s="5"/>
      <c r="HS745" s="5"/>
      <c r="HT745" s="5"/>
      <c r="HU745" s="5"/>
      <c r="HV745" s="5"/>
      <c r="HW745" s="5"/>
      <c r="HX745" s="5"/>
      <c r="HY745" s="5"/>
      <c r="HZ745" s="5"/>
      <c r="IA745" s="5"/>
      <c r="IB745" s="5"/>
      <c r="IC745" s="5"/>
      <c r="ID745" s="5"/>
      <c r="IE745" s="5"/>
      <c r="IF745" s="5"/>
      <c r="IG745" s="5"/>
      <c r="IH745" s="5"/>
      <c r="II745" s="5"/>
      <c r="IJ745" s="5"/>
      <c r="IK745" s="5"/>
      <c r="IL745" s="5"/>
      <c r="IM745" s="5"/>
      <c r="IN745" s="5"/>
      <c r="IO745" s="5"/>
      <c r="IP745" s="5"/>
      <c r="IQ745" s="5"/>
      <c r="IR745" s="5"/>
      <c r="IS745" s="5"/>
      <c r="IT745" s="5"/>
      <c r="IU745" s="5"/>
      <c r="IV745" s="5"/>
      <c r="IW745" s="5"/>
      <c r="IX745" s="5"/>
      <c r="IY745" s="5"/>
      <c r="IZ745" s="5"/>
      <c r="JA745" s="5"/>
      <c r="JB745" s="5"/>
      <c r="JC745" s="5"/>
      <c r="JD745" s="5"/>
      <c r="JE745" s="5"/>
      <c r="JF745" s="5"/>
      <c r="JG745" s="5"/>
      <c r="JH745" s="5"/>
      <c r="JI745" s="5"/>
      <c r="JJ745" s="5"/>
      <c r="JK745" s="5"/>
      <c r="JL745" s="5"/>
      <c r="JM745" s="5"/>
      <c r="JN745" s="5"/>
      <c r="JO745" s="5"/>
      <c r="JP745" s="5"/>
      <c r="JQ745" s="5"/>
      <c r="JR745" s="5"/>
      <c r="JS745" s="5"/>
      <c r="JT745" s="5"/>
      <c r="JU745" s="5"/>
      <c r="JV745" s="5"/>
      <c r="JW745" s="5"/>
      <c r="JX745" s="5"/>
      <c r="JY745" s="5"/>
      <c r="JZ745" s="5"/>
      <c r="KA745" s="5"/>
      <c r="KB745" s="5"/>
      <c r="KC745" s="5"/>
      <c r="KD745" s="5"/>
      <c r="KE745" s="5"/>
      <c r="KF745" s="5"/>
      <c r="KG745" s="5"/>
      <c r="KH745" s="5"/>
      <c r="KI745" s="5"/>
      <c r="KJ745" s="5"/>
      <c r="KK745" s="5"/>
      <c r="KL745" s="5"/>
      <c r="KM745" s="5"/>
      <c r="KN745" s="5"/>
      <c r="KO745" s="5"/>
      <c r="KP745" s="5"/>
      <c r="KQ745" s="5"/>
      <c r="KR745" s="5"/>
      <c r="KS745" s="5"/>
      <c r="KT745" s="5"/>
      <c r="KU745" s="5"/>
      <c r="KV745" s="5"/>
      <c r="KW745" s="5"/>
      <c r="KX745" s="5"/>
      <c r="KY745" s="5"/>
      <c r="KZ745" s="5"/>
      <c r="LA745" s="5"/>
      <c r="LB745" s="5"/>
      <c r="LC745" s="5"/>
      <c r="LD745" s="5"/>
      <c r="LE745" s="5"/>
      <c r="LF745" s="5"/>
      <c r="LG745" s="5"/>
      <c r="LH745" s="5"/>
      <c r="LI745" s="5"/>
      <c r="LJ745" s="5"/>
      <c r="LK745" s="5"/>
      <c r="LL745" s="5"/>
      <c r="LM745" s="5"/>
      <c r="LN745" s="5"/>
      <c r="LO745" s="5"/>
      <c r="LP745" s="5"/>
      <c r="LQ745" s="5"/>
      <c r="LR745" s="5"/>
      <c r="LS745" s="5"/>
      <c r="LT745" s="5"/>
      <c r="LU745" s="5"/>
      <c r="LV745" s="5"/>
      <c r="LW745" s="5"/>
      <c r="LX745" s="5"/>
      <c r="LY745" s="5"/>
      <c r="LZ745" s="5"/>
      <c r="MA745" s="5"/>
      <c r="MB745" s="5"/>
      <c r="MC745" s="5"/>
      <c r="MD745" s="5"/>
      <c r="ME745" s="5"/>
      <c r="MF745" s="5"/>
      <c r="MG745" s="5"/>
      <c r="MH745" s="5"/>
      <c r="MI745" s="5"/>
      <c r="MJ745" s="5"/>
      <c r="MK745" s="5"/>
      <c r="ML745" s="5"/>
      <c r="MM745" s="5"/>
      <c r="MN745" s="5"/>
      <c r="MO745" s="5"/>
      <c r="MP745" s="5"/>
      <c r="MQ745" s="5"/>
      <c r="MR745" s="5"/>
      <c r="MS745" s="5"/>
      <c r="MT745" s="5"/>
      <c r="MU745" s="5"/>
      <c r="MV745" s="5"/>
      <c r="MW745" s="5"/>
      <c r="MX745" s="5"/>
      <c r="MY745" s="5"/>
      <c r="MZ745" s="5"/>
      <c r="NA745" s="5"/>
      <c r="NB745" s="5"/>
      <c r="NC745" s="5"/>
      <c r="ND745" s="5"/>
      <c r="NE745" s="5"/>
      <c r="NF745" s="5"/>
      <c r="NG745" s="5"/>
      <c r="NH745" s="5"/>
      <c r="NI745" s="5"/>
      <c r="NJ745" s="5"/>
      <c r="NK745" s="5"/>
      <c r="NL745" s="5"/>
      <c r="NM745" s="5"/>
      <c r="NN745" s="5"/>
      <c r="NO745" s="5"/>
      <c r="NP745" s="5"/>
      <c r="NQ745" s="5"/>
      <c r="NR745" s="5"/>
      <c r="NS745" s="5"/>
      <c r="NT745" s="5"/>
      <c r="NU745" s="5"/>
      <c r="NV745" s="5"/>
      <c r="NW745" s="5"/>
      <c r="NX745" s="5"/>
      <c r="NY745" s="5"/>
      <c r="NZ745" s="5"/>
      <c r="OA745" s="5"/>
      <c r="OB745" s="5"/>
      <c r="OC745" s="5"/>
      <c r="OD745" s="5"/>
      <c r="OE745" s="5"/>
      <c r="OF745" s="5"/>
      <c r="OG745" s="5"/>
      <c r="OH745" s="5"/>
      <c r="OI745" s="5"/>
      <c r="OJ745" s="5"/>
      <c r="OK745" s="5"/>
      <c r="OL745" s="5"/>
      <c r="OM745" s="5"/>
      <c r="ON745" s="5"/>
      <c r="OO745" s="5"/>
      <c r="OP745" s="5"/>
      <c r="OQ745" s="5"/>
      <c r="OR745" s="5"/>
      <c r="OS745" s="5"/>
      <c r="OT745" s="5"/>
      <c r="OU745" s="5"/>
      <c r="OV745" s="5"/>
      <c r="OW745" s="5"/>
      <c r="OX745" s="5"/>
      <c r="OY745" s="5"/>
      <c r="OZ745" s="5"/>
      <c r="PA745" s="5"/>
      <c r="PB745" s="5"/>
      <c r="PC745" s="5"/>
      <c r="PD745" s="5"/>
      <c r="PE745" s="5"/>
      <c r="PF745" s="5"/>
      <c r="PG745" s="5"/>
      <c r="PH745" s="5"/>
      <c r="PI745" s="5"/>
      <c r="PJ745" s="5"/>
      <c r="PK745" s="5"/>
      <c r="PL745" s="5"/>
      <c r="PM745" s="5"/>
      <c r="PN745" s="5"/>
      <c r="PO745" s="5"/>
      <c r="PP745" s="5"/>
      <c r="PQ745" s="5"/>
      <c r="PR745" s="5"/>
      <c r="PS745" s="5"/>
      <c r="PT745" s="5"/>
      <c r="PU745" s="5"/>
      <c r="PV745" s="5"/>
      <c r="PW745" s="5"/>
      <c r="PX745" s="5"/>
      <c r="PY745" s="5"/>
      <c r="PZ745" s="5"/>
      <c r="QA745" s="5"/>
      <c r="QB745" s="5"/>
      <c r="QC745" s="5"/>
      <c r="QD745" s="5"/>
      <c r="QE745" s="5"/>
      <c r="QF745" s="5"/>
      <c r="QG745" s="5"/>
      <c r="QH745" s="5"/>
      <c r="QI745" s="5"/>
      <c r="QJ745" s="5"/>
      <c r="QK745" s="5"/>
      <c r="QL745" s="5"/>
      <c r="QM745" s="5"/>
      <c r="QN745" s="5"/>
      <c r="QO745" s="5"/>
      <c r="QP745" s="5"/>
      <c r="QQ745" s="5"/>
      <c r="QR745" s="5"/>
      <c r="QS745" s="5"/>
      <c r="QT745" s="5"/>
      <c r="QU745" s="5"/>
      <c r="QV745" s="5"/>
      <c r="QW745" s="5"/>
      <c r="QX745" s="5"/>
      <c r="QY745" s="5"/>
      <c r="QZ745" s="5"/>
      <c r="RA745" s="5"/>
      <c r="RB745" s="5"/>
      <c r="RC745" s="5"/>
      <c r="RD745" s="5"/>
      <c r="RE745" s="5"/>
      <c r="RF745" s="5"/>
      <c r="RG745" s="5"/>
      <c r="RH745" s="5"/>
      <c r="RI745" s="5"/>
      <c r="RJ745" s="5"/>
      <c r="RK745" s="5"/>
      <c r="RL745" s="5"/>
      <c r="RM745" s="5"/>
      <c r="RN745" s="5"/>
      <c r="RO745" s="5"/>
      <c r="RP745" s="5"/>
      <c r="RQ745" s="5"/>
      <c r="RR745" s="5"/>
      <c r="RS745" s="5"/>
      <c r="RT745" s="5"/>
      <c r="RU745" s="5"/>
      <c r="RV745" s="5"/>
      <c r="RW745" s="5"/>
      <c r="RX745" s="5"/>
      <c r="RY745" s="5"/>
      <c r="RZ745" s="5"/>
      <c r="SA745" s="5"/>
      <c r="SB745" s="5"/>
      <c r="SC745" s="5"/>
      <c r="SD745" s="5"/>
      <c r="SE745" s="5"/>
      <c r="SF745" s="5"/>
      <c r="SG745" s="5"/>
      <c r="SH745" s="5"/>
      <c r="SI745" s="5"/>
      <c r="SJ745" s="5"/>
      <c r="SK745" s="5"/>
      <c r="SL745" s="5"/>
      <c r="SM745" s="5"/>
      <c r="SN745" s="5"/>
      <c r="SO745" s="5"/>
      <c r="SP745" s="5"/>
      <c r="SQ745" s="5"/>
      <c r="SR745" s="5"/>
      <c r="SS745" s="5"/>
      <c r="ST745" s="5"/>
      <c r="SU745" s="5"/>
      <c r="SV745" s="5"/>
      <c r="SW745" s="5"/>
      <c r="SX745" s="5"/>
      <c r="SY745" s="5"/>
      <c r="SZ745" s="5"/>
      <c r="TA745" s="5"/>
      <c r="TB745" s="5"/>
      <c r="TC745" s="5"/>
      <c r="TD745" s="5"/>
      <c r="TE745" s="5"/>
      <c r="TF745" s="5"/>
      <c r="TG745" s="5"/>
      <c r="TH745" s="5"/>
      <c r="TI745" s="5"/>
      <c r="TJ745" s="5"/>
      <c r="TK745" s="5"/>
      <c r="TL745" s="5"/>
      <c r="TM745" s="5"/>
      <c r="TN745" s="5"/>
      <c r="TO745" s="5"/>
      <c r="TP745" s="5"/>
      <c r="TQ745" s="5"/>
      <c r="TR745" s="5"/>
      <c r="TS745" s="5"/>
      <c r="TT745" s="5"/>
      <c r="TU745" s="5"/>
      <c r="TV745" s="5"/>
      <c r="TW745" s="5"/>
      <c r="TX745" s="5"/>
      <c r="TY745" s="5"/>
      <c r="TZ745" s="5"/>
      <c r="UA745" s="5"/>
      <c r="UB745" s="5"/>
      <c r="UC745" s="5"/>
      <c r="UD745" s="5"/>
      <c r="UE745" s="5"/>
      <c r="UF745" s="5"/>
      <c r="UG745" s="5"/>
      <c r="UH745" s="5"/>
      <c r="UI745" s="5"/>
      <c r="UJ745" s="5"/>
      <c r="UK745" s="5"/>
      <c r="UL745" s="5"/>
      <c r="UM745" s="5"/>
      <c r="UN745" s="5"/>
      <c r="UO745" s="5"/>
      <c r="UP745" s="5"/>
      <c r="UQ745" s="5"/>
      <c r="UR745" s="5"/>
      <c r="US745" s="5"/>
      <c r="UT745" s="5"/>
      <c r="UU745" s="5"/>
      <c r="UV745" s="5"/>
      <c r="UW745" s="5"/>
      <c r="UX745" s="5"/>
      <c r="UY745" s="5"/>
      <c r="UZ745" s="5"/>
      <c r="VA745" s="5"/>
      <c r="VB745" s="5"/>
      <c r="VC745" s="5"/>
      <c r="VD745" s="5"/>
      <c r="VE745" s="5"/>
      <c r="VF745" s="5"/>
      <c r="VG745" s="5"/>
      <c r="VH745" s="5"/>
      <c r="VI745" s="5"/>
      <c r="VJ745" s="5"/>
      <c r="VK745" s="5"/>
      <c r="VL745" s="5"/>
      <c r="VM745" s="5"/>
      <c r="VN745" s="5"/>
      <c r="VO745" s="5"/>
      <c r="VP745" s="5"/>
      <c r="VQ745" s="5"/>
      <c r="VR745" s="5"/>
      <c r="VS745" s="5"/>
      <c r="VT745" s="5"/>
      <c r="VU745" s="5"/>
      <c r="VV745" s="5"/>
      <c r="VW745" s="5"/>
      <c r="VX745" s="5"/>
      <c r="VY745" s="5"/>
      <c r="VZ745" s="5"/>
      <c r="WA745" s="5"/>
      <c r="WB745" s="5"/>
      <c r="WC745" s="5"/>
      <c r="WD745" s="5"/>
      <c r="WE745" s="5"/>
      <c r="WF745" s="5"/>
      <c r="WG745" s="5"/>
      <c r="WH745" s="5"/>
      <c r="WI745" s="5"/>
      <c r="WJ745" s="5"/>
      <c r="WK745" s="5"/>
      <c r="WL745" s="5"/>
      <c r="WM745" s="5"/>
      <c r="WN745" s="5"/>
      <c r="WO745" s="5"/>
      <c r="WP745" s="5"/>
      <c r="WQ745" s="5"/>
      <c r="WR745" s="5"/>
      <c r="WS745" s="5"/>
      <c r="WT745" s="5"/>
      <c r="WU745" s="5"/>
      <c r="WV745" s="5"/>
      <c r="WW745" s="5"/>
      <c r="WX745" s="5"/>
      <c r="WY745" s="5"/>
      <c r="WZ745" s="5"/>
      <c r="XA745" s="5"/>
      <c r="XB745" s="5"/>
      <c r="XC745" s="5"/>
      <c r="XD745" s="5"/>
      <c r="XE745" s="5"/>
      <c r="XF745" s="5"/>
      <c r="XG745" s="5"/>
      <c r="XH745" s="5"/>
      <c r="XI745" s="5"/>
      <c r="XJ745" s="5"/>
      <c r="XK745" s="5"/>
      <c r="XL745" s="5"/>
      <c r="XM745" s="5"/>
      <c r="XN745" s="5"/>
      <c r="XO745" s="5"/>
      <c r="XP745" s="5"/>
      <c r="XQ745" s="5"/>
      <c r="XR745" s="5"/>
      <c r="XS745" s="5"/>
      <c r="XT745" s="5"/>
      <c r="XU745" s="5"/>
      <c r="XV745" s="5"/>
      <c r="XW745" s="5"/>
      <c r="XX745" s="5"/>
      <c r="XY745" s="5"/>
      <c r="XZ745" s="5"/>
      <c r="YA745" s="5"/>
      <c r="YB745" s="5"/>
      <c r="YC745" s="5"/>
      <c r="YD745" s="5"/>
      <c r="YE745" s="5"/>
      <c r="YF745" s="5"/>
      <c r="YG745" s="5"/>
      <c r="YH745" s="5"/>
      <c r="YI745" s="5"/>
      <c r="YJ745" s="5"/>
      <c r="YK745" s="5"/>
      <c r="YL745" s="5"/>
      <c r="YM745" s="5"/>
      <c r="YN745" s="5"/>
      <c r="YO745" s="5"/>
      <c r="YP745" s="5"/>
      <c r="YQ745" s="5"/>
      <c r="YR745" s="5"/>
      <c r="YS745" s="5"/>
      <c r="YT745" s="5"/>
      <c r="YU745" s="5"/>
      <c r="YV745" s="5"/>
      <c r="YW745" s="5"/>
      <c r="YX745" s="5"/>
      <c r="YY745" s="5"/>
      <c r="YZ745" s="5"/>
      <c r="ZA745" s="5"/>
      <c r="ZB745" s="5"/>
      <c r="ZC745" s="5"/>
      <c r="ZD745" s="5"/>
      <c r="ZE745" s="5"/>
      <c r="ZF745" s="5"/>
      <c r="ZG745" s="5"/>
      <c r="ZH745" s="5"/>
      <c r="ZI745" s="5"/>
      <c r="ZJ745" s="5"/>
      <c r="ZK745" s="5"/>
      <c r="ZL745" s="5"/>
      <c r="ZM745" s="5"/>
      <c r="ZN745" s="5"/>
      <c r="ZO745" s="5"/>
      <c r="ZP745" s="5"/>
      <c r="ZQ745" s="5"/>
      <c r="ZR745" s="5"/>
      <c r="ZS745" s="5"/>
      <c r="ZT745" s="5"/>
      <c r="ZU745" s="5"/>
      <c r="ZV745" s="5"/>
      <c r="ZW745" s="5"/>
      <c r="ZX745" s="5"/>
      <c r="ZY745" s="5"/>
      <c r="ZZ745" s="5"/>
      <c r="AAA745" s="5"/>
      <c r="AAB745" s="5"/>
      <c r="AAC745" s="5"/>
      <c r="AAD745" s="5"/>
      <c r="AAE745" s="5"/>
      <c r="AAF745" s="5"/>
      <c r="AAG745" s="5"/>
      <c r="AAH745" s="5"/>
      <c r="AAI745" s="5"/>
      <c r="AAJ745" s="5"/>
      <c r="AAK745" s="5"/>
      <c r="AAL745" s="5"/>
      <c r="AAM745" s="5"/>
      <c r="AAN745" s="5"/>
      <c r="AAO745" s="5"/>
      <c r="AAP745" s="5"/>
      <c r="AAQ745" s="5"/>
      <c r="AAR745" s="5"/>
      <c r="AAS745" s="5"/>
      <c r="AAT745" s="5"/>
      <c r="AAU745" s="5"/>
      <c r="AAV745" s="5"/>
      <c r="AAW745" s="5"/>
      <c r="AAX745" s="5"/>
      <c r="AAY745" s="5"/>
      <c r="AAZ745" s="5"/>
      <c r="ABA745" s="5"/>
      <c r="ABB745" s="5"/>
      <c r="ABC745" s="5"/>
      <c r="ABD745" s="5"/>
      <c r="ABE745" s="5"/>
      <c r="ABF745" s="5"/>
      <c r="ABG745" s="5"/>
      <c r="ABH745" s="5"/>
      <c r="ABI745" s="5"/>
      <c r="ABJ745" s="5"/>
      <c r="ABK745" s="5"/>
      <c r="ABL745" s="5"/>
      <c r="ABM745" s="5"/>
      <c r="ABN745" s="5"/>
      <c r="ABO745" s="5"/>
      <c r="ABP745" s="5"/>
      <c r="ABQ745" s="5"/>
      <c r="ABR745" s="5"/>
      <c r="ABS745" s="5"/>
      <c r="ABT745" s="5"/>
      <c r="ABU745" s="5"/>
      <c r="ABV745" s="5"/>
      <c r="ABW745" s="5"/>
      <c r="ABX745" s="5"/>
      <c r="ABY745" s="5"/>
      <c r="ABZ745" s="5"/>
      <c r="ACA745" s="5"/>
      <c r="ACB745" s="5"/>
      <c r="ACC745" s="5"/>
      <c r="ACD745" s="5"/>
      <c r="ACE745" s="5"/>
      <c r="ACF745" s="5"/>
      <c r="ACG745" s="5"/>
      <c r="ACH745" s="5"/>
      <c r="ACI745" s="5"/>
      <c r="ACJ745" s="5"/>
      <c r="ACK745" s="5"/>
      <c r="ACL745" s="5"/>
      <c r="ACM745" s="5"/>
      <c r="ACN745" s="5"/>
      <c r="ACO745" s="5"/>
      <c r="ACP745" s="5"/>
      <c r="ACQ745" s="5"/>
      <c r="ACR745" s="5"/>
      <c r="ACS745" s="5"/>
      <c r="ACT745" s="5"/>
      <c r="ACU745" s="5"/>
      <c r="ACV745" s="5"/>
      <c r="ACW745" s="5"/>
      <c r="ACX745" s="5"/>
      <c r="ACY745" s="5"/>
      <c r="ACZ745" s="5"/>
      <c r="ADA745" s="5"/>
      <c r="ADB745" s="5"/>
      <c r="ADC745" s="5"/>
      <c r="ADD745" s="5"/>
      <c r="ADE745" s="5"/>
      <c r="ADF745" s="5"/>
      <c r="ADG745" s="5"/>
      <c r="ADH745" s="5"/>
      <c r="ADI745" s="5"/>
      <c r="ADJ745" s="5"/>
      <c r="ADK745" s="5"/>
      <c r="ADL745" s="5"/>
      <c r="ADM745" s="5"/>
      <c r="ADN745" s="5"/>
      <c r="ADO745" s="5"/>
      <c r="ADP745" s="5"/>
      <c r="ADQ745" s="5"/>
      <c r="ADR745" s="5"/>
      <c r="ADS745" s="5"/>
      <c r="ADT745" s="5"/>
      <c r="ADU745" s="5"/>
      <c r="ADV745" s="5"/>
      <c r="ADW745" s="5"/>
      <c r="ADX745" s="5"/>
      <c r="ADY745" s="5"/>
      <c r="ADZ745" s="5"/>
      <c r="AEA745" s="5"/>
      <c r="AEB745" s="5"/>
      <c r="AEC745" s="5"/>
      <c r="AED745" s="5"/>
      <c r="AEE745" s="5"/>
      <c r="AEF745" s="5"/>
      <c r="AEG745" s="5"/>
      <c r="AEH745" s="5"/>
      <c r="AEI745" s="5"/>
      <c r="AEJ745" s="5"/>
      <c r="AEK745" s="5"/>
      <c r="AEL745" s="5"/>
      <c r="AEM745" s="5"/>
      <c r="AEN745" s="5"/>
      <c r="AEO745" s="5"/>
      <c r="AEP745" s="5"/>
      <c r="AEQ745" s="5"/>
      <c r="AER745" s="5"/>
      <c r="AES745" s="5"/>
      <c r="AET745" s="5"/>
      <c r="AEU745" s="5"/>
      <c r="AEV745" s="5"/>
      <c r="AEW745" s="5"/>
      <c r="AEX745" s="5"/>
      <c r="AEY745" s="5"/>
      <c r="AEZ745" s="5"/>
      <c r="AFA745" s="5"/>
      <c r="AFB745" s="5"/>
      <c r="AFC745" s="5"/>
      <c r="AFD745" s="5"/>
      <c r="AFE745" s="5"/>
      <c r="AFF745" s="5"/>
      <c r="AFG745" s="5"/>
      <c r="AFH745" s="5"/>
      <c r="AFI745" s="5"/>
      <c r="AFJ745" s="5"/>
      <c r="AFK745" s="5"/>
      <c r="AFL745" s="5"/>
      <c r="AFM745" s="5"/>
      <c r="AFN745" s="5"/>
      <c r="AFO745" s="5"/>
      <c r="AFP745" s="5"/>
      <c r="AFQ745" s="5"/>
      <c r="AFR745" s="5"/>
      <c r="AFS745" s="5"/>
      <c r="AFT745" s="5"/>
      <c r="AFU745" s="5"/>
      <c r="AFV745" s="5"/>
      <c r="AFW745" s="5"/>
      <c r="AFX745" s="5"/>
      <c r="AFY745" s="5"/>
      <c r="AFZ745" s="5"/>
      <c r="AGA745" s="5"/>
      <c r="AGB745" s="5"/>
      <c r="AGC745" s="5"/>
      <c r="AGD745" s="5"/>
      <c r="AGE745" s="5"/>
      <c r="AGF745" s="5"/>
      <c r="AGG745" s="5"/>
      <c r="AGH745" s="5"/>
      <c r="AGI745" s="5"/>
      <c r="AGJ745" s="5"/>
      <c r="AGK745" s="5"/>
      <c r="AGL745" s="5"/>
      <c r="AGM745" s="5"/>
      <c r="AGN745" s="5"/>
      <c r="AGO745" s="5"/>
      <c r="AGP745" s="5"/>
      <c r="AGQ745" s="5"/>
      <c r="AGR745" s="5"/>
      <c r="AGS745" s="5"/>
      <c r="AGT745" s="5"/>
      <c r="AGU745" s="5"/>
      <c r="AGV745" s="5"/>
      <c r="AGW745" s="5"/>
      <c r="AGX745" s="5"/>
      <c r="AGY745" s="5"/>
      <c r="AGZ745" s="5"/>
      <c r="AHA745" s="5"/>
      <c r="AHB745" s="5"/>
      <c r="AHC745" s="5"/>
      <c r="AHD745" s="5"/>
      <c r="AHE745" s="5"/>
      <c r="AHF745" s="5"/>
      <c r="AHG745" s="5"/>
      <c r="AHH745" s="5"/>
      <c r="AHI745" s="5"/>
      <c r="AHJ745" s="5"/>
      <c r="AHK745" s="5"/>
      <c r="AHL745" s="5"/>
      <c r="AHM745" s="5"/>
      <c r="AHN745" s="5"/>
      <c r="AHO745" s="5"/>
      <c r="AHP745" s="5"/>
      <c r="AHQ745" s="5"/>
      <c r="AHR745" s="5"/>
      <c r="AHS745" s="5"/>
      <c r="AHT745" s="5"/>
      <c r="AHU745" s="5"/>
      <c r="AHV745" s="5"/>
      <c r="AHW745" s="5"/>
      <c r="AHX745" s="5"/>
      <c r="AHY745" s="5"/>
      <c r="AHZ745" s="5"/>
      <c r="AIA745" s="5"/>
      <c r="AIB745" s="5"/>
      <c r="AIC745" s="5"/>
      <c r="AID745" s="5"/>
      <c r="AIE745" s="5"/>
      <c r="AIF745" s="5"/>
      <c r="AIG745" s="5"/>
      <c r="AIH745" s="5"/>
      <c r="AII745" s="5"/>
      <c r="AIJ745" s="5"/>
      <c r="AIK745" s="5"/>
      <c r="AIL745" s="5"/>
      <c r="AIM745" s="5"/>
      <c r="AIN745" s="5"/>
      <c r="AIO745" s="5"/>
      <c r="AIP745" s="5"/>
      <c r="AIQ745" s="5"/>
      <c r="AIR745" s="5"/>
      <c r="AIS745" s="5"/>
      <c r="AIT745" s="5"/>
      <c r="AIU745" s="5"/>
      <c r="AIV745" s="5"/>
      <c r="AIW745" s="5"/>
      <c r="AIX745" s="5"/>
      <c r="AIY745" s="5"/>
      <c r="AIZ745" s="5"/>
      <c r="AJA745" s="5"/>
      <c r="AJB745" s="5"/>
      <c r="AJC745" s="5"/>
      <c r="AJD745" s="5"/>
      <c r="AJE745" s="5"/>
      <c r="AJF745" s="5"/>
      <c r="AJG745" s="5"/>
      <c r="AJH745" s="5"/>
      <c r="AJI745" s="5"/>
      <c r="AJJ745" s="5"/>
      <c r="AJK745" s="5"/>
      <c r="AJL745" s="5"/>
      <c r="AJM745" s="5"/>
      <c r="AJN745" s="5"/>
      <c r="AJO745" s="5"/>
      <c r="AJP745" s="5"/>
      <c r="AJQ745" s="5"/>
      <c r="AJR745" s="5"/>
      <c r="AJS745" s="5"/>
      <c r="AJT745" s="5"/>
      <c r="AJU745" s="5"/>
      <c r="AJV745" s="5"/>
      <c r="AJW745" s="5"/>
      <c r="AJX745" s="5"/>
      <c r="AJY745" s="5"/>
      <c r="AJZ745" s="5"/>
      <c r="AKA745" s="5"/>
      <c r="AKB745" s="5"/>
      <c r="AKC745" s="5"/>
      <c r="AKD745" s="5"/>
      <c r="AKE745" s="5"/>
      <c r="AKF745" s="5"/>
      <c r="AKG745" s="5"/>
      <c r="AKH745" s="5"/>
      <c r="AKI745" s="5"/>
      <c r="AKJ745" s="5"/>
      <c r="AKK745" s="5"/>
      <c r="AKL745" s="5"/>
      <c r="AKM745" s="5"/>
      <c r="AKN745" s="5"/>
      <c r="AKO745" s="5"/>
      <c r="AKP745" s="5"/>
      <c r="AKQ745" s="5"/>
      <c r="AKR745" s="5"/>
      <c r="AKS745" s="5"/>
      <c r="AKT745" s="5"/>
      <c r="AKU745" s="5"/>
      <c r="AKV745" s="5"/>
      <c r="AKW745" s="5"/>
      <c r="AKX745" s="5"/>
      <c r="AKY745" s="5"/>
      <c r="AKZ745" s="5"/>
      <c r="ALA745" s="5"/>
      <c r="ALB745" s="5"/>
      <c r="ALC745" s="5"/>
      <c r="ALD745" s="5"/>
      <c r="ALE745" s="5"/>
      <c r="ALF745" s="5"/>
      <c r="ALG745" s="5"/>
      <c r="ALH745" s="5"/>
      <c r="ALI745" s="5"/>
      <c r="ALJ745" s="5"/>
      <c r="ALK745" s="5"/>
      <c r="ALL745" s="5"/>
      <c r="ALM745" s="5"/>
      <c r="ALN745" s="5"/>
      <c r="ALO745" s="5"/>
      <c r="ALP745" s="5"/>
      <c r="ALQ745" s="5"/>
      <c r="ALR745" s="5"/>
      <c r="ALS745" s="5"/>
      <c r="ALT745" s="5"/>
      <c r="ALU745" s="5"/>
      <c r="ALV745" s="5"/>
      <c r="ALW745" s="5"/>
      <c r="ALX745" s="5"/>
      <c r="ALY745" s="5"/>
      <c r="ALZ745" s="5"/>
      <c r="AMA745" s="5"/>
      <c r="AMB745" s="5"/>
      <c r="AMC745" s="5"/>
      <c r="AMD745" s="5"/>
      <c r="AME745" s="5"/>
      <c r="AMF745" s="5"/>
      <c r="AMG745" s="5"/>
      <c r="AMH745" s="5"/>
      <c r="AMI745" s="5"/>
      <c r="AMJ745" s="5"/>
      <c r="AMK745" s="5"/>
      <c r="AML745" s="5"/>
      <c r="AMM745" s="5"/>
      <c r="AMN745" s="5"/>
      <c r="AMO745" s="5"/>
      <c r="AMP745" s="5"/>
      <c r="AMQ745" s="5"/>
      <c r="AMR745" s="5"/>
      <c r="AMS745" s="5"/>
      <c r="AMT745" s="5"/>
      <c r="AMU745" s="5"/>
      <c r="AMV745" s="5"/>
      <c r="AMW745" s="5"/>
      <c r="AMX745" s="5"/>
      <c r="AMY745" s="5"/>
      <c r="AMZ745" s="5"/>
      <c r="ANA745" s="5"/>
      <c r="ANB745" s="5"/>
      <c r="ANC745" s="5"/>
      <c r="AND745" s="5"/>
      <c r="ANE745" s="5"/>
      <c r="ANF745" s="5"/>
      <c r="ANG745" s="5"/>
      <c r="ANH745" s="5"/>
      <c r="ANI745" s="5"/>
      <c r="ANJ745" s="5"/>
      <c r="ANK745" s="5"/>
      <c r="ANL745" s="5"/>
      <c r="ANM745" s="5"/>
      <c r="ANN745" s="5"/>
      <c r="ANO745" s="5"/>
      <c r="ANP745" s="5"/>
      <c r="ANQ745" s="5"/>
      <c r="ANR745" s="5"/>
      <c r="ANS745" s="5"/>
      <c r="ANT745" s="5"/>
      <c r="ANU745" s="5"/>
      <c r="ANV745" s="5"/>
      <c r="ANW745" s="5"/>
      <c r="ANX745" s="5"/>
      <c r="ANY745" s="5"/>
      <c r="ANZ745" s="5"/>
      <c r="AOA745" s="5"/>
      <c r="AOB745" s="5"/>
      <c r="AOC745" s="5"/>
      <c r="AOD745" s="5"/>
      <c r="AOE745" s="5"/>
      <c r="AOF745" s="5"/>
      <c r="AOG745" s="5"/>
      <c r="AOH745" s="5"/>
      <c r="AOI745" s="5"/>
      <c r="AOJ745" s="5"/>
      <c r="AOK745" s="5"/>
      <c r="AOL745" s="5"/>
      <c r="AOM745" s="5"/>
      <c r="AON745" s="5"/>
      <c r="AOO745" s="5"/>
      <c r="AOP745" s="5"/>
      <c r="AOQ745" s="5"/>
      <c r="AOR745" s="5"/>
      <c r="AOS745" s="5"/>
      <c r="AOT745" s="5"/>
      <c r="AOU745" s="5"/>
      <c r="AOV745" s="5"/>
      <c r="AOW745" s="5"/>
      <c r="AOX745" s="5"/>
      <c r="AOY745" s="5"/>
      <c r="AOZ745" s="5"/>
      <c r="APA745" s="5"/>
      <c r="APB745" s="5"/>
      <c r="APC745" s="5"/>
      <c r="APD745" s="5"/>
      <c r="APE745" s="5"/>
      <c r="APF745" s="5"/>
      <c r="APG745" s="5"/>
      <c r="APH745" s="5"/>
      <c r="API745" s="5"/>
      <c r="APJ745" s="5"/>
      <c r="APK745" s="5"/>
      <c r="APL745" s="5"/>
      <c r="APM745" s="5"/>
      <c r="APN745" s="5"/>
      <c r="APO745" s="5"/>
      <c r="APP745" s="5"/>
      <c r="APQ745" s="5"/>
      <c r="APR745" s="5"/>
      <c r="APS745" s="5"/>
      <c r="APT745" s="5"/>
      <c r="APU745" s="5"/>
      <c r="APV745" s="5"/>
      <c r="APW745" s="5"/>
      <c r="APX745" s="5"/>
      <c r="APY745" s="5"/>
      <c r="APZ745" s="5"/>
      <c r="AQA745" s="5"/>
      <c r="AQB745" s="5"/>
      <c r="AQC745" s="5"/>
      <c r="AQD745" s="5"/>
      <c r="AQE745" s="5"/>
      <c r="AQF745" s="5"/>
      <c r="AQG745" s="5"/>
      <c r="AQH745" s="5"/>
      <c r="AQI745" s="5"/>
      <c r="AQJ745" s="5"/>
      <c r="AQK745" s="5"/>
      <c r="AQL745" s="5"/>
      <c r="AQM745" s="5"/>
      <c r="AQN745" s="5"/>
      <c r="AQO745" s="5"/>
      <c r="AQP745" s="5"/>
      <c r="AQQ745" s="5"/>
      <c r="AQR745" s="5"/>
      <c r="AQS745" s="5"/>
      <c r="AQT745" s="5"/>
      <c r="AQU745" s="5"/>
      <c r="AQV745" s="5"/>
      <c r="AQW745" s="5"/>
      <c r="AQX745" s="5"/>
      <c r="AQY745" s="5"/>
      <c r="AQZ745" s="5"/>
      <c r="ARA745" s="5"/>
      <c r="ARB745" s="5"/>
      <c r="ARC745" s="5"/>
      <c r="ARD745" s="5"/>
      <c r="ARE745" s="5"/>
      <c r="ARF745" s="5"/>
      <c r="ARG745" s="5"/>
      <c r="ARH745" s="5"/>
      <c r="ARI745" s="5"/>
      <c r="ARJ745" s="5"/>
      <c r="ARK745" s="5"/>
      <c r="ARL745" s="5"/>
      <c r="ARM745" s="5"/>
      <c r="ARN745" s="5"/>
      <c r="ARO745" s="5"/>
      <c r="ARP745" s="5"/>
      <c r="ARQ745" s="5"/>
      <c r="ARR745" s="5"/>
      <c r="ARS745" s="5"/>
      <c r="ART745" s="5"/>
      <c r="ARU745" s="5"/>
      <c r="ARV745" s="5"/>
      <c r="ARW745" s="5"/>
      <c r="ARX745" s="5"/>
      <c r="ARY745" s="5"/>
      <c r="ARZ745" s="5"/>
      <c r="ASA745" s="5"/>
      <c r="ASB745" s="5"/>
      <c r="ASC745" s="5"/>
      <c r="ASD745" s="5"/>
      <c r="ASE745" s="5"/>
      <c r="ASF745" s="5"/>
      <c r="ASG745" s="5"/>
      <c r="ASH745" s="5"/>
      <c r="ASI745" s="5"/>
      <c r="ASJ745" s="5"/>
      <c r="ASK745" s="5"/>
      <c r="ASL745" s="5"/>
      <c r="ASM745" s="5"/>
      <c r="ASN745" s="5"/>
      <c r="ASO745" s="5"/>
      <c r="ASP745" s="5"/>
      <c r="ASQ745" s="5"/>
      <c r="ASR745" s="5"/>
      <c r="ASS745" s="5"/>
      <c r="AST745" s="5"/>
      <c r="ASU745" s="5"/>
      <c r="ASV745" s="5"/>
      <c r="ASW745" s="5"/>
      <c r="ASX745" s="5"/>
      <c r="ASY745" s="5"/>
      <c r="ASZ745" s="5"/>
      <c r="ATA745" s="5"/>
      <c r="ATB745" s="5"/>
      <c r="ATC745" s="5"/>
      <c r="ATD745" s="5"/>
      <c r="ATE745" s="5"/>
      <c r="ATF745" s="5"/>
      <c r="ATG745" s="5"/>
      <c r="ATH745" s="5"/>
      <c r="ATI745" s="5"/>
      <c r="ATJ745" s="5"/>
      <c r="ATK745" s="5"/>
      <c r="ATL745" s="5"/>
      <c r="ATM745" s="5"/>
      <c r="ATN745" s="5"/>
      <c r="ATO745" s="5"/>
      <c r="ATP745" s="5"/>
      <c r="ATQ745" s="5"/>
      <c r="ATR745" s="5"/>
      <c r="ATS745" s="5"/>
      <c r="ATT745" s="5"/>
      <c r="ATU745" s="5"/>
      <c r="ATV745" s="5"/>
      <c r="ATW745" s="5"/>
      <c r="ATX745" s="5"/>
    </row>
    <row r="746" spans="1:1220" s="71" customFormat="1" ht="12.75" customHeight="1" x14ac:dyDescent="0.35">
      <c r="A746" s="80" t="s">
        <v>112</v>
      </c>
      <c r="B746" s="101" t="s">
        <v>2650</v>
      </c>
      <c r="C746" s="80" t="s">
        <v>2651</v>
      </c>
      <c r="D746" s="145" t="s">
        <v>2652</v>
      </c>
      <c r="E746" s="81"/>
    </row>
    <row r="747" spans="1:1220" s="71" customFormat="1" ht="12.75" customHeight="1" x14ac:dyDescent="0.35">
      <c r="A747" s="80" t="s">
        <v>112</v>
      </c>
      <c r="B747" s="101" t="s">
        <v>2653</v>
      </c>
      <c r="C747" s="80" t="s">
        <v>2654</v>
      </c>
      <c r="D747" s="145" t="s">
        <v>2655</v>
      </c>
      <c r="E747" s="81"/>
    </row>
    <row r="748" spans="1:1220" s="71" customFormat="1" ht="12.75" customHeight="1" x14ac:dyDescent="0.35">
      <c r="A748" s="80" t="s">
        <v>112</v>
      </c>
      <c r="B748" s="101" t="s">
        <v>2656</v>
      </c>
      <c r="C748" s="80" t="s">
        <v>2657</v>
      </c>
      <c r="D748" s="145" t="s">
        <v>2658</v>
      </c>
      <c r="E748" s="81"/>
    </row>
    <row r="749" spans="1:1220" s="71" customFormat="1" ht="12.75" customHeight="1" x14ac:dyDescent="0.35">
      <c r="A749" s="80" t="s">
        <v>112</v>
      </c>
      <c r="B749" s="101" t="s">
        <v>1655</v>
      </c>
      <c r="C749" s="80" t="s">
        <v>2659</v>
      </c>
      <c r="D749" s="145" t="s">
        <v>2660</v>
      </c>
      <c r="E749" s="81"/>
    </row>
    <row r="750" spans="1:1220" s="71" customFormat="1" ht="12.75" customHeight="1" x14ac:dyDescent="0.35">
      <c r="A750" s="80" t="s">
        <v>112</v>
      </c>
      <c r="B750" s="101" t="s">
        <v>2661</v>
      </c>
      <c r="C750" s="80" t="s">
        <v>2662</v>
      </c>
      <c r="D750" s="145" t="s">
        <v>2663</v>
      </c>
      <c r="E750" s="81"/>
    </row>
    <row r="751" spans="1:1220" s="71" customFormat="1" ht="12.75" customHeight="1" x14ac:dyDescent="0.35">
      <c r="A751" s="80" t="s">
        <v>112</v>
      </c>
      <c r="B751" s="101" t="s">
        <v>2664</v>
      </c>
      <c r="C751" s="80" t="s">
        <v>2665</v>
      </c>
      <c r="D751" s="145" t="s">
        <v>2666</v>
      </c>
      <c r="E751" s="81"/>
    </row>
    <row r="752" spans="1:1220" s="71" customFormat="1" ht="12.75" customHeight="1" x14ac:dyDescent="0.35">
      <c r="A752" s="80" t="s">
        <v>112</v>
      </c>
      <c r="B752" s="101" t="s">
        <v>1894</v>
      </c>
      <c r="C752" s="80" t="s">
        <v>2667</v>
      </c>
      <c r="D752" s="145" t="s">
        <v>2668</v>
      </c>
      <c r="E752" s="81"/>
    </row>
    <row r="753" spans="1:5" s="71" customFormat="1" ht="12.75" customHeight="1" x14ac:dyDescent="0.35">
      <c r="A753" s="80" t="s">
        <v>112</v>
      </c>
      <c r="B753" s="101" t="s">
        <v>1985</v>
      </c>
      <c r="C753" s="80" t="s">
        <v>2669</v>
      </c>
      <c r="D753" s="145" t="s">
        <v>2670</v>
      </c>
      <c r="E753" s="81"/>
    </row>
    <row r="754" spans="1:5" ht="12.75" customHeight="1" x14ac:dyDescent="0.35">
      <c r="A754" s="76" t="s">
        <v>470</v>
      </c>
      <c r="B754" s="99" t="s">
        <v>89</v>
      </c>
      <c r="C754" s="76" t="s">
        <v>2671</v>
      </c>
      <c r="D754" s="142"/>
    </row>
    <row r="755" spans="1:5" ht="12.75" customHeight="1" x14ac:dyDescent="0.35">
      <c r="A755" s="76" t="s">
        <v>470</v>
      </c>
      <c r="B755" s="99" t="s">
        <v>99</v>
      </c>
      <c r="C755" s="76" t="s">
        <v>2672</v>
      </c>
      <c r="D755" s="142"/>
    </row>
    <row r="756" spans="1:5" ht="12.75" customHeight="1" x14ac:dyDescent="0.35">
      <c r="A756" s="76" t="s">
        <v>470</v>
      </c>
      <c r="B756" s="99" t="s">
        <v>105</v>
      </c>
      <c r="C756" s="76" t="s">
        <v>2673</v>
      </c>
      <c r="D756" s="142"/>
    </row>
    <row r="757" spans="1:5" ht="12.75" customHeight="1" x14ac:dyDescent="0.35">
      <c r="A757" s="76" t="s">
        <v>470</v>
      </c>
      <c r="B757" s="99" t="s">
        <v>111</v>
      </c>
      <c r="C757" s="76" t="s">
        <v>2674</v>
      </c>
      <c r="D757" s="142"/>
    </row>
    <row r="758" spans="1:5" ht="12.75" customHeight="1" x14ac:dyDescent="0.35">
      <c r="A758" s="76" t="s">
        <v>470</v>
      </c>
      <c r="B758" s="99" t="s">
        <v>117</v>
      </c>
      <c r="C758" s="76" t="s">
        <v>2675</v>
      </c>
      <c r="D758" s="142"/>
    </row>
    <row r="759" spans="1:5" ht="12.75" customHeight="1" x14ac:dyDescent="0.35">
      <c r="A759" s="76" t="s">
        <v>470</v>
      </c>
      <c r="B759" s="99" t="s">
        <v>125</v>
      </c>
      <c r="C759" s="76" t="s">
        <v>2676</v>
      </c>
      <c r="D759" s="142"/>
    </row>
    <row r="760" spans="1:5" ht="12.75" customHeight="1" x14ac:dyDescent="0.35">
      <c r="A760" s="76" t="s">
        <v>470</v>
      </c>
      <c r="B760" s="99" t="s">
        <v>130</v>
      </c>
      <c r="C760" s="76" t="s">
        <v>2677</v>
      </c>
      <c r="D760" s="142"/>
    </row>
    <row r="761" spans="1:5" ht="12.75" customHeight="1" x14ac:dyDescent="0.35">
      <c r="A761" s="76" t="s">
        <v>470</v>
      </c>
      <c r="B761" s="99" t="s">
        <v>137</v>
      </c>
      <c r="C761" s="76" t="s">
        <v>2678</v>
      </c>
      <c r="D761" s="142"/>
    </row>
    <row r="762" spans="1:5" ht="12.75" customHeight="1" x14ac:dyDescent="0.35">
      <c r="A762" s="76" t="s">
        <v>470</v>
      </c>
      <c r="B762" s="99" t="s">
        <v>143</v>
      </c>
      <c r="C762" s="76" t="s">
        <v>2679</v>
      </c>
      <c r="D762" s="142"/>
    </row>
    <row r="763" spans="1:5" ht="12.75" customHeight="1" outlineLevel="1" x14ac:dyDescent="0.35">
      <c r="A763" s="76" t="s">
        <v>348</v>
      </c>
      <c r="B763" s="99" t="s">
        <v>2680</v>
      </c>
      <c r="C763" s="76" t="s">
        <v>2681</v>
      </c>
      <c r="D763" s="72"/>
    </row>
    <row r="764" spans="1:5" ht="12.75" customHeight="1" outlineLevel="1" x14ac:dyDescent="0.35">
      <c r="A764" s="76" t="s">
        <v>348</v>
      </c>
      <c r="B764" s="99" t="s">
        <v>2682</v>
      </c>
      <c r="C764" s="76" t="s">
        <v>2683</v>
      </c>
      <c r="D764" s="72"/>
    </row>
    <row r="765" spans="1:5" ht="12.75" customHeight="1" outlineLevel="1" x14ac:dyDescent="0.35">
      <c r="A765" s="76" t="s">
        <v>348</v>
      </c>
      <c r="B765" s="99" t="s">
        <v>2684</v>
      </c>
      <c r="C765" s="76" t="s">
        <v>2685</v>
      </c>
      <c r="D765" s="72"/>
    </row>
    <row r="766" spans="1:5" ht="12.75" customHeight="1" outlineLevel="1" x14ac:dyDescent="0.35">
      <c r="A766" s="76" t="s">
        <v>348</v>
      </c>
      <c r="B766" s="99" t="s">
        <v>2686</v>
      </c>
      <c r="C766" s="76" t="s">
        <v>2687</v>
      </c>
      <c r="D766" s="72"/>
    </row>
    <row r="767" spans="1:5" ht="12.75" customHeight="1" outlineLevel="1" x14ac:dyDescent="0.35">
      <c r="A767" s="76" t="s">
        <v>348</v>
      </c>
      <c r="B767" s="99" t="s">
        <v>2688</v>
      </c>
      <c r="C767" s="76" t="s">
        <v>2689</v>
      </c>
      <c r="D767" s="72"/>
    </row>
    <row r="768" spans="1:5" ht="12.75" customHeight="1" outlineLevel="1" x14ac:dyDescent="0.35">
      <c r="A768" s="76" t="s">
        <v>348</v>
      </c>
      <c r="B768" s="99" t="s">
        <v>2690</v>
      </c>
      <c r="C768" s="76" t="s">
        <v>2691</v>
      </c>
      <c r="D768" s="72"/>
    </row>
    <row r="769" spans="1:4" ht="12.75" customHeight="1" outlineLevel="1" x14ac:dyDescent="0.35">
      <c r="A769" s="76" t="s">
        <v>348</v>
      </c>
      <c r="B769" s="99" t="s">
        <v>2692</v>
      </c>
      <c r="C769" s="76" t="s">
        <v>2693</v>
      </c>
      <c r="D769" s="72"/>
    </row>
    <row r="770" spans="1:4" ht="12.75" customHeight="1" outlineLevel="1" x14ac:dyDescent="0.35">
      <c r="A770" s="76" t="s">
        <v>348</v>
      </c>
      <c r="B770" s="99" t="s">
        <v>2694</v>
      </c>
      <c r="C770" s="76" t="s">
        <v>2695</v>
      </c>
      <c r="D770" s="72"/>
    </row>
    <row r="771" spans="1:4" ht="12.75" customHeight="1" outlineLevel="1" x14ac:dyDescent="0.35">
      <c r="A771" s="76" t="s">
        <v>348</v>
      </c>
      <c r="B771" s="99" t="s">
        <v>2696</v>
      </c>
      <c r="C771" s="76" t="s">
        <v>2697</v>
      </c>
      <c r="D771" s="72"/>
    </row>
    <row r="772" spans="1:4" ht="12.75" customHeight="1" outlineLevel="1" x14ac:dyDescent="0.35">
      <c r="A772" s="76" t="s">
        <v>348</v>
      </c>
      <c r="B772" s="99" t="s">
        <v>2698</v>
      </c>
      <c r="C772" s="76" t="s">
        <v>2699</v>
      </c>
      <c r="D772" s="72"/>
    </row>
    <row r="773" spans="1:4" ht="12.75" customHeight="1" outlineLevel="1" x14ac:dyDescent="0.35">
      <c r="A773" s="76" t="s">
        <v>348</v>
      </c>
      <c r="B773" s="99" t="s">
        <v>2700</v>
      </c>
      <c r="C773" s="76" t="s">
        <v>2701</v>
      </c>
      <c r="D773" s="72"/>
    </row>
    <row r="774" spans="1:4" ht="12.75" customHeight="1" outlineLevel="1" x14ac:dyDescent="0.35">
      <c r="A774" s="76" t="s">
        <v>348</v>
      </c>
      <c r="B774" s="99" t="s">
        <v>2702</v>
      </c>
      <c r="C774" s="76" t="s">
        <v>2703</v>
      </c>
      <c r="D774" s="72"/>
    </row>
    <row r="775" spans="1:4" ht="12.75" customHeight="1" outlineLevel="1" x14ac:dyDescent="0.35">
      <c r="A775" s="76" t="s">
        <v>348</v>
      </c>
      <c r="B775" s="99" t="s">
        <v>2704</v>
      </c>
      <c r="C775" s="76" t="s">
        <v>2705</v>
      </c>
      <c r="D775" s="72"/>
    </row>
    <row r="776" spans="1:4" ht="12.75" customHeight="1" outlineLevel="1" x14ac:dyDescent="0.35">
      <c r="A776" s="76" t="s">
        <v>348</v>
      </c>
      <c r="B776" s="99" t="s">
        <v>2706</v>
      </c>
      <c r="C776" s="76" t="s">
        <v>2707</v>
      </c>
      <c r="D776" s="72"/>
    </row>
    <row r="777" spans="1:4" ht="12.75" customHeight="1" outlineLevel="1" x14ac:dyDescent="0.35">
      <c r="A777" s="76" t="s">
        <v>348</v>
      </c>
      <c r="B777" s="99" t="s">
        <v>2708</v>
      </c>
      <c r="C777" s="76" t="s">
        <v>2709</v>
      </c>
      <c r="D777" s="72"/>
    </row>
    <row r="778" spans="1:4" ht="12.75" customHeight="1" outlineLevel="1" x14ac:dyDescent="0.35">
      <c r="A778" s="76" t="s">
        <v>348</v>
      </c>
      <c r="B778" s="99" t="s">
        <v>2710</v>
      </c>
      <c r="C778" s="76" t="s">
        <v>2711</v>
      </c>
      <c r="D778" s="72"/>
    </row>
    <row r="779" spans="1:4" ht="12.75" customHeight="1" outlineLevel="1" x14ac:dyDescent="0.35">
      <c r="A779" s="76" t="s">
        <v>348</v>
      </c>
      <c r="B779" s="99" t="s">
        <v>2712</v>
      </c>
      <c r="C779" s="76" t="s">
        <v>2713</v>
      </c>
      <c r="D779" s="72"/>
    </row>
    <row r="780" spans="1:4" ht="12.75" customHeight="1" outlineLevel="1" x14ac:dyDescent="0.35">
      <c r="A780" s="76" t="s">
        <v>348</v>
      </c>
      <c r="B780" s="99" t="s">
        <v>2714</v>
      </c>
      <c r="C780" s="76" t="s">
        <v>2715</v>
      </c>
      <c r="D780" s="72"/>
    </row>
    <row r="781" spans="1:4" ht="12.75" customHeight="1" outlineLevel="1" x14ac:dyDescent="0.35">
      <c r="A781" s="76" t="s">
        <v>348</v>
      </c>
      <c r="B781" s="99" t="s">
        <v>2716</v>
      </c>
      <c r="C781" s="76" t="s">
        <v>2717</v>
      </c>
      <c r="D781" s="72"/>
    </row>
    <row r="782" spans="1:4" ht="12.75" customHeight="1" outlineLevel="1" x14ac:dyDescent="0.35">
      <c r="A782" s="76" t="s">
        <v>348</v>
      </c>
      <c r="B782" s="99" t="s">
        <v>2718</v>
      </c>
      <c r="C782" s="76" t="s">
        <v>2719</v>
      </c>
      <c r="D782" s="72"/>
    </row>
    <row r="783" spans="1:4" ht="12.75" customHeight="1" outlineLevel="1" x14ac:dyDescent="0.35">
      <c r="A783" s="76" t="s">
        <v>348</v>
      </c>
      <c r="B783" s="99" t="s">
        <v>2720</v>
      </c>
      <c r="C783" s="76" t="s">
        <v>2721</v>
      </c>
      <c r="D783" s="72"/>
    </row>
    <row r="784" spans="1:4" ht="12.75" customHeight="1" outlineLevel="1" x14ac:dyDescent="0.35">
      <c r="A784" s="76" t="s">
        <v>348</v>
      </c>
      <c r="B784" s="99" t="s">
        <v>2722</v>
      </c>
      <c r="C784" s="76" t="s">
        <v>2723</v>
      </c>
      <c r="D784" s="72"/>
    </row>
    <row r="785" spans="1:4" ht="12.75" customHeight="1" outlineLevel="1" x14ac:dyDescent="0.35">
      <c r="A785" s="76" t="s">
        <v>348</v>
      </c>
      <c r="B785" s="99" t="s">
        <v>2724</v>
      </c>
      <c r="C785" s="76" t="s">
        <v>2725</v>
      </c>
      <c r="D785" s="72"/>
    </row>
    <row r="786" spans="1:4" ht="12.75" customHeight="1" outlineLevel="1" x14ac:dyDescent="0.35">
      <c r="A786" s="76" t="s">
        <v>348</v>
      </c>
      <c r="B786" s="99" t="s">
        <v>2726</v>
      </c>
      <c r="C786" s="76" t="s">
        <v>2727</v>
      </c>
      <c r="D786" s="72"/>
    </row>
    <row r="787" spans="1:4" ht="12.75" customHeight="1" outlineLevel="1" x14ac:dyDescent="0.35">
      <c r="A787" s="76" t="s">
        <v>348</v>
      </c>
      <c r="B787" s="99" t="s">
        <v>2728</v>
      </c>
      <c r="C787" s="76" t="s">
        <v>2729</v>
      </c>
      <c r="D787" s="72"/>
    </row>
    <row r="788" spans="1:4" ht="12.75" customHeight="1" outlineLevel="1" x14ac:dyDescent="0.35">
      <c r="A788" s="76" t="s">
        <v>348</v>
      </c>
      <c r="B788" s="99" t="s">
        <v>2730</v>
      </c>
      <c r="C788" s="76" t="s">
        <v>2731</v>
      </c>
      <c r="D788" s="72"/>
    </row>
    <row r="789" spans="1:4" ht="12.75" customHeight="1" outlineLevel="1" x14ac:dyDescent="0.35">
      <c r="A789" s="76" t="s">
        <v>348</v>
      </c>
      <c r="B789" s="99" t="s">
        <v>2732</v>
      </c>
      <c r="C789" s="76" t="s">
        <v>2733</v>
      </c>
      <c r="D789" s="72"/>
    </row>
    <row r="790" spans="1:4" ht="12.75" customHeight="1" outlineLevel="1" x14ac:dyDescent="0.35">
      <c r="A790" s="76" t="s">
        <v>348</v>
      </c>
      <c r="B790" s="99" t="s">
        <v>2734</v>
      </c>
      <c r="C790" s="76" t="s">
        <v>2735</v>
      </c>
      <c r="D790" s="72"/>
    </row>
    <row r="791" spans="1:4" ht="12.75" customHeight="1" outlineLevel="1" x14ac:dyDescent="0.35">
      <c r="A791" s="76" t="s">
        <v>348</v>
      </c>
      <c r="B791" s="99" t="s">
        <v>2736</v>
      </c>
      <c r="C791" s="76" t="s">
        <v>2737</v>
      </c>
      <c r="D791" s="72"/>
    </row>
    <row r="792" spans="1:4" ht="12.75" customHeight="1" outlineLevel="1" x14ac:dyDescent="0.35">
      <c r="A792" s="76" t="s">
        <v>348</v>
      </c>
      <c r="B792" s="99" t="s">
        <v>2738</v>
      </c>
      <c r="C792" s="76" t="s">
        <v>2739</v>
      </c>
      <c r="D792" s="72"/>
    </row>
    <row r="793" spans="1:4" ht="12.75" customHeight="1" outlineLevel="1" x14ac:dyDescent="0.35">
      <c r="A793" s="76" t="s">
        <v>348</v>
      </c>
      <c r="B793" s="99" t="s">
        <v>2740</v>
      </c>
      <c r="C793" s="76" t="s">
        <v>2741</v>
      </c>
      <c r="D793" s="72"/>
    </row>
    <row r="794" spans="1:4" ht="12.75" customHeight="1" outlineLevel="1" x14ac:dyDescent="0.35">
      <c r="A794" s="76" t="s">
        <v>348</v>
      </c>
      <c r="B794" s="99" t="s">
        <v>2742</v>
      </c>
      <c r="C794" s="76" t="s">
        <v>2743</v>
      </c>
      <c r="D794" s="72"/>
    </row>
    <row r="795" spans="1:4" ht="12.75" customHeight="1" outlineLevel="1" x14ac:dyDescent="0.35">
      <c r="A795" s="76" t="s">
        <v>348</v>
      </c>
      <c r="B795" s="99" t="s">
        <v>2744</v>
      </c>
      <c r="C795" s="76" t="s">
        <v>2745</v>
      </c>
      <c r="D795" s="72"/>
    </row>
    <row r="796" spans="1:4" ht="12.75" customHeight="1" outlineLevel="1" x14ac:dyDescent="0.35">
      <c r="A796" s="76" t="s">
        <v>348</v>
      </c>
      <c r="B796" s="99" t="s">
        <v>2746</v>
      </c>
      <c r="C796" s="76" t="s">
        <v>2747</v>
      </c>
      <c r="D796" s="72"/>
    </row>
    <row r="797" spans="1:4" ht="12.75" customHeight="1" outlineLevel="1" x14ac:dyDescent="0.35">
      <c r="A797" s="76" t="s">
        <v>348</v>
      </c>
      <c r="B797" s="99" t="s">
        <v>2748</v>
      </c>
      <c r="C797" s="76" t="s">
        <v>2749</v>
      </c>
      <c r="D797" s="72"/>
    </row>
    <row r="798" spans="1:4" ht="12.75" customHeight="1" outlineLevel="1" x14ac:dyDescent="0.35">
      <c r="A798" s="76" t="s">
        <v>348</v>
      </c>
      <c r="B798" s="99" t="s">
        <v>2750</v>
      </c>
      <c r="C798" s="76" t="s">
        <v>2751</v>
      </c>
      <c r="D798" s="72"/>
    </row>
    <row r="799" spans="1:4" ht="12.75" customHeight="1" outlineLevel="1" x14ac:dyDescent="0.35">
      <c r="A799" s="76" t="s">
        <v>348</v>
      </c>
      <c r="B799" s="99" t="s">
        <v>2752</v>
      </c>
      <c r="C799" s="76" t="s">
        <v>2753</v>
      </c>
      <c r="D799" s="72"/>
    </row>
    <row r="800" spans="1:4" ht="12.75" customHeight="1" outlineLevel="1" x14ac:dyDescent="0.35">
      <c r="A800" s="76" t="s">
        <v>348</v>
      </c>
      <c r="B800" s="99" t="s">
        <v>2754</v>
      </c>
      <c r="C800" s="76" t="s">
        <v>2755</v>
      </c>
      <c r="D800" s="72"/>
    </row>
    <row r="801" spans="1:4" ht="12.75" customHeight="1" outlineLevel="1" x14ac:dyDescent="0.35">
      <c r="A801" s="76" t="s">
        <v>348</v>
      </c>
      <c r="B801" s="99" t="s">
        <v>2756</v>
      </c>
      <c r="C801" s="76" t="s">
        <v>2757</v>
      </c>
      <c r="D801" s="72"/>
    </row>
    <row r="802" spans="1:4" ht="12.75" customHeight="1" outlineLevel="1" x14ac:dyDescent="0.35">
      <c r="A802" s="76" t="s">
        <v>348</v>
      </c>
      <c r="B802" s="99" t="s">
        <v>2758</v>
      </c>
      <c r="C802" s="76" t="s">
        <v>2759</v>
      </c>
      <c r="D802" s="72"/>
    </row>
    <row r="803" spans="1:4" ht="12.75" customHeight="1" outlineLevel="1" x14ac:dyDescent="0.35">
      <c r="A803" s="76" t="s">
        <v>348</v>
      </c>
      <c r="B803" s="99" t="s">
        <v>2760</v>
      </c>
      <c r="C803" s="76" t="s">
        <v>2761</v>
      </c>
      <c r="D803" s="72"/>
    </row>
    <row r="804" spans="1:4" ht="12.75" customHeight="1" outlineLevel="1" x14ac:dyDescent="0.35">
      <c r="A804" s="76" t="s">
        <v>348</v>
      </c>
      <c r="B804" s="99" t="s">
        <v>2762</v>
      </c>
      <c r="C804" s="76" t="s">
        <v>2763</v>
      </c>
      <c r="D804" s="72"/>
    </row>
    <row r="805" spans="1:4" ht="12.75" customHeight="1" outlineLevel="1" x14ac:dyDescent="0.35">
      <c r="A805" s="76" t="s">
        <v>348</v>
      </c>
      <c r="B805" s="99" t="s">
        <v>2764</v>
      </c>
      <c r="C805" s="76" t="s">
        <v>2765</v>
      </c>
      <c r="D805" s="72"/>
    </row>
    <row r="806" spans="1:4" ht="12.75" customHeight="1" outlineLevel="1" x14ac:dyDescent="0.35">
      <c r="A806" s="76" t="s">
        <v>348</v>
      </c>
      <c r="B806" s="99" t="s">
        <v>2766</v>
      </c>
      <c r="C806" s="76" t="s">
        <v>2767</v>
      </c>
      <c r="D806" s="72"/>
    </row>
    <row r="807" spans="1:4" ht="12.75" customHeight="1" outlineLevel="1" x14ac:dyDescent="0.35">
      <c r="A807" s="76" t="s">
        <v>348</v>
      </c>
      <c r="B807" s="99" t="s">
        <v>2768</v>
      </c>
      <c r="C807" s="76" t="s">
        <v>2769</v>
      </c>
      <c r="D807" s="72"/>
    </row>
    <row r="808" spans="1:4" ht="12.75" customHeight="1" outlineLevel="1" x14ac:dyDescent="0.35">
      <c r="A808" s="76" t="s">
        <v>348</v>
      </c>
      <c r="B808" s="99" t="s">
        <v>2770</v>
      </c>
      <c r="C808" s="76" t="s">
        <v>2771</v>
      </c>
      <c r="D808" s="72"/>
    </row>
    <row r="809" spans="1:4" ht="12.75" customHeight="1" outlineLevel="1" x14ac:dyDescent="0.35">
      <c r="A809" s="76" t="s">
        <v>348</v>
      </c>
      <c r="B809" s="99" t="s">
        <v>2772</v>
      </c>
      <c r="C809" s="76" t="s">
        <v>2773</v>
      </c>
      <c r="D809" s="72"/>
    </row>
    <row r="810" spans="1:4" ht="12.75" customHeight="1" outlineLevel="1" x14ac:dyDescent="0.35">
      <c r="A810" s="76" t="s">
        <v>348</v>
      </c>
      <c r="B810" s="99" t="s">
        <v>2774</v>
      </c>
      <c r="C810" s="76" t="s">
        <v>2775</v>
      </c>
      <c r="D810" s="72"/>
    </row>
    <row r="811" spans="1:4" ht="12.75" customHeight="1" outlineLevel="1" x14ac:dyDescent="0.35">
      <c r="A811" s="76" t="s">
        <v>348</v>
      </c>
      <c r="B811" s="99" t="s">
        <v>2776</v>
      </c>
      <c r="C811" s="76" t="s">
        <v>2777</v>
      </c>
      <c r="D811" s="72"/>
    </row>
    <row r="812" spans="1:4" ht="12.75" customHeight="1" outlineLevel="1" x14ac:dyDescent="0.35">
      <c r="A812" s="76" t="s">
        <v>348</v>
      </c>
      <c r="B812" s="99" t="s">
        <v>2778</v>
      </c>
      <c r="C812" s="76" t="s">
        <v>2779</v>
      </c>
      <c r="D812" s="72"/>
    </row>
    <row r="813" spans="1:4" ht="12.75" customHeight="1" outlineLevel="1" x14ac:dyDescent="0.35">
      <c r="A813" s="76" t="s">
        <v>348</v>
      </c>
      <c r="B813" s="99" t="s">
        <v>2780</v>
      </c>
      <c r="C813" s="76" t="s">
        <v>2781</v>
      </c>
      <c r="D813" s="72"/>
    </row>
    <row r="814" spans="1:4" ht="12.75" customHeight="1" outlineLevel="1" x14ac:dyDescent="0.35">
      <c r="A814" s="76" t="s">
        <v>348</v>
      </c>
      <c r="B814" s="99" t="s">
        <v>2782</v>
      </c>
      <c r="C814" s="76" t="s">
        <v>2783</v>
      </c>
      <c r="D814" s="72"/>
    </row>
    <row r="815" spans="1:4" ht="12.75" customHeight="1" outlineLevel="1" x14ac:dyDescent="0.35">
      <c r="A815" s="76" t="s">
        <v>348</v>
      </c>
      <c r="B815" s="99" t="s">
        <v>2784</v>
      </c>
      <c r="C815" s="76" t="s">
        <v>2785</v>
      </c>
      <c r="D815" s="72"/>
    </row>
    <row r="816" spans="1:4" ht="12.75" customHeight="1" outlineLevel="1" x14ac:dyDescent="0.35">
      <c r="A816" s="76" t="s">
        <v>348</v>
      </c>
      <c r="B816" s="99" t="s">
        <v>2786</v>
      </c>
      <c r="C816" s="76" t="s">
        <v>2787</v>
      </c>
      <c r="D816" s="72"/>
    </row>
    <row r="817" spans="1:4" ht="12.75" customHeight="1" outlineLevel="1" x14ac:dyDescent="0.35">
      <c r="A817" s="76" t="s">
        <v>348</v>
      </c>
      <c r="B817" s="99" t="s">
        <v>2788</v>
      </c>
      <c r="C817" s="76" t="s">
        <v>2789</v>
      </c>
      <c r="D817" s="72"/>
    </row>
    <row r="818" spans="1:4" ht="12.75" customHeight="1" outlineLevel="1" x14ac:dyDescent="0.35">
      <c r="A818" s="76" t="s">
        <v>348</v>
      </c>
      <c r="B818" s="99" t="s">
        <v>2790</v>
      </c>
      <c r="C818" s="76" t="s">
        <v>2791</v>
      </c>
      <c r="D818" s="72"/>
    </row>
    <row r="819" spans="1:4" ht="12.75" customHeight="1" outlineLevel="1" x14ac:dyDescent="0.35">
      <c r="A819" s="76" t="s">
        <v>348</v>
      </c>
      <c r="B819" s="99" t="s">
        <v>2792</v>
      </c>
      <c r="C819" s="76" t="s">
        <v>2793</v>
      </c>
      <c r="D819" s="72"/>
    </row>
    <row r="820" spans="1:4" ht="12.75" customHeight="1" outlineLevel="1" x14ac:dyDescent="0.35">
      <c r="A820" s="76" t="s">
        <v>348</v>
      </c>
      <c r="B820" s="99" t="s">
        <v>2794</v>
      </c>
      <c r="C820" s="76" t="s">
        <v>2795</v>
      </c>
      <c r="D820" s="72"/>
    </row>
    <row r="821" spans="1:4" ht="12.75" customHeight="1" outlineLevel="1" x14ac:dyDescent="0.35">
      <c r="A821" s="76" t="s">
        <v>348</v>
      </c>
      <c r="B821" s="99" t="s">
        <v>2796</v>
      </c>
      <c r="C821" s="76" t="s">
        <v>2797</v>
      </c>
      <c r="D821" s="72"/>
    </row>
    <row r="822" spans="1:4" ht="12.75" customHeight="1" outlineLevel="1" x14ac:dyDescent="0.35">
      <c r="A822" s="76" t="s">
        <v>348</v>
      </c>
      <c r="B822" s="99" t="s">
        <v>2798</v>
      </c>
      <c r="C822" s="76" t="s">
        <v>2799</v>
      </c>
      <c r="D822" s="72"/>
    </row>
    <row r="823" spans="1:4" ht="12.75" customHeight="1" outlineLevel="1" x14ac:dyDescent="0.35">
      <c r="A823" s="76" t="s">
        <v>348</v>
      </c>
      <c r="B823" s="99" t="s">
        <v>2800</v>
      </c>
      <c r="C823" s="76" t="s">
        <v>2801</v>
      </c>
      <c r="D823" s="72"/>
    </row>
    <row r="824" spans="1:4" ht="12.75" customHeight="1" outlineLevel="1" x14ac:dyDescent="0.35">
      <c r="A824" s="76" t="s">
        <v>348</v>
      </c>
      <c r="B824" s="99" t="s">
        <v>2802</v>
      </c>
      <c r="C824" s="76" t="s">
        <v>2803</v>
      </c>
      <c r="D824" s="72"/>
    </row>
    <row r="825" spans="1:4" ht="12.75" customHeight="1" outlineLevel="1" x14ac:dyDescent="0.35">
      <c r="A825" s="76" t="s">
        <v>348</v>
      </c>
      <c r="B825" s="99" t="s">
        <v>2804</v>
      </c>
      <c r="C825" s="76" t="s">
        <v>2805</v>
      </c>
      <c r="D825" s="72"/>
    </row>
    <row r="826" spans="1:4" ht="12.75" customHeight="1" outlineLevel="1" x14ac:dyDescent="0.35">
      <c r="A826" s="76" t="s">
        <v>348</v>
      </c>
      <c r="B826" s="99" t="s">
        <v>2806</v>
      </c>
      <c r="C826" s="76" t="s">
        <v>2807</v>
      </c>
      <c r="D826" s="72"/>
    </row>
    <row r="827" spans="1:4" ht="12.75" customHeight="1" outlineLevel="1" x14ac:dyDescent="0.35">
      <c r="A827" s="76" t="s">
        <v>348</v>
      </c>
      <c r="B827" s="99" t="s">
        <v>2808</v>
      </c>
      <c r="C827" s="76" t="s">
        <v>2809</v>
      </c>
      <c r="D827" s="72"/>
    </row>
    <row r="828" spans="1:4" ht="12.75" customHeight="1" outlineLevel="1" x14ac:dyDescent="0.35">
      <c r="A828" s="76" t="s">
        <v>348</v>
      </c>
      <c r="B828" s="99" t="s">
        <v>2810</v>
      </c>
      <c r="C828" s="76" t="s">
        <v>2811</v>
      </c>
      <c r="D828" s="72"/>
    </row>
    <row r="829" spans="1:4" ht="12.75" customHeight="1" outlineLevel="1" x14ac:dyDescent="0.35">
      <c r="A829" s="76" t="s">
        <v>348</v>
      </c>
      <c r="B829" s="99" t="s">
        <v>2812</v>
      </c>
      <c r="C829" s="76" t="s">
        <v>2813</v>
      </c>
      <c r="D829" s="72"/>
    </row>
    <row r="830" spans="1:4" ht="12.75" customHeight="1" outlineLevel="1" x14ac:dyDescent="0.35">
      <c r="A830" s="76" t="s">
        <v>348</v>
      </c>
      <c r="B830" s="99" t="s">
        <v>2814</v>
      </c>
      <c r="C830" s="76" t="s">
        <v>2815</v>
      </c>
      <c r="D830" s="72"/>
    </row>
    <row r="831" spans="1:4" ht="12.75" customHeight="1" outlineLevel="1" x14ac:dyDescent="0.35">
      <c r="A831" s="76" t="s">
        <v>348</v>
      </c>
      <c r="B831" s="99" t="s">
        <v>2816</v>
      </c>
      <c r="C831" s="76" t="s">
        <v>2817</v>
      </c>
      <c r="D831" s="72"/>
    </row>
    <row r="832" spans="1:4" ht="12.75" customHeight="1" outlineLevel="1" x14ac:dyDescent="0.35">
      <c r="A832" s="76" t="s">
        <v>348</v>
      </c>
      <c r="B832" s="99" t="s">
        <v>2818</v>
      </c>
      <c r="C832" s="76" t="s">
        <v>2819</v>
      </c>
      <c r="D832" s="72"/>
    </row>
    <row r="833" spans="1:4" ht="12.75" customHeight="1" outlineLevel="1" x14ac:dyDescent="0.35">
      <c r="A833" s="76" t="s">
        <v>348</v>
      </c>
      <c r="B833" s="99" t="s">
        <v>2820</v>
      </c>
      <c r="C833" s="76" t="s">
        <v>2821</v>
      </c>
      <c r="D833" s="72"/>
    </row>
    <row r="834" spans="1:4" ht="12.75" customHeight="1" outlineLevel="1" x14ac:dyDescent="0.35">
      <c r="A834" s="76" t="s">
        <v>348</v>
      </c>
      <c r="B834" s="99" t="s">
        <v>2822</v>
      </c>
      <c r="C834" s="76" t="s">
        <v>2823</v>
      </c>
      <c r="D834" s="72"/>
    </row>
    <row r="835" spans="1:4" ht="12.75" customHeight="1" outlineLevel="1" x14ac:dyDescent="0.35">
      <c r="A835" s="76" t="s">
        <v>348</v>
      </c>
      <c r="B835" s="99" t="s">
        <v>2824</v>
      </c>
      <c r="C835" s="76" t="s">
        <v>2825</v>
      </c>
      <c r="D835" s="72"/>
    </row>
    <row r="836" spans="1:4" ht="12.75" customHeight="1" outlineLevel="1" x14ac:dyDescent="0.35">
      <c r="A836" s="76" t="s">
        <v>348</v>
      </c>
      <c r="B836" s="99" t="s">
        <v>2826</v>
      </c>
      <c r="C836" s="76" t="s">
        <v>2827</v>
      </c>
      <c r="D836" s="72"/>
    </row>
    <row r="837" spans="1:4" ht="12.75" customHeight="1" outlineLevel="1" x14ac:dyDescent="0.35">
      <c r="A837" s="76" t="s">
        <v>348</v>
      </c>
      <c r="B837" s="99" t="s">
        <v>2828</v>
      </c>
      <c r="C837" s="76" t="s">
        <v>2829</v>
      </c>
      <c r="D837" s="72"/>
    </row>
    <row r="838" spans="1:4" ht="12.75" customHeight="1" outlineLevel="1" x14ac:dyDescent="0.35">
      <c r="A838" s="76" t="s">
        <v>348</v>
      </c>
      <c r="B838" s="99" t="s">
        <v>2830</v>
      </c>
      <c r="C838" s="76" t="s">
        <v>2831</v>
      </c>
      <c r="D838" s="72"/>
    </row>
    <row r="839" spans="1:4" ht="12.75" customHeight="1" outlineLevel="1" x14ac:dyDescent="0.35">
      <c r="A839" s="76" t="s">
        <v>348</v>
      </c>
      <c r="B839" s="99" t="s">
        <v>2832</v>
      </c>
      <c r="C839" s="76" t="s">
        <v>2833</v>
      </c>
      <c r="D839" s="72"/>
    </row>
    <row r="840" spans="1:4" ht="12.75" customHeight="1" outlineLevel="1" x14ac:dyDescent="0.35">
      <c r="A840" s="76" t="s">
        <v>348</v>
      </c>
      <c r="B840" s="99" t="s">
        <v>2834</v>
      </c>
      <c r="C840" s="76" t="s">
        <v>2835</v>
      </c>
      <c r="D840" s="72"/>
    </row>
    <row r="841" spans="1:4" ht="12.75" customHeight="1" outlineLevel="1" x14ac:dyDescent="0.35">
      <c r="A841" s="76" t="s">
        <v>348</v>
      </c>
      <c r="B841" s="99" t="s">
        <v>2836</v>
      </c>
      <c r="C841" s="76" t="s">
        <v>2837</v>
      </c>
      <c r="D841" s="72"/>
    </row>
    <row r="842" spans="1:4" ht="12.75" customHeight="1" outlineLevel="1" x14ac:dyDescent="0.35">
      <c r="A842" s="76" t="s">
        <v>348</v>
      </c>
      <c r="B842" s="99" t="s">
        <v>2838</v>
      </c>
      <c r="C842" s="76" t="s">
        <v>2839</v>
      </c>
      <c r="D842" s="72"/>
    </row>
    <row r="843" spans="1:4" ht="12.75" customHeight="1" outlineLevel="1" x14ac:dyDescent="0.35">
      <c r="A843" s="76" t="s">
        <v>348</v>
      </c>
      <c r="B843" s="99" t="s">
        <v>2840</v>
      </c>
      <c r="C843" s="76" t="s">
        <v>2841</v>
      </c>
      <c r="D843" s="72"/>
    </row>
    <row r="844" spans="1:4" ht="12.75" customHeight="1" outlineLevel="1" x14ac:dyDescent="0.35">
      <c r="A844" s="76" t="s">
        <v>348</v>
      </c>
      <c r="B844" s="99" t="s">
        <v>2842</v>
      </c>
      <c r="C844" s="76" t="s">
        <v>2843</v>
      </c>
      <c r="D844" s="72"/>
    </row>
    <row r="845" spans="1:4" ht="12.75" customHeight="1" outlineLevel="1" x14ac:dyDescent="0.35">
      <c r="A845" s="76" t="s">
        <v>348</v>
      </c>
      <c r="B845" s="99" t="s">
        <v>2844</v>
      </c>
      <c r="C845" s="76" t="s">
        <v>2845</v>
      </c>
      <c r="D845" s="72"/>
    </row>
    <row r="846" spans="1:4" ht="12.75" customHeight="1" outlineLevel="1" x14ac:dyDescent="0.35">
      <c r="A846" s="76" t="s">
        <v>348</v>
      </c>
      <c r="B846" s="99" t="s">
        <v>2846</v>
      </c>
      <c r="C846" s="76" t="s">
        <v>2847</v>
      </c>
      <c r="D846" s="72"/>
    </row>
    <row r="847" spans="1:4" ht="12.75" customHeight="1" outlineLevel="1" x14ac:dyDescent="0.35">
      <c r="A847" s="76" t="s">
        <v>348</v>
      </c>
      <c r="B847" s="99" t="s">
        <v>2848</v>
      </c>
      <c r="C847" s="76" t="s">
        <v>2849</v>
      </c>
      <c r="D847" s="72"/>
    </row>
    <row r="848" spans="1:4" ht="12.75" customHeight="1" outlineLevel="1" x14ac:dyDescent="0.35">
      <c r="A848" s="76" t="s">
        <v>348</v>
      </c>
      <c r="B848" s="99" t="s">
        <v>2850</v>
      </c>
      <c r="C848" s="76" t="s">
        <v>2851</v>
      </c>
      <c r="D848" s="72"/>
    </row>
    <row r="849" spans="1:4" ht="12.75" customHeight="1" outlineLevel="1" x14ac:dyDescent="0.35">
      <c r="A849" s="76" t="s">
        <v>348</v>
      </c>
      <c r="B849" s="99" t="s">
        <v>2852</v>
      </c>
      <c r="C849" s="76" t="s">
        <v>2853</v>
      </c>
      <c r="D849" s="72"/>
    </row>
    <row r="850" spans="1:4" ht="12.75" customHeight="1" outlineLevel="1" x14ac:dyDescent="0.35">
      <c r="A850" s="76" t="s">
        <v>348</v>
      </c>
      <c r="B850" s="99" t="s">
        <v>2854</v>
      </c>
      <c r="C850" s="76" t="s">
        <v>2855</v>
      </c>
      <c r="D850" s="72"/>
    </row>
    <row r="851" spans="1:4" ht="12.75" customHeight="1" outlineLevel="1" x14ac:dyDescent="0.35">
      <c r="A851" s="76" t="s">
        <v>348</v>
      </c>
      <c r="B851" s="99" t="s">
        <v>2856</v>
      </c>
      <c r="C851" s="76" t="s">
        <v>2857</v>
      </c>
      <c r="D851" s="72"/>
    </row>
    <row r="852" spans="1:4" ht="12.75" customHeight="1" outlineLevel="1" x14ac:dyDescent="0.35">
      <c r="A852" s="76" t="s">
        <v>348</v>
      </c>
      <c r="B852" s="99" t="s">
        <v>2858</v>
      </c>
      <c r="C852" s="76" t="s">
        <v>2859</v>
      </c>
      <c r="D852" s="72"/>
    </row>
    <row r="853" spans="1:4" ht="12.75" customHeight="1" outlineLevel="1" x14ac:dyDescent="0.35">
      <c r="A853" s="76" t="s">
        <v>348</v>
      </c>
      <c r="B853" s="99" t="s">
        <v>2860</v>
      </c>
      <c r="C853" s="76" t="s">
        <v>2861</v>
      </c>
      <c r="D853" s="72"/>
    </row>
    <row r="854" spans="1:4" ht="12.75" customHeight="1" outlineLevel="1" x14ac:dyDescent="0.35">
      <c r="A854" s="76" t="s">
        <v>348</v>
      </c>
      <c r="B854" s="99" t="s">
        <v>2862</v>
      </c>
      <c r="C854" s="76" t="s">
        <v>2863</v>
      </c>
      <c r="D854" s="72"/>
    </row>
    <row r="855" spans="1:4" ht="12.75" customHeight="1" outlineLevel="1" x14ac:dyDescent="0.35">
      <c r="A855" s="76" t="s">
        <v>348</v>
      </c>
      <c r="B855" s="99" t="s">
        <v>2864</v>
      </c>
      <c r="C855" s="76" t="s">
        <v>2865</v>
      </c>
      <c r="D855" s="72"/>
    </row>
    <row r="856" spans="1:4" ht="12.75" customHeight="1" outlineLevel="1" x14ac:dyDescent="0.35">
      <c r="A856" s="76" t="s">
        <v>348</v>
      </c>
      <c r="B856" s="99" t="s">
        <v>2866</v>
      </c>
      <c r="C856" s="76" t="s">
        <v>2867</v>
      </c>
      <c r="D856" s="72"/>
    </row>
    <row r="857" spans="1:4" ht="12.75" customHeight="1" outlineLevel="1" x14ac:dyDescent="0.35">
      <c r="A857" s="76" t="s">
        <v>348</v>
      </c>
      <c r="B857" s="99" t="s">
        <v>2868</v>
      </c>
      <c r="C857" s="76" t="s">
        <v>2869</v>
      </c>
      <c r="D857" s="72"/>
    </row>
    <row r="858" spans="1:4" ht="12.75" customHeight="1" outlineLevel="1" x14ac:dyDescent="0.35">
      <c r="A858" s="76" t="s">
        <v>348</v>
      </c>
      <c r="B858" s="99" t="s">
        <v>2870</v>
      </c>
      <c r="C858" s="76" t="s">
        <v>2871</v>
      </c>
      <c r="D858" s="72"/>
    </row>
    <row r="859" spans="1:4" ht="12.75" customHeight="1" outlineLevel="1" x14ac:dyDescent="0.35">
      <c r="A859" s="76" t="s">
        <v>348</v>
      </c>
      <c r="B859" s="99" t="s">
        <v>2872</v>
      </c>
      <c r="C859" s="76" t="s">
        <v>2873</v>
      </c>
      <c r="D859" s="72"/>
    </row>
    <row r="860" spans="1:4" ht="12.75" customHeight="1" outlineLevel="1" x14ac:dyDescent="0.35">
      <c r="A860" s="76" t="s">
        <v>348</v>
      </c>
      <c r="B860" s="99" t="s">
        <v>2874</v>
      </c>
      <c r="C860" s="76" t="s">
        <v>2875</v>
      </c>
      <c r="D860" s="72"/>
    </row>
    <row r="861" spans="1:4" ht="12.75" customHeight="1" outlineLevel="1" x14ac:dyDescent="0.35">
      <c r="A861" s="76" t="s">
        <v>348</v>
      </c>
      <c r="B861" s="99" t="s">
        <v>2876</v>
      </c>
      <c r="C861" s="76" t="s">
        <v>2877</v>
      </c>
      <c r="D861" s="72"/>
    </row>
    <row r="862" spans="1:4" ht="12.75" customHeight="1" outlineLevel="1" x14ac:dyDescent="0.35">
      <c r="A862" s="76" t="s">
        <v>348</v>
      </c>
      <c r="B862" s="99" t="s">
        <v>2878</v>
      </c>
      <c r="C862" s="76" t="s">
        <v>2879</v>
      </c>
      <c r="D862" s="72"/>
    </row>
    <row r="863" spans="1:4" ht="12.75" customHeight="1" outlineLevel="1" x14ac:dyDescent="0.35">
      <c r="A863" s="76" t="s">
        <v>348</v>
      </c>
      <c r="B863" s="99" t="s">
        <v>2880</v>
      </c>
      <c r="C863" s="76" t="s">
        <v>2881</v>
      </c>
      <c r="D863" s="72"/>
    </row>
    <row r="864" spans="1:4" ht="12.75" customHeight="1" outlineLevel="1" x14ac:dyDescent="0.35">
      <c r="A864" s="76" t="s">
        <v>348</v>
      </c>
      <c r="B864" s="99" t="s">
        <v>2882</v>
      </c>
      <c r="C864" s="76" t="s">
        <v>2883</v>
      </c>
      <c r="D864" s="72"/>
    </row>
    <row r="865" spans="1:4" ht="12.75" customHeight="1" outlineLevel="1" x14ac:dyDescent="0.35">
      <c r="A865" s="76" t="s">
        <v>348</v>
      </c>
      <c r="B865" s="99" t="s">
        <v>2884</v>
      </c>
      <c r="C865" s="76" t="s">
        <v>2885</v>
      </c>
      <c r="D865" s="72"/>
    </row>
    <row r="866" spans="1:4" ht="12.75" customHeight="1" outlineLevel="1" x14ac:dyDescent="0.35">
      <c r="A866" s="76" t="s">
        <v>348</v>
      </c>
      <c r="B866" s="99" t="s">
        <v>2886</v>
      </c>
      <c r="C866" s="76" t="s">
        <v>2887</v>
      </c>
      <c r="D866" s="72"/>
    </row>
    <row r="867" spans="1:4" ht="12.75" customHeight="1" outlineLevel="1" x14ac:dyDescent="0.35">
      <c r="A867" s="76" t="s">
        <v>348</v>
      </c>
      <c r="B867" s="99" t="s">
        <v>2888</v>
      </c>
      <c r="C867" s="76" t="s">
        <v>2889</v>
      </c>
      <c r="D867" s="72"/>
    </row>
    <row r="868" spans="1:4" ht="12.75" customHeight="1" outlineLevel="1" x14ac:dyDescent="0.35">
      <c r="A868" s="76" t="s">
        <v>348</v>
      </c>
      <c r="B868" s="99" t="s">
        <v>2890</v>
      </c>
      <c r="C868" s="76" t="s">
        <v>2891</v>
      </c>
      <c r="D868" s="72"/>
    </row>
    <row r="869" spans="1:4" ht="12.75" customHeight="1" outlineLevel="1" x14ac:dyDescent="0.35">
      <c r="A869" s="76" t="s">
        <v>348</v>
      </c>
      <c r="B869" s="99" t="s">
        <v>2892</v>
      </c>
      <c r="C869" s="76" t="s">
        <v>2893</v>
      </c>
      <c r="D869" s="72"/>
    </row>
    <row r="870" spans="1:4" ht="12.75" customHeight="1" outlineLevel="1" x14ac:dyDescent="0.35">
      <c r="A870" s="76" t="s">
        <v>348</v>
      </c>
      <c r="B870" s="99" t="s">
        <v>2894</v>
      </c>
      <c r="C870" s="76" t="s">
        <v>2895</v>
      </c>
      <c r="D870" s="72"/>
    </row>
    <row r="871" spans="1:4" ht="12.75" customHeight="1" outlineLevel="1" x14ac:dyDescent="0.35">
      <c r="A871" s="76" t="s">
        <v>348</v>
      </c>
      <c r="B871" s="99" t="s">
        <v>2896</v>
      </c>
      <c r="C871" s="76" t="s">
        <v>2897</v>
      </c>
      <c r="D871" s="72"/>
    </row>
    <row r="872" spans="1:4" ht="12.75" customHeight="1" outlineLevel="1" x14ac:dyDescent="0.35">
      <c r="A872" s="76" t="s">
        <v>348</v>
      </c>
      <c r="B872" s="99" t="s">
        <v>2898</v>
      </c>
      <c r="C872" s="76" t="s">
        <v>2899</v>
      </c>
      <c r="D872" s="72"/>
    </row>
    <row r="873" spans="1:4" ht="12.75" customHeight="1" outlineLevel="1" x14ac:dyDescent="0.35">
      <c r="A873" s="76" t="s">
        <v>348</v>
      </c>
      <c r="B873" s="99" t="s">
        <v>2900</v>
      </c>
      <c r="C873" s="76" t="s">
        <v>2901</v>
      </c>
      <c r="D873" s="72"/>
    </row>
    <row r="874" spans="1:4" ht="12.75" customHeight="1" outlineLevel="1" x14ac:dyDescent="0.35">
      <c r="A874" s="76" t="s">
        <v>348</v>
      </c>
      <c r="B874" s="99" t="s">
        <v>2902</v>
      </c>
      <c r="C874" s="76" t="s">
        <v>2903</v>
      </c>
      <c r="D874" s="72"/>
    </row>
    <row r="875" spans="1:4" ht="12.75" customHeight="1" outlineLevel="1" x14ac:dyDescent="0.35">
      <c r="A875" s="76" t="s">
        <v>348</v>
      </c>
      <c r="B875" s="99" t="s">
        <v>2904</v>
      </c>
      <c r="C875" s="76" t="s">
        <v>2905</v>
      </c>
      <c r="D875" s="72"/>
    </row>
    <row r="876" spans="1:4" ht="12.75" customHeight="1" outlineLevel="1" x14ac:dyDescent="0.35">
      <c r="A876" s="76" t="s">
        <v>348</v>
      </c>
      <c r="B876" s="99" t="s">
        <v>2906</v>
      </c>
      <c r="C876" s="76" t="s">
        <v>2907</v>
      </c>
      <c r="D876" s="72"/>
    </row>
    <row r="877" spans="1:4" ht="12.75" customHeight="1" outlineLevel="1" x14ac:dyDescent="0.35">
      <c r="A877" s="76" t="s">
        <v>348</v>
      </c>
      <c r="B877" s="99" t="s">
        <v>2908</v>
      </c>
      <c r="C877" s="76" t="s">
        <v>2909</v>
      </c>
      <c r="D877" s="72"/>
    </row>
    <row r="878" spans="1:4" ht="12.75" customHeight="1" outlineLevel="1" x14ac:dyDescent="0.35">
      <c r="A878" s="76" t="s">
        <v>348</v>
      </c>
      <c r="B878" s="99" t="s">
        <v>2910</v>
      </c>
      <c r="C878" s="76" t="s">
        <v>2911</v>
      </c>
      <c r="D878" s="72"/>
    </row>
    <row r="879" spans="1:4" ht="12.75" customHeight="1" outlineLevel="1" x14ac:dyDescent="0.35">
      <c r="A879" s="76" t="s">
        <v>348</v>
      </c>
      <c r="B879" s="99" t="s">
        <v>2912</v>
      </c>
      <c r="C879" s="76" t="s">
        <v>2913</v>
      </c>
      <c r="D879" s="72"/>
    </row>
    <row r="880" spans="1:4" ht="12.75" customHeight="1" outlineLevel="1" x14ac:dyDescent="0.35">
      <c r="A880" s="76" t="s">
        <v>348</v>
      </c>
      <c r="B880" s="99" t="s">
        <v>2914</v>
      </c>
      <c r="C880" s="76" t="s">
        <v>2915</v>
      </c>
      <c r="D880" s="72"/>
    </row>
    <row r="881" spans="1:4" ht="12.75" customHeight="1" outlineLevel="1" x14ac:dyDescent="0.35">
      <c r="A881" s="76" t="s">
        <v>348</v>
      </c>
      <c r="B881" s="99" t="s">
        <v>2916</v>
      </c>
      <c r="C881" s="76" t="s">
        <v>2917</v>
      </c>
      <c r="D881" s="72"/>
    </row>
    <row r="882" spans="1:4" ht="12.75" customHeight="1" outlineLevel="1" x14ac:dyDescent="0.35">
      <c r="A882" s="76" t="s">
        <v>348</v>
      </c>
      <c r="B882" s="99" t="s">
        <v>2918</v>
      </c>
      <c r="C882" s="76" t="s">
        <v>2919</v>
      </c>
      <c r="D882" s="72"/>
    </row>
    <row r="883" spans="1:4" ht="12.75" customHeight="1" outlineLevel="1" x14ac:dyDescent="0.35">
      <c r="A883" s="76" t="s">
        <v>348</v>
      </c>
      <c r="B883" s="99" t="s">
        <v>2920</v>
      </c>
      <c r="C883" s="76" t="s">
        <v>2921</v>
      </c>
      <c r="D883" s="72"/>
    </row>
    <row r="884" spans="1:4" ht="12.75" customHeight="1" outlineLevel="1" x14ac:dyDescent="0.35">
      <c r="A884" s="76" t="s">
        <v>348</v>
      </c>
      <c r="B884" s="99" t="s">
        <v>2922</v>
      </c>
      <c r="C884" s="76" t="s">
        <v>2923</v>
      </c>
      <c r="D884" s="72"/>
    </row>
    <row r="885" spans="1:4" ht="12.75" customHeight="1" outlineLevel="1" x14ac:dyDescent="0.35">
      <c r="A885" s="76" t="s">
        <v>348</v>
      </c>
      <c r="B885" s="99" t="s">
        <v>2924</v>
      </c>
      <c r="C885" s="76" t="s">
        <v>2925</v>
      </c>
      <c r="D885" s="72"/>
    </row>
    <row r="886" spans="1:4" ht="12.75" customHeight="1" outlineLevel="1" x14ac:dyDescent="0.35">
      <c r="A886" s="76" t="s">
        <v>348</v>
      </c>
      <c r="B886" s="99" t="s">
        <v>2926</v>
      </c>
      <c r="C886" s="76" t="s">
        <v>2927</v>
      </c>
      <c r="D886" s="72"/>
    </row>
    <row r="887" spans="1:4" ht="12.75" customHeight="1" outlineLevel="1" x14ac:dyDescent="0.35">
      <c r="A887" s="76" t="s">
        <v>348</v>
      </c>
      <c r="B887" s="99" t="s">
        <v>2928</v>
      </c>
      <c r="C887" s="76" t="s">
        <v>2929</v>
      </c>
      <c r="D887" s="72"/>
    </row>
    <row r="888" spans="1:4" ht="12.75" customHeight="1" outlineLevel="1" x14ac:dyDescent="0.35">
      <c r="A888" s="76" t="s">
        <v>348</v>
      </c>
      <c r="B888" s="99" t="s">
        <v>2930</v>
      </c>
      <c r="C888" s="76" t="s">
        <v>2931</v>
      </c>
      <c r="D888" s="72"/>
    </row>
    <row r="889" spans="1:4" ht="12.75" customHeight="1" outlineLevel="1" x14ac:dyDescent="0.35">
      <c r="A889" s="76" t="s">
        <v>348</v>
      </c>
      <c r="B889" s="99" t="s">
        <v>2932</v>
      </c>
      <c r="C889" s="76" t="s">
        <v>2933</v>
      </c>
      <c r="D889" s="72"/>
    </row>
    <row r="890" spans="1:4" ht="12.75" customHeight="1" outlineLevel="1" x14ac:dyDescent="0.35">
      <c r="A890" s="76" t="s">
        <v>348</v>
      </c>
      <c r="B890" s="99" t="s">
        <v>2934</v>
      </c>
      <c r="C890" s="76" t="s">
        <v>2935</v>
      </c>
      <c r="D890" s="72"/>
    </row>
    <row r="891" spans="1:4" ht="12.75" customHeight="1" outlineLevel="1" x14ac:dyDescent="0.35">
      <c r="A891" s="76" t="s">
        <v>348</v>
      </c>
      <c r="B891" s="99" t="s">
        <v>2936</v>
      </c>
      <c r="C891" s="76" t="s">
        <v>2937</v>
      </c>
      <c r="D891" s="72"/>
    </row>
    <row r="892" spans="1:4" ht="12.75" customHeight="1" outlineLevel="1" x14ac:dyDescent="0.35">
      <c r="A892" s="76" t="s">
        <v>348</v>
      </c>
      <c r="B892" s="99" t="s">
        <v>2938</v>
      </c>
      <c r="C892" s="76" t="s">
        <v>2939</v>
      </c>
      <c r="D892" s="72"/>
    </row>
    <row r="893" spans="1:4" ht="12.75" customHeight="1" outlineLevel="1" x14ac:dyDescent="0.35">
      <c r="A893" s="76" t="s">
        <v>348</v>
      </c>
      <c r="B893" s="99" t="s">
        <v>2940</v>
      </c>
      <c r="C893" s="76" t="s">
        <v>2941</v>
      </c>
      <c r="D893" s="72"/>
    </row>
    <row r="894" spans="1:4" ht="12.75" customHeight="1" outlineLevel="1" x14ac:dyDescent="0.35">
      <c r="A894" s="76" t="s">
        <v>348</v>
      </c>
      <c r="B894" s="99" t="s">
        <v>2942</v>
      </c>
      <c r="C894" s="76" t="s">
        <v>2943</v>
      </c>
      <c r="D894" s="72"/>
    </row>
    <row r="895" spans="1:4" ht="12.75" customHeight="1" outlineLevel="1" x14ac:dyDescent="0.35">
      <c r="A895" s="76" t="s">
        <v>348</v>
      </c>
      <c r="B895" s="99" t="s">
        <v>2944</v>
      </c>
      <c r="C895" s="76" t="s">
        <v>2945</v>
      </c>
      <c r="D895" s="72"/>
    </row>
    <row r="896" spans="1:4" ht="12.75" customHeight="1" outlineLevel="1" x14ac:dyDescent="0.35">
      <c r="A896" s="76" t="s">
        <v>348</v>
      </c>
      <c r="B896" s="99" t="s">
        <v>2946</v>
      </c>
      <c r="C896" s="76" t="s">
        <v>2947</v>
      </c>
      <c r="D896" s="72"/>
    </row>
    <row r="897" spans="1:4" ht="12.75" customHeight="1" outlineLevel="1" x14ac:dyDescent="0.35">
      <c r="A897" s="76" t="s">
        <v>348</v>
      </c>
      <c r="B897" s="99" t="s">
        <v>2948</v>
      </c>
      <c r="C897" s="76" t="s">
        <v>2949</v>
      </c>
      <c r="D897" s="72"/>
    </row>
    <row r="898" spans="1:4" ht="12.75" customHeight="1" outlineLevel="1" x14ac:dyDescent="0.35">
      <c r="A898" s="76" t="s">
        <v>348</v>
      </c>
      <c r="B898" s="99" t="s">
        <v>2950</v>
      </c>
      <c r="C898" s="76" t="s">
        <v>2951</v>
      </c>
      <c r="D898" s="72"/>
    </row>
    <row r="899" spans="1:4" ht="12.75" customHeight="1" outlineLevel="1" x14ac:dyDescent="0.35">
      <c r="A899" s="76" t="s">
        <v>348</v>
      </c>
      <c r="B899" s="99" t="s">
        <v>2952</v>
      </c>
      <c r="C899" s="76" t="s">
        <v>2953</v>
      </c>
      <c r="D899" s="72"/>
    </row>
    <row r="900" spans="1:4" ht="12.75" customHeight="1" outlineLevel="1" x14ac:dyDescent="0.35">
      <c r="A900" s="76" t="s">
        <v>348</v>
      </c>
      <c r="B900" s="99" t="s">
        <v>2954</v>
      </c>
      <c r="C900" s="76" t="s">
        <v>2955</v>
      </c>
      <c r="D900" s="72"/>
    </row>
    <row r="901" spans="1:4" ht="12.75" customHeight="1" outlineLevel="1" x14ac:dyDescent="0.35">
      <c r="A901" s="76" t="s">
        <v>348</v>
      </c>
      <c r="B901" s="99" t="s">
        <v>2956</v>
      </c>
      <c r="C901" s="76" t="s">
        <v>2957</v>
      </c>
      <c r="D901" s="72"/>
    </row>
    <row r="902" spans="1:4" ht="12.75" customHeight="1" outlineLevel="1" x14ac:dyDescent="0.35">
      <c r="A902" s="76" t="s">
        <v>348</v>
      </c>
      <c r="B902" s="99" t="s">
        <v>2958</v>
      </c>
      <c r="C902" s="76" t="s">
        <v>2959</v>
      </c>
      <c r="D902" s="72"/>
    </row>
    <row r="903" spans="1:4" ht="12.75" customHeight="1" outlineLevel="1" x14ac:dyDescent="0.35">
      <c r="A903" s="76" t="s">
        <v>348</v>
      </c>
      <c r="B903" s="99" t="s">
        <v>2960</v>
      </c>
      <c r="C903" s="76" t="s">
        <v>2961</v>
      </c>
      <c r="D903" s="72"/>
    </row>
    <row r="904" spans="1:4" ht="12.75" customHeight="1" outlineLevel="1" x14ac:dyDescent="0.35">
      <c r="A904" s="76" t="s">
        <v>348</v>
      </c>
      <c r="B904" s="99" t="s">
        <v>2962</v>
      </c>
      <c r="C904" s="76" t="s">
        <v>2963</v>
      </c>
      <c r="D904" s="72"/>
    </row>
    <row r="905" spans="1:4" ht="12.75" customHeight="1" outlineLevel="1" x14ac:dyDescent="0.35">
      <c r="A905" s="76" t="s">
        <v>348</v>
      </c>
      <c r="B905" s="99" t="s">
        <v>2964</v>
      </c>
      <c r="C905" s="76" t="s">
        <v>2965</v>
      </c>
      <c r="D905" s="72"/>
    </row>
    <row r="906" spans="1:4" ht="12.75" customHeight="1" outlineLevel="1" x14ac:dyDescent="0.35">
      <c r="A906" s="76" t="s">
        <v>348</v>
      </c>
      <c r="B906" s="99" t="s">
        <v>2966</v>
      </c>
      <c r="C906" s="76" t="s">
        <v>2967</v>
      </c>
      <c r="D906" s="72"/>
    </row>
    <row r="907" spans="1:4" ht="12.75" customHeight="1" outlineLevel="1" x14ac:dyDescent="0.35">
      <c r="A907" s="76" t="s">
        <v>348</v>
      </c>
      <c r="B907" s="99" t="s">
        <v>2968</v>
      </c>
      <c r="C907" s="76" t="s">
        <v>2969</v>
      </c>
      <c r="D907" s="72"/>
    </row>
    <row r="908" spans="1:4" ht="12.75" customHeight="1" outlineLevel="1" x14ac:dyDescent="0.35">
      <c r="A908" s="76" t="s">
        <v>348</v>
      </c>
      <c r="B908" s="99" t="s">
        <v>2970</v>
      </c>
      <c r="C908" s="76" t="s">
        <v>2971</v>
      </c>
      <c r="D908" s="72"/>
    </row>
    <row r="909" spans="1:4" ht="12.75" customHeight="1" outlineLevel="1" x14ac:dyDescent="0.35">
      <c r="A909" s="76" t="s">
        <v>348</v>
      </c>
      <c r="B909" s="99" t="s">
        <v>2972</v>
      </c>
      <c r="C909" s="76" t="s">
        <v>2973</v>
      </c>
      <c r="D909" s="72"/>
    </row>
    <row r="910" spans="1:4" ht="12.75" customHeight="1" outlineLevel="1" x14ac:dyDescent="0.35">
      <c r="A910" s="76" t="s">
        <v>348</v>
      </c>
      <c r="B910" s="99" t="s">
        <v>2974</v>
      </c>
      <c r="C910" s="76" t="s">
        <v>2975</v>
      </c>
      <c r="D910" s="72"/>
    </row>
    <row r="911" spans="1:4" ht="12.75" customHeight="1" outlineLevel="1" x14ac:dyDescent="0.35">
      <c r="A911" s="76" t="s">
        <v>348</v>
      </c>
      <c r="B911" s="99" t="s">
        <v>2976</v>
      </c>
      <c r="C911" s="76" t="s">
        <v>2977</v>
      </c>
      <c r="D911" s="72"/>
    </row>
    <row r="912" spans="1:4" ht="12.75" customHeight="1" outlineLevel="1" x14ac:dyDescent="0.35">
      <c r="A912" s="76" t="s">
        <v>348</v>
      </c>
      <c r="B912" s="99" t="s">
        <v>2978</v>
      </c>
      <c r="C912" s="76" t="s">
        <v>2979</v>
      </c>
      <c r="D912" s="72"/>
    </row>
    <row r="913" spans="1:4" ht="12.75" customHeight="1" outlineLevel="1" x14ac:dyDescent="0.35">
      <c r="A913" s="76" t="s">
        <v>348</v>
      </c>
      <c r="B913" s="99" t="s">
        <v>2980</v>
      </c>
      <c r="C913" s="76" t="s">
        <v>2981</v>
      </c>
      <c r="D913" s="72"/>
    </row>
    <row r="914" spans="1:4" ht="12.75" customHeight="1" outlineLevel="1" x14ac:dyDescent="0.35">
      <c r="A914" s="76" t="s">
        <v>348</v>
      </c>
      <c r="B914" s="99" t="s">
        <v>2982</v>
      </c>
      <c r="C914" s="76" t="s">
        <v>2983</v>
      </c>
      <c r="D914" s="72"/>
    </row>
    <row r="915" spans="1:4" ht="12.75" customHeight="1" outlineLevel="1" x14ac:dyDescent="0.35">
      <c r="A915" s="76" t="s">
        <v>348</v>
      </c>
      <c r="B915" s="99" t="s">
        <v>2984</v>
      </c>
      <c r="C915" s="76" t="s">
        <v>2985</v>
      </c>
      <c r="D915" s="72"/>
    </row>
    <row r="916" spans="1:4" ht="12.75" customHeight="1" outlineLevel="1" x14ac:dyDescent="0.35">
      <c r="A916" s="76" t="s">
        <v>348</v>
      </c>
      <c r="B916" s="99" t="s">
        <v>2986</v>
      </c>
      <c r="C916" s="76" t="s">
        <v>2987</v>
      </c>
      <c r="D916" s="72"/>
    </row>
    <row r="917" spans="1:4" ht="12.75" customHeight="1" outlineLevel="1" x14ac:dyDescent="0.35">
      <c r="A917" s="76" t="s">
        <v>348</v>
      </c>
      <c r="B917" s="99" t="s">
        <v>2988</v>
      </c>
      <c r="C917" s="76" t="s">
        <v>2989</v>
      </c>
      <c r="D917" s="72"/>
    </row>
    <row r="918" spans="1:4" ht="12.75" customHeight="1" outlineLevel="1" x14ac:dyDescent="0.35">
      <c r="A918" s="76" t="s">
        <v>348</v>
      </c>
      <c r="B918" s="99" t="s">
        <v>2990</v>
      </c>
      <c r="C918" s="76" t="s">
        <v>2991</v>
      </c>
      <c r="D918" s="72"/>
    </row>
    <row r="919" spans="1:4" ht="12.75" customHeight="1" outlineLevel="1" x14ac:dyDescent="0.35">
      <c r="A919" s="76" t="s">
        <v>348</v>
      </c>
      <c r="B919" s="99" t="s">
        <v>2992</v>
      </c>
      <c r="C919" s="76" t="s">
        <v>2993</v>
      </c>
      <c r="D919" s="72"/>
    </row>
    <row r="920" spans="1:4" ht="12.75" customHeight="1" outlineLevel="1" x14ac:dyDescent="0.35">
      <c r="A920" s="76" t="s">
        <v>348</v>
      </c>
      <c r="B920" s="99" t="s">
        <v>2994</v>
      </c>
      <c r="C920" s="76" t="s">
        <v>2995</v>
      </c>
      <c r="D920" s="72"/>
    </row>
    <row r="921" spans="1:4" ht="12.75" customHeight="1" outlineLevel="1" x14ac:dyDescent="0.35">
      <c r="A921" s="76" t="s">
        <v>348</v>
      </c>
      <c r="B921" s="99" t="s">
        <v>2996</v>
      </c>
      <c r="C921" s="76" t="s">
        <v>2997</v>
      </c>
      <c r="D921" s="72"/>
    </row>
    <row r="922" spans="1:4" ht="12.75" customHeight="1" outlineLevel="1" x14ac:dyDescent="0.35">
      <c r="A922" s="76" t="s">
        <v>348</v>
      </c>
      <c r="B922" s="99" t="s">
        <v>2998</v>
      </c>
      <c r="C922" s="76" t="s">
        <v>2999</v>
      </c>
      <c r="D922" s="72"/>
    </row>
    <row r="923" spans="1:4" ht="12.75" customHeight="1" outlineLevel="1" x14ac:dyDescent="0.35">
      <c r="A923" s="76" t="s">
        <v>348</v>
      </c>
      <c r="B923" s="99" t="s">
        <v>3000</v>
      </c>
      <c r="C923" s="76" t="s">
        <v>3001</v>
      </c>
      <c r="D923" s="72"/>
    </row>
    <row r="924" spans="1:4" ht="12.75" customHeight="1" outlineLevel="1" x14ac:dyDescent="0.35">
      <c r="A924" s="76" t="s">
        <v>348</v>
      </c>
      <c r="B924" s="99" t="s">
        <v>3002</v>
      </c>
      <c r="C924" s="76" t="s">
        <v>3003</v>
      </c>
      <c r="D924" s="72"/>
    </row>
    <row r="925" spans="1:4" ht="12.75" customHeight="1" outlineLevel="1" x14ac:dyDescent="0.35">
      <c r="A925" s="76" t="s">
        <v>348</v>
      </c>
      <c r="B925" s="99" t="s">
        <v>3004</v>
      </c>
      <c r="C925" s="76" t="s">
        <v>3005</v>
      </c>
      <c r="D925" s="72"/>
    </row>
    <row r="926" spans="1:4" ht="12.75" customHeight="1" outlineLevel="1" x14ac:dyDescent="0.35">
      <c r="A926" s="76" t="s">
        <v>348</v>
      </c>
      <c r="B926" s="99" t="s">
        <v>3006</v>
      </c>
      <c r="C926" s="76" t="s">
        <v>3007</v>
      </c>
      <c r="D926" s="72"/>
    </row>
    <row r="927" spans="1:4" ht="12.75" customHeight="1" outlineLevel="1" x14ac:dyDescent="0.35">
      <c r="A927" s="76" t="s">
        <v>348</v>
      </c>
      <c r="B927" s="99" t="s">
        <v>3008</v>
      </c>
      <c r="C927" s="76" t="s">
        <v>3009</v>
      </c>
      <c r="D927" s="72"/>
    </row>
    <row r="928" spans="1:4" ht="12.75" customHeight="1" outlineLevel="1" x14ac:dyDescent="0.35">
      <c r="A928" s="76" t="s">
        <v>348</v>
      </c>
      <c r="B928" s="99" t="s">
        <v>3010</v>
      </c>
      <c r="C928" s="76" t="s">
        <v>3011</v>
      </c>
      <c r="D928" s="72"/>
    </row>
    <row r="929" spans="1:4" ht="12.75" customHeight="1" outlineLevel="1" x14ac:dyDescent="0.35">
      <c r="A929" s="76" t="s">
        <v>348</v>
      </c>
      <c r="B929" s="99" t="s">
        <v>3012</v>
      </c>
      <c r="C929" s="76" t="s">
        <v>3013</v>
      </c>
      <c r="D929" s="72"/>
    </row>
    <row r="930" spans="1:4" ht="12.75" customHeight="1" outlineLevel="1" x14ac:dyDescent="0.35">
      <c r="A930" s="76" t="s">
        <v>348</v>
      </c>
      <c r="B930" s="99" t="s">
        <v>3014</v>
      </c>
      <c r="C930" s="76" t="s">
        <v>3015</v>
      </c>
      <c r="D930" s="72"/>
    </row>
    <row r="931" spans="1:4" ht="12.75" customHeight="1" outlineLevel="1" x14ac:dyDescent="0.35">
      <c r="A931" s="76" t="s">
        <v>348</v>
      </c>
      <c r="B931" s="99" t="s">
        <v>3016</v>
      </c>
      <c r="C931" s="76" t="s">
        <v>3017</v>
      </c>
      <c r="D931" s="72"/>
    </row>
    <row r="932" spans="1:4" ht="12.75" customHeight="1" outlineLevel="1" x14ac:dyDescent="0.35">
      <c r="A932" s="76" t="s">
        <v>348</v>
      </c>
      <c r="B932" s="99" t="s">
        <v>3018</v>
      </c>
      <c r="C932" s="76" t="s">
        <v>3019</v>
      </c>
      <c r="D932" s="72"/>
    </row>
    <row r="933" spans="1:4" ht="12.75" customHeight="1" outlineLevel="1" x14ac:dyDescent="0.35">
      <c r="A933" s="76" t="s">
        <v>348</v>
      </c>
      <c r="B933" s="99" t="s">
        <v>3020</v>
      </c>
      <c r="C933" s="76" t="s">
        <v>3021</v>
      </c>
      <c r="D933" s="72"/>
    </row>
    <row r="934" spans="1:4" ht="12.75" customHeight="1" outlineLevel="1" x14ac:dyDescent="0.35">
      <c r="A934" s="76" t="s">
        <v>348</v>
      </c>
      <c r="B934" s="99" t="s">
        <v>3022</v>
      </c>
      <c r="C934" s="76" t="s">
        <v>3023</v>
      </c>
      <c r="D934" s="72"/>
    </row>
    <row r="935" spans="1:4" ht="12.75" customHeight="1" outlineLevel="1" x14ac:dyDescent="0.35">
      <c r="A935" s="76" t="s">
        <v>348</v>
      </c>
      <c r="B935" s="99" t="s">
        <v>3024</v>
      </c>
      <c r="C935" s="76" t="s">
        <v>3025</v>
      </c>
      <c r="D935" s="72"/>
    </row>
    <row r="936" spans="1:4" ht="12.75" customHeight="1" outlineLevel="1" x14ac:dyDescent="0.35">
      <c r="A936" s="76" t="s">
        <v>348</v>
      </c>
      <c r="B936" s="99" t="s">
        <v>3026</v>
      </c>
      <c r="C936" s="76" t="s">
        <v>3027</v>
      </c>
      <c r="D936" s="72"/>
    </row>
    <row r="937" spans="1:4" ht="12.75" customHeight="1" outlineLevel="1" x14ac:dyDescent="0.35">
      <c r="A937" s="76" t="s">
        <v>348</v>
      </c>
      <c r="B937" s="99" t="s">
        <v>3028</v>
      </c>
      <c r="C937" s="76" t="s">
        <v>3029</v>
      </c>
      <c r="D937" s="72"/>
    </row>
    <row r="938" spans="1:4" ht="12.75" customHeight="1" outlineLevel="1" x14ac:dyDescent="0.35">
      <c r="A938" s="76" t="s">
        <v>348</v>
      </c>
      <c r="B938" s="99" t="s">
        <v>3030</v>
      </c>
      <c r="C938" s="76" t="s">
        <v>3031</v>
      </c>
      <c r="D938" s="72"/>
    </row>
    <row r="939" spans="1:4" ht="12.75" customHeight="1" outlineLevel="1" x14ac:dyDescent="0.35">
      <c r="A939" s="76" t="s">
        <v>348</v>
      </c>
      <c r="B939" s="99" t="s">
        <v>3032</v>
      </c>
      <c r="C939" s="76" t="s">
        <v>3033</v>
      </c>
      <c r="D939" s="72"/>
    </row>
    <row r="940" spans="1:4" ht="12.75" customHeight="1" outlineLevel="1" x14ac:dyDescent="0.35">
      <c r="A940" s="76" t="s">
        <v>348</v>
      </c>
      <c r="B940" s="99" t="s">
        <v>3034</v>
      </c>
      <c r="C940" s="76" t="s">
        <v>3035</v>
      </c>
      <c r="D940" s="72"/>
    </row>
    <row r="941" spans="1:4" ht="12.75" customHeight="1" outlineLevel="1" x14ac:dyDescent="0.35">
      <c r="A941" s="76" t="s">
        <v>348</v>
      </c>
      <c r="B941" s="99" t="s">
        <v>3036</v>
      </c>
      <c r="C941" s="76" t="s">
        <v>3037</v>
      </c>
      <c r="D941" s="72"/>
    </row>
    <row r="942" spans="1:4" ht="12.75" customHeight="1" outlineLevel="1" x14ac:dyDescent="0.35">
      <c r="A942" s="76" t="s">
        <v>348</v>
      </c>
      <c r="B942" s="99" t="s">
        <v>3038</v>
      </c>
      <c r="C942" s="76" t="s">
        <v>3039</v>
      </c>
      <c r="D942" s="72"/>
    </row>
    <row r="943" spans="1:4" ht="12.75" customHeight="1" outlineLevel="1" x14ac:dyDescent="0.35">
      <c r="A943" s="76" t="s">
        <v>348</v>
      </c>
      <c r="B943" s="99" t="s">
        <v>3040</v>
      </c>
      <c r="C943" s="76" t="s">
        <v>3041</v>
      </c>
      <c r="D943" s="72"/>
    </row>
    <row r="944" spans="1:4" ht="12.75" customHeight="1" outlineLevel="1" x14ac:dyDescent="0.35">
      <c r="A944" s="76" t="s">
        <v>348</v>
      </c>
      <c r="B944" s="99" t="s">
        <v>3042</v>
      </c>
      <c r="C944" s="76" t="s">
        <v>3043</v>
      </c>
      <c r="D944" s="72"/>
    </row>
    <row r="945" spans="1:4" ht="12.75" customHeight="1" outlineLevel="1" x14ac:dyDescent="0.35">
      <c r="A945" s="76" t="s">
        <v>348</v>
      </c>
      <c r="B945" s="99" t="s">
        <v>3044</v>
      </c>
      <c r="C945" s="76" t="s">
        <v>3045</v>
      </c>
      <c r="D945" s="72"/>
    </row>
    <row r="946" spans="1:4" ht="12.75" customHeight="1" outlineLevel="1" x14ac:dyDescent="0.35">
      <c r="A946" s="76" t="s">
        <v>348</v>
      </c>
      <c r="B946" s="99" t="s">
        <v>3046</v>
      </c>
      <c r="C946" s="76" t="s">
        <v>3047</v>
      </c>
      <c r="D946" s="72"/>
    </row>
    <row r="947" spans="1:4" ht="12.75" customHeight="1" outlineLevel="1" x14ac:dyDescent="0.35">
      <c r="A947" s="76" t="s">
        <v>348</v>
      </c>
      <c r="B947" s="99" t="s">
        <v>3048</v>
      </c>
      <c r="C947" s="76" t="s">
        <v>3049</v>
      </c>
      <c r="D947" s="72"/>
    </row>
    <row r="948" spans="1:4" ht="12.75" customHeight="1" outlineLevel="1" x14ac:dyDescent="0.35">
      <c r="A948" s="76" t="s">
        <v>348</v>
      </c>
      <c r="B948" s="99" t="s">
        <v>3050</v>
      </c>
      <c r="C948" s="76" t="s">
        <v>3051</v>
      </c>
      <c r="D948" s="72"/>
    </row>
    <row r="949" spans="1:4" ht="12.75" customHeight="1" outlineLevel="1" x14ac:dyDescent="0.35">
      <c r="A949" s="76" t="s">
        <v>348</v>
      </c>
      <c r="B949" s="99" t="s">
        <v>3052</v>
      </c>
      <c r="C949" s="76" t="s">
        <v>3053</v>
      </c>
      <c r="D949" s="72"/>
    </row>
    <row r="950" spans="1:4" ht="12.75" customHeight="1" outlineLevel="1" x14ac:dyDescent="0.35">
      <c r="A950" s="76" t="s">
        <v>348</v>
      </c>
      <c r="B950" s="99" t="s">
        <v>3054</v>
      </c>
      <c r="C950" s="76" t="s">
        <v>3055</v>
      </c>
      <c r="D950" s="72"/>
    </row>
    <row r="951" spans="1:4" ht="12.75" customHeight="1" outlineLevel="1" x14ac:dyDescent="0.35">
      <c r="A951" s="76" t="s">
        <v>348</v>
      </c>
      <c r="B951" s="99" t="s">
        <v>3056</v>
      </c>
      <c r="C951" s="76" t="s">
        <v>3057</v>
      </c>
      <c r="D951" s="72"/>
    </row>
    <row r="952" spans="1:4" ht="12.75" customHeight="1" outlineLevel="1" x14ac:dyDescent="0.35">
      <c r="A952" s="76" t="s">
        <v>348</v>
      </c>
      <c r="B952" s="99" t="s">
        <v>3058</v>
      </c>
      <c r="C952" s="76" t="s">
        <v>3059</v>
      </c>
      <c r="D952" s="72"/>
    </row>
    <row r="953" spans="1:4" ht="12.75" customHeight="1" outlineLevel="1" x14ac:dyDescent="0.35">
      <c r="A953" s="76" t="s">
        <v>348</v>
      </c>
      <c r="B953" s="99" t="s">
        <v>3060</v>
      </c>
      <c r="C953" s="76" t="s">
        <v>3061</v>
      </c>
      <c r="D953" s="72"/>
    </row>
    <row r="954" spans="1:4" ht="12.75" customHeight="1" outlineLevel="1" x14ac:dyDescent="0.35">
      <c r="A954" s="76" t="s">
        <v>348</v>
      </c>
      <c r="B954" s="99" t="s">
        <v>3062</v>
      </c>
      <c r="C954" s="76" t="s">
        <v>3063</v>
      </c>
      <c r="D954" s="72"/>
    </row>
    <row r="955" spans="1:4" ht="12.75" customHeight="1" outlineLevel="1" x14ac:dyDescent="0.35">
      <c r="A955" s="76" t="s">
        <v>348</v>
      </c>
      <c r="B955" s="99" t="s">
        <v>3064</v>
      </c>
      <c r="C955" s="76" t="s">
        <v>3065</v>
      </c>
      <c r="D955" s="72"/>
    </row>
    <row r="956" spans="1:4" ht="12.75" customHeight="1" outlineLevel="1" x14ac:dyDescent="0.35">
      <c r="A956" s="76" t="s">
        <v>348</v>
      </c>
      <c r="B956" s="99" t="s">
        <v>3066</v>
      </c>
      <c r="C956" s="76" t="s">
        <v>3067</v>
      </c>
      <c r="D956" s="72"/>
    </row>
    <row r="957" spans="1:4" ht="12.75" customHeight="1" outlineLevel="1" x14ac:dyDescent="0.35">
      <c r="A957" s="76" t="s">
        <v>348</v>
      </c>
      <c r="B957" s="99" t="s">
        <v>3068</v>
      </c>
      <c r="C957" s="76" t="s">
        <v>3069</v>
      </c>
      <c r="D957" s="72"/>
    </row>
    <row r="958" spans="1:4" ht="12.75" customHeight="1" outlineLevel="1" x14ac:dyDescent="0.35">
      <c r="A958" s="76" t="s">
        <v>348</v>
      </c>
      <c r="B958" s="99" t="s">
        <v>3070</v>
      </c>
      <c r="C958" s="76" t="s">
        <v>3071</v>
      </c>
      <c r="D958" s="72"/>
    </row>
    <row r="959" spans="1:4" ht="12.75" customHeight="1" outlineLevel="1" x14ac:dyDescent="0.35">
      <c r="A959" s="76" t="s">
        <v>348</v>
      </c>
      <c r="B959" s="99" t="s">
        <v>3072</v>
      </c>
      <c r="C959" s="76" t="s">
        <v>3073</v>
      </c>
      <c r="D959" s="72"/>
    </row>
    <row r="960" spans="1:4" ht="12.75" customHeight="1" outlineLevel="1" x14ac:dyDescent="0.35">
      <c r="A960" s="76" t="s">
        <v>348</v>
      </c>
      <c r="B960" s="99" t="s">
        <v>3074</v>
      </c>
      <c r="C960" s="76" t="s">
        <v>3075</v>
      </c>
      <c r="D960" s="72"/>
    </row>
    <row r="961" spans="1:4" ht="12.75" customHeight="1" outlineLevel="1" x14ac:dyDescent="0.35">
      <c r="A961" s="76" t="s">
        <v>348</v>
      </c>
      <c r="B961" s="99" t="s">
        <v>3076</v>
      </c>
      <c r="C961" s="76" t="s">
        <v>3077</v>
      </c>
      <c r="D961" s="72"/>
    </row>
    <row r="962" spans="1:4" ht="12.75" customHeight="1" outlineLevel="1" x14ac:dyDescent="0.35">
      <c r="A962" s="76" t="s">
        <v>348</v>
      </c>
      <c r="B962" s="99" t="s">
        <v>3078</v>
      </c>
      <c r="C962" s="76" t="s">
        <v>3079</v>
      </c>
      <c r="D962" s="72"/>
    </row>
    <row r="963" spans="1:4" ht="12.75" customHeight="1" outlineLevel="1" x14ac:dyDescent="0.35">
      <c r="A963" s="76" t="s">
        <v>348</v>
      </c>
      <c r="B963" s="99" t="s">
        <v>3080</v>
      </c>
      <c r="C963" s="76" t="s">
        <v>3081</v>
      </c>
      <c r="D963" s="72"/>
    </row>
    <row r="964" spans="1:4" ht="12.75" customHeight="1" outlineLevel="1" x14ac:dyDescent="0.35">
      <c r="A964" s="76" t="s">
        <v>348</v>
      </c>
      <c r="B964" s="99" t="s">
        <v>3082</v>
      </c>
      <c r="C964" s="76" t="s">
        <v>3083</v>
      </c>
      <c r="D964" s="72"/>
    </row>
    <row r="965" spans="1:4" ht="12.75" customHeight="1" outlineLevel="1" x14ac:dyDescent="0.35">
      <c r="A965" s="76" t="s">
        <v>348</v>
      </c>
      <c r="B965" s="99" t="s">
        <v>3084</v>
      </c>
      <c r="C965" s="76" t="s">
        <v>3085</v>
      </c>
      <c r="D965" s="72"/>
    </row>
    <row r="966" spans="1:4" ht="12.75" customHeight="1" outlineLevel="1" x14ac:dyDescent="0.35">
      <c r="A966" s="76" t="s">
        <v>348</v>
      </c>
      <c r="B966" s="99" t="s">
        <v>3086</v>
      </c>
      <c r="C966" s="76" t="s">
        <v>3087</v>
      </c>
      <c r="D966" s="72"/>
    </row>
    <row r="967" spans="1:4" ht="12.75" customHeight="1" outlineLevel="1" x14ac:dyDescent="0.35">
      <c r="A967" s="76" t="s">
        <v>348</v>
      </c>
      <c r="B967" s="99" t="s">
        <v>3088</v>
      </c>
      <c r="C967" s="76" t="s">
        <v>3089</v>
      </c>
      <c r="D967" s="72"/>
    </row>
    <row r="968" spans="1:4" ht="12.75" customHeight="1" outlineLevel="1" x14ac:dyDescent="0.35">
      <c r="A968" s="76" t="s">
        <v>348</v>
      </c>
      <c r="B968" s="99" t="s">
        <v>3090</v>
      </c>
      <c r="C968" s="76" t="s">
        <v>3091</v>
      </c>
      <c r="D968" s="72"/>
    </row>
    <row r="969" spans="1:4" ht="12.75" customHeight="1" outlineLevel="1" x14ac:dyDescent="0.35">
      <c r="A969" s="76" t="s">
        <v>348</v>
      </c>
      <c r="B969" s="99" t="s">
        <v>3092</v>
      </c>
      <c r="C969" s="76" t="s">
        <v>3093</v>
      </c>
      <c r="D969" s="72"/>
    </row>
    <row r="970" spans="1:4" ht="12.75" customHeight="1" outlineLevel="1" x14ac:dyDescent="0.35">
      <c r="A970" s="76" t="s">
        <v>348</v>
      </c>
      <c r="B970" s="99" t="s">
        <v>3094</v>
      </c>
      <c r="C970" s="76" t="s">
        <v>3095</v>
      </c>
      <c r="D970" s="72"/>
    </row>
    <row r="971" spans="1:4" ht="12.75" customHeight="1" outlineLevel="1" x14ac:dyDescent="0.35">
      <c r="A971" s="76" t="s">
        <v>348</v>
      </c>
      <c r="B971" s="99" t="s">
        <v>3096</v>
      </c>
      <c r="C971" s="76" t="s">
        <v>3097</v>
      </c>
      <c r="D971" s="72"/>
    </row>
    <row r="972" spans="1:4" ht="12.75" customHeight="1" outlineLevel="1" x14ac:dyDescent="0.35">
      <c r="A972" s="76" t="s">
        <v>348</v>
      </c>
      <c r="B972" s="99" t="s">
        <v>3098</v>
      </c>
      <c r="C972" s="76" t="s">
        <v>3099</v>
      </c>
      <c r="D972" s="72"/>
    </row>
    <row r="973" spans="1:4" ht="12.75" customHeight="1" outlineLevel="1" x14ac:dyDescent="0.35">
      <c r="A973" s="76" t="s">
        <v>348</v>
      </c>
      <c r="B973" s="99" t="s">
        <v>3100</v>
      </c>
      <c r="C973" s="76" t="s">
        <v>3101</v>
      </c>
      <c r="D973" s="72"/>
    </row>
    <row r="974" spans="1:4" ht="12.75" customHeight="1" outlineLevel="1" x14ac:dyDescent="0.35">
      <c r="A974" s="76" t="s">
        <v>348</v>
      </c>
      <c r="B974" s="99" t="s">
        <v>3102</v>
      </c>
      <c r="C974" s="76" t="s">
        <v>3103</v>
      </c>
      <c r="D974" s="72"/>
    </row>
    <row r="975" spans="1:4" ht="12.75" customHeight="1" outlineLevel="1" x14ac:dyDescent="0.35">
      <c r="A975" s="76" t="s">
        <v>348</v>
      </c>
      <c r="B975" s="99" t="s">
        <v>3104</v>
      </c>
      <c r="C975" s="76" t="s">
        <v>3105</v>
      </c>
      <c r="D975" s="72"/>
    </row>
    <row r="976" spans="1:4" ht="12.75" customHeight="1" outlineLevel="1" x14ac:dyDescent="0.35">
      <c r="A976" s="76" t="s">
        <v>348</v>
      </c>
      <c r="B976" s="99" t="s">
        <v>3106</v>
      </c>
      <c r="C976" s="76" t="s">
        <v>3107</v>
      </c>
      <c r="D976" s="72"/>
    </row>
    <row r="977" spans="1:4" ht="12.75" customHeight="1" outlineLevel="1" x14ac:dyDescent="0.35">
      <c r="A977" s="76" t="s">
        <v>348</v>
      </c>
      <c r="B977" s="99" t="s">
        <v>3108</v>
      </c>
      <c r="C977" s="76" t="s">
        <v>3109</v>
      </c>
      <c r="D977" s="72"/>
    </row>
    <row r="978" spans="1:4" ht="12.75" customHeight="1" outlineLevel="1" x14ac:dyDescent="0.35">
      <c r="A978" s="76" t="s">
        <v>348</v>
      </c>
      <c r="B978" s="99" t="s">
        <v>3110</v>
      </c>
      <c r="C978" s="76" t="s">
        <v>3111</v>
      </c>
      <c r="D978" s="72"/>
    </row>
    <row r="979" spans="1:4" ht="12.75" customHeight="1" outlineLevel="1" x14ac:dyDescent="0.35">
      <c r="A979" s="76" t="s">
        <v>348</v>
      </c>
      <c r="B979" s="99" t="s">
        <v>3112</v>
      </c>
      <c r="C979" s="76" t="s">
        <v>3113</v>
      </c>
      <c r="D979" s="72"/>
    </row>
    <row r="980" spans="1:4" ht="12.75" customHeight="1" outlineLevel="1" x14ac:dyDescent="0.35">
      <c r="A980" s="76" t="s">
        <v>348</v>
      </c>
      <c r="B980" s="99" t="s">
        <v>3114</v>
      </c>
      <c r="C980" s="76" t="s">
        <v>3115</v>
      </c>
      <c r="D980" s="72"/>
    </row>
    <row r="981" spans="1:4" ht="12.75" customHeight="1" outlineLevel="1" x14ac:dyDescent="0.35">
      <c r="A981" s="76" t="s">
        <v>348</v>
      </c>
      <c r="B981" s="99" t="s">
        <v>3116</v>
      </c>
      <c r="C981" s="76" t="s">
        <v>3117</v>
      </c>
      <c r="D981" s="72"/>
    </row>
    <row r="982" spans="1:4" ht="12.75" customHeight="1" outlineLevel="1" x14ac:dyDescent="0.35">
      <c r="A982" s="76" t="s">
        <v>348</v>
      </c>
      <c r="B982" s="99" t="s">
        <v>3118</v>
      </c>
      <c r="C982" s="76" t="s">
        <v>3119</v>
      </c>
      <c r="D982" s="72"/>
    </row>
    <row r="983" spans="1:4" ht="12.75" customHeight="1" outlineLevel="1" x14ac:dyDescent="0.35">
      <c r="A983" s="76" t="s">
        <v>348</v>
      </c>
      <c r="B983" s="99" t="s">
        <v>3120</v>
      </c>
      <c r="C983" s="76" t="s">
        <v>3121</v>
      </c>
      <c r="D983" s="72"/>
    </row>
    <row r="984" spans="1:4" ht="12.75" customHeight="1" outlineLevel="1" x14ac:dyDescent="0.35">
      <c r="A984" s="76" t="s">
        <v>348</v>
      </c>
      <c r="B984" s="99" t="s">
        <v>3122</v>
      </c>
      <c r="C984" s="76" t="s">
        <v>3123</v>
      </c>
      <c r="D984" s="72"/>
    </row>
    <row r="985" spans="1:4" ht="12.75" customHeight="1" outlineLevel="1" x14ac:dyDescent="0.35">
      <c r="A985" s="76" t="s">
        <v>348</v>
      </c>
      <c r="B985" s="99" t="s">
        <v>3124</v>
      </c>
      <c r="C985" s="76" t="s">
        <v>3125</v>
      </c>
      <c r="D985" s="72"/>
    </row>
    <row r="986" spans="1:4" ht="12.75" customHeight="1" outlineLevel="1" x14ac:dyDescent="0.35">
      <c r="A986" s="76" t="s">
        <v>348</v>
      </c>
      <c r="B986" s="99" t="s">
        <v>3126</v>
      </c>
      <c r="C986" s="76" t="s">
        <v>3127</v>
      </c>
      <c r="D986" s="72"/>
    </row>
    <row r="987" spans="1:4" ht="12.75" customHeight="1" outlineLevel="1" x14ac:dyDescent="0.35">
      <c r="A987" s="76" t="s">
        <v>348</v>
      </c>
      <c r="B987" s="99" t="s">
        <v>3128</v>
      </c>
      <c r="C987" s="76" t="s">
        <v>3129</v>
      </c>
      <c r="D987" s="72"/>
    </row>
    <row r="988" spans="1:4" ht="12.75" customHeight="1" outlineLevel="1" x14ac:dyDescent="0.35">
      <c r="A988" s="76" t="s">
        <v>348</v>
      </c>
      <c r="B988" s="99" t="s">
        <v>3130</v>
      </c>
      <c r="C988" s="76" t="s">
        <v>3131</v>
      </c>
      <c r="D988" s="72"/>
    </row>
    <row r="989" spans="1:4" ht="12.75" customHeight="1" outlineLevel="1" x14ac:dyDescent="0.35">
      <c r="A989" s="76" t="s">
        <v>348</v>
      </c>
      <c r="B989" s="99" t="s">
        <v>3132</v>
      </c>
      <c r="C989" s="76" t="s">
        <v>3133</v>
      </c>
      <c r="D989" s="72"/>
    </row>
    <row r="990" spans="1:4" ht="12.75" customHeight="1" outlineLevel="1" x14ac:dyDescent="0.35">
      <c r="A990" s="76" t="s">
        <v>348</v>
      </c>
      <c r="B990" s="99" t="s">
        <v>3134</v>
      </c>
      <c r="C990" s="76" t="s">
        <v>3135</v>
      </c>
      <c r="D990" s="72"/>
    </row>
    <row r="991" spans="1:4" ht="12.75" customHeight="1" outlineLevel="1" x14ac:dyDescent="0.35">
      <c r="A991" s="76" t="s">
        <v>348</v>
      </c>
      <c r="B991" s="99" t="s">
        <v>3136</v>
      </c>
      <c r="C991" s="76" t="s">
        <v>3137</v>
      </c>
      <c r="D991" s="72"/>
    </row>
    <row r="992" spans="1:4" ht="12.75" customHeight="1" outlineLevel="1" x14ac:dyDescent="0.35">
      <c r="A992" s="76" t="s">
        <v>348</v>
      </c>
      <c r="B992" s="99" t="s">
        <v>3138</v>
      </c>
      <c r="C992" s="76" t="s">
        <v>3139</v>
      </c>
      <c r="D992" s="72"/>
    </row>
    <row r="993" spans="1:4" ht="12.75" customHeight="1" outlineLevel="1" x14ac:dyDescent="0.35">
      <c r="A993" s="76" t="s">
        <v>348</v>
      </c>
      <c r="B993" s="99" t="s">
        <v>3140</v>
      </c>
      <c r="C993" s="76" t="s">
        <v>3141</v>
      </c>
      <c r="D993" s="72"/>
    </row>
    <row r="994" spans="1:4" ht="12.75" customHeight="1" outlineLevel="1" x14ac:dyDescent="0.35">
      <c r="A994" s="76" t="s">
        <v>348</v>
      </c>
      <c r="B994" s="99" t="s">
        <v>3142</v>
      </c>
      <c r="C994" s="76" t="s">
        <v>3143</v>
      </c>
      <c r="D994" s="72"/>
    </row>
    <row r="995" spans="1:4" ht="12.75" customHeight="1" outlineLevel="1" x14ac:dyDescent="0.35">
      <c r="A995" s="76" t="s">
        <v>348</v>
      </c>
      <c r="B995" s="99" t="s">
        <v>3144</v>
      </c>
      <c r="C995" s="76" t="s">
        <v>3145</v>
      </c>
      <c r="D995" s="72"/>
    </row>
    <row r="996" spans="1:4" ht="12.75" customHeight="1" outlineLevel="1" x14ac:dyDescent="0.35">
      <c r="A996" s="76" t="s">
        <v>348</v>
      </c>
      <c r="B996" s="99" t="s">
        <v>3146</v>
      </c>
      <c r="C996" s="76" t="s">
        <v>3147</v>
      </c>
      <c r="D996" s="72"/>
    </row>
    <row r="997" spans="1:4" ht="12.75" customHeight="1" outlineLevel="1" x14ac:dyDescent="0.35">
      <c r="A997" s="76" t="s">
        <v>348</v>
      </c>
      <c r="B997" s="99" t="s">
        <v>3148</v>
      </c>
      <c r="C997" s="76" t="s">
        <v>3149</v>
      </c>
      <c r="D997" s="72"/>
    </row>
    <row r="998" spans="1:4" ht="12.75" customHeight="1" outlineLevel="1" x14ac:dyDescent="0.35">
      <c r="A998" s="76" t="s">
        <v>348</v>
      </c>
      <c r="B998" s="99" t="s">
        <v>3150</v>
      </c>
      <c r="C998" s="76" t="s">
        <v>3151</v>
      </c>
      <c r="D998" s="72"/>
    </row>
    <row r="999" spans="1:4" ht="12.75" customHeight="1" outlineLevel="1" x14ac:dyDescent="0.35">
      <c r="A999" s="76" t="s">
        <v>348</v>
      </c>
      <c r="B999" s="99" t="s">
        <v>3152</v>
      </c>
      <c r="C999" s="76" t="s">
        <v>3153</v>
      </c>
      <c r="D999" s="72"/>
    </row>
    <row r="1000" spans="1:4" ht="12.75" customHeight="1" outlineLevel="1" x14ac:dyDescent="0.35">
      <c r="A1000" s="76" t="s">
        <v>348</v>
      </c>
      <c r="B1000" s="99" t="s">
        <v>3154</v>
      </c>
      <c r="C1000" s="76" t="s">
        <v>3155</v>
      </c>
      <c r="D1000" s="72"/>
    </row>
    <row r="1001" spans="1:4" ht="12.75" customHeight="1" outlineLevel="1" x14ac:dyDescent="0.35">
      <c r="A1001" s="76" t="s">
        <v>348</v>
      </c>
      <c r="B1001" s="99" t="s">
        <v>3156</v>
      </c>
      <c r="C1001" s="76" t="s">
        <v>3157</v>
      </c>
      <c r="D1001" s="72"/>
    </row>
    <row r="1002" spans="1:4" ht="12.75" customHeight="1" outlineLevel="1" x14ac:dyDescent="0.35">
      <c r="A1002" s="76" t="s">
        <v>348</v>
      </c>
      <c r="B1002" s="99" t="s">
        <v>3158</v>
      </c>
      <c r="C1002" s="76" t="s">
        <v>3159</v>
      </c>
      <c r="D1002" s="72"/>
    </row>
    <row r="1003" spans="1:4" ht="12.75" customHeight="1" outlineLevel="1" x14ac:dyDescent="0.35">
      <c r="A1003" s="76" t="s">
        <v>348</v>
      </c>
      <c r="B1003" s="99" t="s">
        <v>3160</v>
      </c>
      <c r="C1003" s="76" t="s">
        <v>3161</v>
      </c>
      <c r="D1003" s="72"/>
    </row>
    <row r="1004" spans="1:4" ht="12.75" customHeight="1" outlineLevel="1" x14ac:dyDescent="0.35">
      <c r="A1004" s="76" t="s">
        <v>348</v>
      </c>
      <c r="B1004" s="99" t="s">
        <v>3162</v>
      </c>
      <c r="C1004" s="76" t="s">
        <v>3163</v>
      </c>
      <c r="D1004" s="72"/>
    </row>
    <row r="1005" spans="1:4" ht="12.75" customHeight="1" outlineLevel="1" x14ac:dyDescent="0.35">
      <c r="A1005" s="76" t="s">
        <v>348</v>
      </c>
      <c r="B1005" s="99" t="s">
        <v>3164</v>
      </c>
      <c r="C1005" s="76" t="s">
        <v>3165</v>
      </c>
      <c r="D1005" s="72"/>
    </row>
    <row r="1006" spans="1:4" ht="12.75" customHeight="1" outlineLevel="1" x14ac:dyDescent="0.35">
      <c r="A1006" s="76" t="s">
        <v>348</v>
      </c>
      <c r="B1006" s="99" t="s">
        <v>3166</v>
      </c>
      <c r="C1006" s="76" t="s">
        <v>3167</v>
      </c>
      <c r="D1006" s="72"/>
    </row>
    <row r="1007" spans="1:4" ht="12.75" customHeight="1" outlineLevel="1" x14ac:dyDescent="0.35">
      <c r="A1007" s="76" t="s">
        <v>348</v>
      </c>
      <c r="B1007" s="99" t="s">
        <v>3168</v>
      </c>
      <c r="C1007" s="76" t="s">
        <v>3169</v>
      </c>
      <c r="D1007" s="72"/>
    </row>
    <row r="1008" spans="1:4" ht="12.75" customHeight="1" outlineLevel="1" x14ac:dyDescent="0.35">
      <c r="A1008" s="76" t="s">
        <v>348</v>
      </c>
      <c r="B1008" s="99" t="s">
        <v>3170</v>
      </c>
      <c r="C1008" s="76" t="s">
        <v>3171</v>
      </c>
      <c r="D1008" s="72"/>
    </row>
    <row r="1009" spans="1:4" ht="12.75" customHeight="1" outlineLevel="1" x14ac:dyDescent="0.35">
      <c r="A1009" s="76" t="s">
        <v>348</v>
      </c>
      <c r="B1009" s="99" t="s">
        <v>3172</v>
      </c>
      <c r="C1009" s="76" t="s">
        <v>3173</v>
      </c>
      <c r="D1009" s="72"/>
    </row>
    <row r="1010" spans="1:4" ht="12.75" customHeight="1" outlineLevel="1" x14ac:dyDescent="0.35">
      <c r="A1010" s="76" t="s">
        <v>348</v>
      </c>
      <c r="B1010" s="99" t="s">
        <v>3174</v>
      </c>
      <c r="C1010" s="76" t="s">
        <v>3175</v>
      </c>
      <c r="D1010" s="72"/>
    </row>
    <row r="1011" spans="1:4" ht="12.75" customHeight="1" outlineLevel="1" x14ac:dyDescent="0.35">
      <c r="A1011" s="76" t="s">
        <v>348</v>
      </c>
      <c r="B1011" s="99" t="s">
        <v>3176</v>
      </c>
      <c r="C1011" s="76" t="s">
        <v>3177</v>
      </c>
      <c r="D1011" s="72"/>
    </row>
    <row r="1012" spans="1:4" ht="12.75" customHeight="1" outlineLevel="1" x14ac:dyDescent="0.35">
      <c r="A1012" s="76" t="s">
        <v>348</v>
      </c>
      <c r="B1012" s="99" t="s">
        <v>3178</v>
      </c>
      <c r="C1012" s="76" t="s">
        <v>3179</v>
      </c>
      <c r="D1012" s="72"/>
    </row>
    <row r="1013" spans="1:4" ht="12.75" customHeight="1" outlineLevel="1" x14ac:dyDescent="0.35">
      <c r="A1013" s="76" t="s">
        <v>348</v>
      </c>
      <c r="B1013" s="99" t="s">
        <v>3180</v>
      </c>
      <c r="C1013" s="76" t="s">
        <v>3181</v>
      </c>
      <c r="D1013" s="72"/>
    </row>
    <row r="1014" spans="1:4" ht="12.75" customHeight="1" outlineLevel="1" x14ac:dyDescent="0.35">
      <c r="A1014" s="76" t="s">
        <v>348</v>
      </c>
      <c r="B1014" s="99" t="s">
        <v>3182</v>
      </c>
      <c r="C1014" s="76" t="s">
        <v>3183</v>
      </c>
      <c r="D1014" s="72"/>
    </row>
    <row r="1015" spans="1:4" ht="12.75" customHeight="1" outlineLevel="1" x14ac:dyDescent="0.35">
      <c r="A1015" s="76" t="s">
        <v>348</v>
      </c>
      <c r="B1015" s="99" t="s">
        <v>3184</v>
      </c>
      <c r="C1015" s="76" t="s">
        <v>3185</v>
      </c>
      <c r="D1015" s="72"/>
    </row>
    <row r="1016" spans="1:4" ht="12.75" customHeight="1" outlineLevel="1" x14ac:dyDescent="0.35">
      <c r="A1016" s="76" t="s">
        <v>348</v>
      </c>
      <c r="B1016" s="99" t="s">
        <v>3186</v>
      </c>
      <c r="C1016" s="76" t="s">
        <v>3187</v>
      </c>
      <c r="D1016" s="72"/>
    </row>
    <row r="1017" spans="1:4" ht="12.75" customHeight="1" outlineLevel="1" x14ac:dyDescent="0.35">
      <c r="A1017" s="76" t="s">
        <v>348</v>
      </c>
      <c r="B1017" s="99" t="s">
        <v>3188</v>
      </c>
      <c r="C1017" s="76" t="s">
        <v>3189</v>
      </c>
      <c r="D1017" s="72"/>
    </row>
    <row r="1018" spans="1:4" ht="12.75" customHeight="1" outlineLevel="1" x14ac:dyDescent="0.35">
      <c r="A1018" s="76" t="s">
        <v>348</v>
      </c>
      <c r="B1018" s="99" t="s">
        <v>3190</v>
      </c>
      <c r="C1018" s="76" t="s">
        <v>3191</v>
      </c>
      <c r="D1018" s="72"/>
    </row>
    <row r="1019" spans="1:4" ht="12.75" customHeight="1" outlineLevel="1" x14ac:dyDescent="0.35">
      <c r="A1019" s="76" t="s">
        <v>348</v>
      </c>
      <c r="B1019" s="99" t="s">
        <v>3192</v>
      </c>
      <c r="C1019" s="76" t="s">
        <v>3193</v>
      </c>
      <c r="D1019" s="72"/>
    </row>
    <row r="1020" spans="1:4" ht="12.75" customHeight="1" outlineLevel="1" x14ac:dyDescent="0.35">
      <c r="A1020" s="76" t="s">
        <v>348</v>
      </c>
      <c r="B1020" s="99" t="s">
        <v>3194</v>
      </c>
      <c r="C1020" s="76" t="s">
        <v>3195</v>
      </c>
      <c r="D1020" s="72"/>
    </row>
    <row r="1021" spans="1:4" ht="12.75" customHeight="1" outlineLevel="1" x14ac:dyDescent="0.35">
      <c r="A1021" s="76" t="s">
        <v>348</v>
      </c>
      <c r="B1021" s="99" t="s">
        <v>3196</v>
      </c>
      <c r="C1021" s="76" t="s">
        <v>3197</v>
      </c>
      <c r="D1021" s="72"/>
    </row>
    <row r="1022" spans="1:4" ht="12.75" customHeight="1" outlineLevel="1" x14ac:dyDescent="0.35">
      <c r="A1022" s="76" t="s">
        <v>348</v>
      </c>
      <c r="B1022" s="99" t="s">
        <v>3198</v>
      </c>
      <c r="C1022" s="76" t="s">
        <v>3199</v>
      </c>
      <c r="D1022" s="72"/>
    </row>
    <row r="1023" spans="1:4" ht="12.75" customHeight="1" outlineLevel="1" x14ac:dyDescent="0.35">
      <c r="A1023" s="76" t="s">
        <v>348</v>
      </c>
      <c r="B1023" s="99" t="s">
        <v>3200</v>
      </c>
      <c r="C1023" s="76" t="s">
        <v>3201</v>
      </c>
      <c r="D1023" s="72"/>
    </row>
    <row r="1024" spans="1:4" ht="12.75" customHeight="1" outlineLevel="1" x14ac:dyDescent="0.35">
      <c r="A1024" s="76" t="s">
        <v>348</v>
      </c>
      <c r="B1024" s="99" t="s">
        <v>3202</v>
      </c>
      <c r="C1024" s="76" t="s">
        <v>3203</v>
      </c>
      <c r="D1024" s="72"/>
    </row>
    <row r="1025" spans="1:4" ht="12.75" customHeight="1" outlineLevel="1" x14ac:dyDescent="0.35">
      <c r="A1025" s="76" t="s">
        <v>348</v>
      </c>
      <c r="B1025" s="99" t="s">
        <v>3204</v>
      </c>
      <c r="C1025" s="76" t="s">
        <v>3205</v>
      </c>
      <c r="D1025" s="72"/>
    </row>
    <row r="1026" spans="1:4" ht="12.75" customHeight="1" outlineLevel="1" x14ac:dyDescent="0.35">
      <c r="A1026" s="76" t="s">
        <v>348</v>
      </c>
      <c r="B1026" s="99" t="s">
        <v>3206</v>
      </c>
      <c r="C1026" s="76" t="s">
        <v>3207</v>
      </c>
      <c r="D1026" s="72"/>
    </row>
    <row r="1027" spans="1:4" ht="12.75" customHeight="1" outlineLevel="1" x14ac:dyDescent="0.35">
      <c r="A1027" s="76" t="s">
        <v>348</v>
      </c>
      <c r="B1027" s="99" t="s">
        <v>3208</v>
      </c>
      <c r="C1027" s="76" t="s">
        <v>3209</v>
      </c>
      <c r="D1027" s="72"/>
    </row>
    <row r="1028" spans="1:4" ht="12.75" customHeight="1" outlineLevel="1" x14ac:dyDescent="0.35">
      <c r="A1028" s="76" t="s">
        <v>348</v>
      </c>
      <c r="B1028" s="99" t="s">
        <v>3210</v>
      </c>
      <c r="C1028" s="76" t="s">
        <v>3211</v>
      </c>
      <c r="D1028" s="72"/>
    </row>
    <row r="1029" spans="1:4" ht="12.75" customHeight="1" outlineLevel="1" x14ac:dyDescent="0.35">
      <c r="A1029" s="76" t="s">
        <v>348</v>
      </c>
      <c r="B1029" s="99" t="s">
        <v>3212</v>
      </c>
      <c r="C1029" s="76" t="s">
        <v>3213</v>
      </c>
      <c r="D1029" s="72"/>
    </row>
    <row r="1030" spans="1:4" ht="12.75" customHeight="1" outlineLevel="1" x14ac:dyDescent="0.35">
      <c r="A1030" s="76" t="s">
        <v>348</v>
      </c>
      <c r="B1030" s="99" t="s">
        <v>3214</v>
      </c>
      <c r="C1030" s="76" t="s">
        <v>3215</v>
      </c>
      <c r="D1030" s="72"/>
    </row>
    <row r="1031" spans="1:4" ht="12.75" customHeight="1" outlineLevel="1" x14ac:dyDescent="0.35">
      <c r="A1031" s="76" t="s">
        <v>348</v>
      </c>
      <c r="B1031" s="99" t="s">
        <v>3216</v>
      </c>
      <c r="C1031" s="76" t="s">
        <v>3217</v>
      </c>
      <c r="D1031" s="72"/>
    </row>
    <row r="1032" spans="1:4" ht="12.75" customHeight="1" outlineLevel="1" x14ac:dyDescent="0.35">
      <c r="A1032" s="76" t="s">
        <v>348</v>
      </c>
      <c r="B1032" s="99" t="s">
        <v>3218</v>
      </c>
      <c r="C1032" s="76" t="s">
        <v>3219</v>
      </c>
      <c r="D1032" s="72"/>
    </row>
    <row r="1033" spans="1:4" ht="12.75" customHeight="1" outlineLevel="1" x14ac:dyDescent="0.35">
      <c r="A1033" s="76" t="s">
        <v>348</v>
      </c>
      <c r="B1033" s="99" t="s">
        <v>3220</v>
      </c>
      <c r="C1033" s="76" t="s">
        <v>3221</v>
      </c>
      <c r="D1033" s="72"/>
    </row>
    <row r="1034" spans="1:4" ht="12.75" customHeight="1" outlineLevel="1" x14ac:dyDescent="0.35">
      <c r="A1034" s="76" t="s">
        <v>348</v>
      </c>
      <c r="B1034" s="99" t="s">
        <v>3222</v>
      </c>
      <c r="C1034" s="76" t="s">
        <v>3223</v>
      </c>
      <c r="D1034" s="72"/>
    </row>
    <row r="1035" spans="1:4" ht="12.75" customHeight="1" outlineLevel="1" x14ac:dyDescent="0.35">
      <c r="A1035" s="76" t="s">
        <v>348</v>
      </c>
      <c r="B1035" s="99" t="s">
        <v>3224</v>
      </c>
      <c r="C1035" s="76" t="s">
        <v>3225</v>
      </c>
      <c r="D1035" s="72"/>
    </row>
    <row r="1036" spans="1:4" ht="12.75" customHeight="1" outlineLevel="1" x14ac:dyDescent="0.35">
      <c r="A1036" s="76" t="s">
        <v>348</v>
      </c>
      <c r="B1036" s="99" t="s">
        <v>3226</v>
      </c>
      <c r="C1036" s="76" t="s">
        <v>3227</v>
      </c>
      <c r="D1036" s="72"/>
    </row>
    <row r="1037" spans="1:4" ht="12.75" customHeight="1" outlineLevel="1" x14ac:dyDescent="0.35">
      <c r="A1037" s="76" t="s">
        <v>348</v>
      </c>
      <c r="B1037" s="99" t="s">
        <v>3228</v>
      </c>
      <c r="C1037" s="76" t="s">
        <v>3229</v>
      </c>
      <c r="D1037" s="72"/>
    </row>
    <row r="1038" spans="1:4" ht="12.75" customHeight="1" outlineLevel="1" x14ac:dyDescent="0.35">
      <c r="A1038" s="76" t="s">
        <v>348</v>
      </c>
      <c r="B1038" s="99" t="s">
        <v>3230</v>
      </c>
      <c r="C1038" s="76" t="s">
        <v>3231</v>
      </c>
      <c r="D1038" s="72"/>
    </row>
    <row r="1039" spans="1:4" ht="12.75" customHeight="1" outlineLevel="1" x14ac:dyDescent="0.35">
      <c r="A1039" s="76" t="s">
        <v>348</v>
      </c>
      <c r="B1039" s="99" t="s">
        <v>3232</v>
      </c>
      <c r="C1039" s="76" t="s">
        <v>3233</v>
      </c>
      <c r="D1039" s="72"/>
    </row>
    <row r="1040" spans="1:4" ht="12.75" customHeight="1" outlineLevel="1" x14ac:dyDescent="0.35">
      <c r="A1040" s="76" t="s">
        <v>348</v>
      </c>
      <c r="B1040" s="99" t="s">
        <v>3234</v>
      </c>
      <c r="C1040" s="76" t="s">
        <v>3235</v>
      </c>
      <c r="D1040" s="72"/>
    </row>
    <row r="1041" spans="1:4" ht="12.75" customHeight="1" outlineLevel="1" x14ac:dyDescent="0.35">
      <c r="A1041" s="76" t="s">
        <v>348</v>
      </c>
      <c r="B1041" s="99" t="s">
        <v>3236</v>
      </c>
      <c r="C1041" s="76" t="s">
        <v>3237</v>
      </c>
      <c r="D1041" s="72"/>
    </row>
    <row r="1042" spans="1:4" ht="12.75" customHeight="1" outlineLevel="1" x14ac:dyDescent="0.35">
      <c r="A1042" s="76" t="s">
        <v>348</v>
      </c>
      <c r="B1042" s="99" t="s">
        <v>3238</v>
      </c>
      <c r="C1042" s="76" t="s">
        <v>3239</v>
      </c>
      <c r="D1042" s="72"/>
    </row>
    <row r="1043" spans="1:4" ht="12.75" customHeight="1" outlineLevel="1" x14ac:dyDescent="0.35">
      <c r="A1043" s="76" t="s">
        <v>348</v>
      </c>
      <c r="B1043" s="99" t="s">
        <v>3240</v>
      </c>
      <c r="C1043" s="76" t="s">
        <v>3241</v>
      </c>
      <c r="D1043" s="72"/>
    </row>
    <row r="1044" spans="1:4" ht="12.75" customHeight="1" outlineLevel="1" x14ac:dyDescent="0.35">
      <c r="A1044" s="76" t="s">
        <v>348</v>
      </c>
      <c r="B1044" s="99" t="s">
        <v>3242</v>
      </c>
      <c r="C1044" s="76" t="s">
        <v>3243</v>
      </c>
      <c r="D1044" s="72"/>
    </row>
    <row r="1045" spans="1:4" ht="12.75" customHeight="1" outlineLevel="1" x14ac:dyDescent="0.35">
      <c r="A1045" s="76" t="s">
        <v>348</v>
      </c>
      <c r="B1045" s="99" t="s">
        <v>3244</v>
      </c>
      <c r="C1045" s="76" t="s">
        <v>3245</v>
      </c>
      <c r="D1045" s="72"/>
    </row>
    <row r="1046" spans="1:4" ht="12.75" customHeight="1" outlineLevel="1" x14ac:dyDescent="0.35">
      <c r="A1046" s="76" t="s">
        <v>348</v>
      </c>
      <c r="B1046" s="99" t="s">
        <v>3246</v>
      </c>
      <c r="C1046" s="76" t="s">
        <v>3247</v>
      </c>
      <c r="D1046" s="72"/>
    </row>
    <row r="1047" spans="1:4" ht="12.75" customHeight="1" outlineLevel="1" x14ac:dyDescent="0.35">
      <c r="A1047" s="76" t="s">
        <v>348</v>
      </c>
      <c r="B1047" s="99" t="s">
        <v>3248</v>
      </c>
      <c r="C1047" s="76" t="s">
        <v>3249</v>
      </c>
      <c r="D1047" s="72"/>
    </row>
    <row r="1048" spans="1:4" ht="12.75" customHeight="1" outlineLevel="1" x14ac:dyDescent="0.35">
      <c r="A1048" s="76" t="s">
        <v>348</v>
      </c>
      <c r="B1048" s="99" t="s">
        <v>3250</v>
      </c>
      <c r="C1048" s="76" t="s">
        <v>3251</v>
      </c>
      <c r="D1048" s="72"/>
    </row>
    <row r="1049" spans="1:4" ht="12.75" customHeight="1" outlineLevel="1" x14ac:dyDescent="0.35">
      <c r="A1049" s="76" t="s">
        <v>348</v>
      </c>
      <c r="B1049" s="99" t="s">
        <v>3252</v>
      </c>
      <c r="C1049" s="76" t="s">
        <v>3253</v>
      </c>
      <c r="D1049" s="72"/>
    </row>
    <row r="1050" spans="1:4" ht="12.75" customHeight="1" outlineLevel="1" x14ac:dyDescent="0.35">
      <c r="A1050" s="76" t="s">
        <v>348</v>
      </c>
      <c r="B1050" s="99" t="s">
        <v>3254</v>
      </c>
      <c r="C1050" s="76" t="s">
        <v>3255</v>
      </c>
      <c r="D1050" s="72"/>
    </row>
    <row r="1051" spans="1:4" ht="12.75" customHeight="1" outlineLevel="1" x14ac:dyDescent="0.35">
      <c r="A1051" s="76" t="s">
        <v>348</v>
      </c>
      <c r="B1051" s="99" t="s">
        <v>3256</v>
      </c>
      <c r="C1051" s="76" t="s">
        <v>3257</v>
      </c>
      <c r="D1051" s="72"/>
    </row>
    <row r="1052" spans="1:4" ht="12.75" customHeight="1" outlineLevel="1" x14ac:dyDescent="0.35">
      <c r="A1052" s="76" t="s">
        <v>348</v>
      </c>
      <c r="B1052" s="99" t="s">
        <v>3258</v>
      </c>
      <c r="C1052" s="76" t="s">
        <v>3259</v>
      </c>
      <c r="D1052" s="72"/>
    </row>
    <row r="1053" spans="1:4" ht="12.75" customHeight="1" outlineLevel="1" x14ac:dyDescent="0.35">
      <c r="A1053" s="76" t="s">
        <v>348</v>
      </c>
      <c r="B1053" s="99" t="s">
        <v>3260</v>
      </c>
      <c r="C1053" s="76" t="s">
        <v>3261</v>
      </c>
      <c r="D1053" s="73"/>
    </row>
    <row r="1054" spans="1:4" ht="12.75" customHeight="1" outlineLevel="1" x14ac:dyDescent="0.35">
      <c r="A1054" s="76" t="s">
        <v>348</v>
      </c>
      <c r="B1054" s="99" t="s">
        <v>3262</v>
      </c>
      <c r="C1054" s="76" t="s">
        <v>3263</v>
      </c>
      <c r="D1054" s="72"/>
    </row>
    <row r="1055" spans="1:4" ht="12.75" customHeight="1" outlineLevel="1" x14ac:dyDescent="0.35">
      <c r="A1055" s="76" t="s">
        <v>348</v>
      </c>
      <c r="B1055" s="99" t="s">
        <v>3264</v>
      </c>
      <c r="C1055" s="76" t="s">
        <v>3265</v>
      </c>
      <c r="D1055" s="72"/>
    </row>
    <row r="1056" spans="1:4" ht="12.75" customHeight="1" outlineLevel="1" x14ac:dyDescent="0.35">
      <c r="A1056" s="76" t="s">
        <v>348</v>
      </c>
      <c r="B1056" s="99" t="s">
        <v>3266</v>
      </c>
      <c r="C1056" s="76" t="s">
        <v>3267</v>
      </c>
      <c r="D1056" s="72"/>
    </row>
    <row r="1057" spans="1:4" ht="12.75" customHeight="1" outlineLevel="1" x14ac:dyDescent="0.35">
      <c r="A1057" s="76" t="s">
        <v>348</v>
      </c>
      <c r="B1057" s="99" t="s">
        <v>3268</v>
      </c>
      <c r="C1057" s="76" t="s">
        <v>3269</v>
      </c>
      <c r="D1057" s="72"/>
    </row>
    <row r="1058" spans="1:4" ht="12.75" customHeight="1" outlineLevel="1" x14ac:dyDescent="0.35">
      <c r="A1058" s="76" t="s">
        <v>348</v>
      </c>
      <c r="B1058" s="99" t="s">
        <v>3270</v>
      </c>
      <c r="C1058" s="76" t="s">
        <v>3271</v>
      </c>
      <c r="D1058" s="72"/>
    </row>
    <row r="1059" spans="1:4" ht="12.75" customHeight="1" outlineLevel="1" x14ac:dyDescent="0.35">
      <c r="A1059" s="76" t="s">
        <v>348</v>
      </c>
      <c r="B1059" s="99" t="s">
        <v>3272</v>
      </c>
      <c r="C1059" s="76" t="s">
        <v>3273</v>
      </c>
      <c r="D1059" s="72"/>
    </row>
    <row r="1060" spans="1:4" ht="12.75" customHeight="1" outlineLevel="1" x14ac:dyDescent="0.35">
      <c r="A1060" s="76" t="s">
        <v>348</v>
      </c>
      <c r="B1060" s="99" t="s">
        <v>3274</v>
      </c>
      <c r="C1060" s="76" t="s">
        <v>3275</v>
      </c>
      <c r="D1060" s="72"/>
    </row>
    <row r="1061" spans="1:4" ht="12.75" customHeight="1" outlineLevel="1" x14ac:dyDescent="0.35">
      <c r="A1061" s="76" t="s">
        <v>348</v>
      </c>
      <c r="B1061" s="99" t="s">
        <v>3276</v>
      </c>
      <c r="C1061" s="76" t="s">
        <v>3277</v>
      </c>
      <c r="D1061" s="72"/>
    </row>
    <row r="1062" spans="1:4" ht="12.75" customHeight="1" outlineLevel="1" x14ac:dyDescent="0.35">
      <c r="A1062" s="76" t="s">
        <v>348</v>
      </c>
      <c r="B1062" s="99" t="s">
        <v>3278</v>
      </c>
      <c r="C1062" s="76" t="s">
        <v>3279</v>
      </c>
      <c r="D1062" s="72"/>
    </row>
    <row r="1063" spans="1:4" ht="12.75" customHeight="1" outlineLevel="1" x14ac:dyDescent="0.35">
      <c r="A1063" s="76" t="s">
        <v>348</v>
      </c>
      <c r="B1063" s="99" t="s">
        <v>3280</v>
      </c>
      <c r="C1063" s="76" t="s">
        <v>3281</v>
      </c>
      <c r="D1063" s="72"/>
    </row>
    <row r="1064" spans="1:4" ht="12.75" customHeight="1" outlineLevel="1" x14ac:dyDescent="0.35">
      <c r="A1064" s="76" t="s">
        <v>348</v>
      </c>
      <c r="B1064" s="99" t="s">
        <v>3282</v>
      </c>
      <c r="C1064" s="76" t="s">
        <v>3283</v>
      </c>
      <c r="D1064" s="72"/>
    </row>
    <row r="1065" spans="1:4" ht="12.75" customHeight="1" outlineLevel="1" x14ac:dyDescent="0.35">
      <c r="A1065" s="76" t="s">
        <v>348</v>
      </c>
      <c r="B1065" s="99" t="s">
        <v>3284</v>
      </c>
      <c r="C1065" s="76" t="s">
        <v>3285</v>
      </c>
      <c r="D1065" s="72"/>
    </row>
    <row r="1066" spans="1:4" ht="12.75" customHeight="1" outlineLevel="1" x14ac:dyDescent="0.35">
      <c r="A1066" s="76" t="s">
        <v>348</v>
      </c>
      <c r="B1066" s="99" t="s">
        <v>3286</v>
      </c>
      <c r="C1066" s="76" t="s">
        <v>3287</v>
      </c>
      <c r="D1066" s="72"/>
    </row>
    <row r="1067" spans="1:4" ht="12.75" customHeight="1" outlineLevel="1" x14ac:dyDescent="0.35">
      <c r="A1067" s="76" t="s">
        <v>348</v>
      </c>
      <c r="B1067" s="99" t="s">
        <v>3288</v>
      </c>
      <c r="C1067" s="76" t="s">
        <v>3289</v>
      </c>
      <c r="D1067" s="72"/>
    </row>
    <row r="1068" spans="1:4" ht="12.75" customHeight="1" outlineLevel="1" x14ac:dyDescent="0.35">
      <c r="A1068" s="76" t="s">
        <v>348</v>
      </c>
      <c r="B1068" s="99" t="s">
        <v>3290</v>
      </c>
      <c r="C1068" s="76" t="s">
        <v>3291</v>
      </c>
      <c r="D1068" s="72"/>
    </row>
    <row r="1069" spans="1:4" ht="12.75" customHeight="1" outlineLevel="1" x14ac:dyDescent="0.35">
      <c r="A1069" s="76" t="s">
        <v>348</v>
      </c>
      <c r="B1069" s="99" t="s">
        <v>3292</v>
      </c>
      <c r="C1069" s="76" t="s">
        <v>3293</v>
      </c>
      <c r="D1069" s="72"/>
    </row>
    <row r="1070" spans="1:4" ht="12.75" customHeight="1" outlineLevel="1" x14ac:dyDescent="0.35">
      <c r="A1070" s="76" t="s">
        <v>348</v>
      </c>
      <c r="B1070" s="99" t="s">
        <v>3294</v>
      </c>
      <c r="C1070" s="76" t="s">
        <v>3295</v>
      </c>
      <c r="D1070" s="72"/>
    </row>
    <row r="1071" spans="1:4" ht="12.75" customHeight="1" outlineLevel="1" x14ac:dyDescent="0.35">
      <c r="A1071" s="76" t="s">
        <v>348</v>
      </c>
      <c r="B1071" s="99" t="s">
        <v>3296</v>
      </c>
      <c r="C1071" s="76" t="s">
        <v>3297</v>
      </c>
      <c r="D1071" s="72"/>
    </row>
    <row r="1072" spans="1:4" ht="12.75" customHeight="1" outlineLevel="1" x14ac:dyDescent="0.35">
      <c r="A1072" s="76" t="s">
        <v>348</v>
      </c>
      <c r="B1072" s="99" t="s">
        <v>3298</v>
      </c>
      <c r="C1072" s="76" t="s">
        <v>3299</v>
      </c>
      <c r="D1072" s="72"/>
    </row>
    <row r="1073" spans="1:4" ht="12.75" customHeight="1" outlineLevel="1" x14ac:dyDescent="0.35">
      <c r="A1073" s="76" t="s">
        <v>348</v>
      </c>
      <c r="B1073" s="99" t="s">
        <v>3300</v>
      </c>
      <c r="C1073" s="76" t="s">
        <v>3301</v>
      </c>
      <c r="D1073" s="72"/>
    </row>
    <row r="1074" spans="1:4" ht="12.75" customHeight="1" outlineLevel="1" x14ac:dyDescent="0.35">
      <c r="A1074" s="76" t="s">
        <v>348</v>
      </c>
      <c r="B1074" s="99" t="s">
        <v>3302</v>
      </c>
      <c r="C1074" s="76" t="s">
        <v>3303</v>
      </c>
      <c r="D1074" s="72"/>
    </row>
    <row r="1075" spans="1:4" ht="12.75" customHeight="1" outlineLevel="1" x14ac:dyDescent="0.35">
      <c r="A1075" s="76" t="s">
        <v>348</v>
      </c>
      <c r="B1075" s="99" t="s">
        <v>3304</v>
      </c>
      <c r="C1075" s="76" t="s">
        <v>3305</v>
      </c>
      <c r="D1075" s="72"/>
    </row>
    <row r="1076" spans="1:4" ht="12.75" customHeight="1" outlineLevel="1" x14ac:dyDescent="0.35">
      <c r="A1076" s="76" t="s">
        <v>348</v>
      </c>
      <c r="B1076" s="99" t="s">
        <v>3306</v>
      </c>
      <c r="C1076" s="76" t="s">
        <v>3307</v>
      </c>
      <c r="D1076" s="72"/>
    </row>
    <row r="1077" spans="1:4" ht="12.75" customHeight="1" outlineLevel="1" x14ac:dyDescent="0.35">
      <c r="A1077" s="76" t="s">
        <v>348</v>
      </c>
      <c r="B1077" s="99" t="s">
        <v>3308</v>
      </c>
      <c r="C1077" s="76" t="s">
        <v>3309</v>
      </c>
      <c r="D1077" s="72"/>
    </row>
    <row r="1078" spans="1:4" ht="12.75" customHeight="1" outlineLevel="1" x14ac:dyDescent="0.35">
      <c r="A1078" s="76" t="s">
        <v>348</v>
      </c>
      <c r="B1078" s="99" t="s">
        <v>3310</v>
      </c>
      <c r="C1078" s="76" t="s">
        <v>3311</v>
      </c>
      <c r="D1078" s="72"/>
    </row>
    <row r="1079" spans="1:4" ht="12.75" customHeight="1" outlineLevel="1" x14ac:dyDescent="0.35">
      <c r="A1079" s="76" t="s">
        <v>348</v>
      </c>
      <c r="B1079" s="99" t="s">
        <v>3312</v>
      </c>
      <c r="C1079" s="76" t="s">
        <v>3313</v>
      </c>
      <c r="D1079" s="72"/>
    </row>
    <row r="1080" spans="1:4" ht="12.75" customHeight="1" outlineLevel="1" x14ac:dyDescent="0.35">
      <c r="A1080" s="76" t="s">
        <v>348</v>
      </c>
      <c r="B1080" s="99" t="s">
        <v>3314</v>
      </c>
      <c r="C1080" s="76" t="s">
        <v>3315</v>
      </c>
      <c r="D1080" s="72"/>
    </row>
    <row r="1081" spans="1:4" ht="12.75" customHeight="1" outlineLevel="1" x14ac:dyDescent="0.35">
      <c r="A1081" s="76" t="s">
        <v>348</v>
      </c>
      <c r="B1081" s="99" t="s">
        <v>3316</v>
      </c>
      <c r="C1081" s="76" t="s">
        <v>3317</v>
      </c>
      <c r="D1081" s="72"/>
    </row>
    <row r="1082" spans="1:4" ht="12.75" customHeight="1" outlineLevel="1" x14ac:dyDescent="0.35">
      <c r="A1082" s="76" t="s">
        <v>348</v>
      </c>
      <c r="B1082" s="99" t="s">
        <v>3318</v>
      </c>
      <c r="C1082" s="76" t="s">
        <v>3319</v>
      </c>
      <c r="D1082" s="72"/>
    </row>
    <row r="1083" spans="1:4" ht="12.75" customHeight="1" outlineLevel="1" x14ac:dyDescent="0.35">
      <c r="A1083" s="76" t="s">
        <v>348</v>
      </c>
      <c r="B1083" s="99" t="s">
        <v>3320</v>
      </c>
      <c r="C1083" s="76" t="s">
        <v>3321</v>
      </c>
      <c r="D1083" s="72"/>
    </row>
    <row r="1084" spans="1:4" ht="12.75" customHeight="1" outlineLevel="1" x14ac:dyDescent="0.35">
      <c r="A1084" s="76" t="s">
        <v>348</v>
      </c>
      <c r="B1084" s="99" t="s">
        <v>3322</v>
      </c>
      <c r="C1084" s="76" t="s">
        <v>3323</v>
      </c>
      <c r="D1084" s="72"/>
    </row>
    <row r="1085" spans="1:4" ht="12.75" customHeight="1" outlineLevel="1" x14ac:dyDescent="0.35">
      <c r="A1085" s="76" t="s">
        <v>348</v>
      </c>
      <c r="B1085" s="99" t="s">
        <v>3324</v>
      </c>
      <c r="C1085" s="76" t="s">
        <v>3325</v>
      </c>
      <c r="D1085" s="72"/>
    </row>
    <row r="1086" spans="1:4" ht="12.75" customHeight="1" outlineLevel="1" x14ac:dyDescent="0.35">
      <c r="A1086" s="76" t="s">
        <v>348</v>
      </c>
      <c r="B1086" s="99" t="s">
        <v>3326</v>
      </c>
      <c r="C1086" s="76" t="s">
        <v>3327</v>
      </c>
      <c r="D1086" s="72"/>
    </row>
    <row r="1087" spans="1:4" ht="12.75" customHeight="1" outlineLevel="1" x14ac:dyDescent="0.35">
      <c r="A1087" s="76" t="s">
        <v>348</v>
      </c>
      <c r="B1087" s="99" t="s">
        <v>3328</v>
      </c>
      <c r="C1087" s="76" t="s">
        <v>3329</v>
      </c>
      <c r="D1087" s="72"/>
    </row>
    <row r="1088" spans="1:4" ht="12.75" customHeight="1" outlineLevel="1" x14ac:dyDescent="0.35">
      <c r="A1088" s="76" t="s">
        <v>348</v>
      </c>
      <c r="B1088" s="99" t="s">
        <v>3330</v>
      </c>
      <c r="C1088" s="76" t="s">
        <v>3331</v>
      </c>
      <c r="D1088" s="72"/>
    </row>
    <row r="1089" spans="1:4" ht="12.75" customHeight="1" outlineLevel="1" x14ac:dyDescent="0.35">
      <c r="A1089" s="76" t="s">
        <v>348</v>
      </c>
      <c r="B1089" s="99" t="s">
        <v>3332</v>
      </c>
      <c r="C1089" s="76" t="s">
        <v>3333</v>
      </c>
      <c r="D1089" s="72"/>
    </row>
    <row r="1090" spans="1:4" ht="12.75" customHeight="1" outlineLevel="1" x14ac:dyDescent="0.35">
      <c r="A1090" s="76" t="s">
        <v>348</v>
      </c>
      <c r="B1090" s="99" t="s">
        <v>3334</v>
      </c>
      <c r="C1090" s="76" t="s">
        <v>3335</v>
      </c>
      <c r="D1090" s="72"/>
    </row>
    <row r="1091" spans="1:4" ht="12.75" customHeight="1" outlineLevel="1" x14ac:dyDescent="0.35">
      <c r="A1091" s="76" t="s">
        <v>348</v>
      </c>
      <c r="B1091" s="99" t="s">
        <v>3336</v>
      </c>
      <c r="C1091" s="76" t="s">
        <v>3337</v>
      </c>
      <c r="D1091" s="72"/>
    </row>
    <row r="1092" spans="1:4" ht="12.75" customHeight="1" outlineLevel="1" x14ac:dyDescent="0.35">
      <c r="A1092" s="76" t="s">
        <v>348</v>
      </c>
      <c r="B1092" s="99" t="s">
        <v>3338</v>
      </c>
      <c r="C1092" s="76" t="s">
        <v>3339</v>
      </c>
      <c r="D1092" s="72"/>
    </row>
    <row r="1093" spans="1:4" ht="12.75" customHeight="1" outlineLevel="1" x14ac:dyDescent="0.35">
      <c r="A1093" s="76" t="s">
        <v>348</v>
      </c>
      <c r="B1093" s="99" t="s">
        <v>3340</v>
      </c>
      <c r="C1093" s="76" t="s">
        <v>3341</v>
      </c>
      <c r="D1093" s="72"/>
    </row>
    <row r="1094" spans="1:4" ht="12.75" customHeight="1" outlineLevel="1" x14ac:dyDescent="0.35">
      <c r="A1094" s="76" t="s">
        <v>348</v>
      </c>
      <c r="B1094" s="99" t="s">
        <v>3342</v>
      </c>
      <c r="C1094" s="76" t="s">
        <v>3343</v>
      </c>
      <c r="D1094" s="72"/>
    </row>
    <row r="1095" spans="1:4" ht="12.75" customHeight="1" outlineLevel="1" x14ac:dyDescent="0.35">
      <c r="A1095" s="76" t="s">
        <v>348</v>
      </c>
      <c r="B1095" s="99" t="s">
        <v>3344</v>
      </c>
      <c r="C1095" s="76" t="s">
        <v>3345</v>
      </c>
      <c r="D1095" s="72"/>
    </row>
    <row r="1096" spans="1:4" ht="12.75" customHeight="1" outlineLevel="1" x14ac:dyDescent="0.35">
      <c r="A1096" s="76" t="s">
        <v>348</v>
      </c>
      <c r="B1096" s="99" t="s">
        <v>3346</v>
      </c>
      <c r="C1096" s="76" t="s">
        <v>3347</v>
      </c>
      <c r="D1096" s="72"/>
    </row>
    <row r="1097" spans="1:4" ht="12.75" customHeight="1" outlineLevel="1" x14ac:dyDescent="0.35">
      <c r="A1097" s="76" t="s">
        <v>348</v>
      </c>
      <c r="B1097" s="99" t="s">
        <v>3348</v>
      </c>
      <c r="C1097" s="76" t="s">
        <v>3349</v>
      </c>
      <c r="D1097" s="72"/>
    </row>
    <row r="1098" spans="1:4" ht="12.75" customHeight="1" outlineLevel="1" x14ac:dyDescent="0.35">
      <c r="A1098" s="76" t="s">
        <v>348</v>
      </c>
      <c r="B1098" s="99" t="s">
        <v>3350</v>
      </c>
      <c r="C1098" s="76" t="s">
        <v>3351</v>
      </c>
      <c r="D1098" s="72"/>
    </row>
    <row r="1099" spans="1:4" ht="12.75" customHeight="1" outlineLevel="1" x14ac:dyDescent="0.35">
      <c r="A1099" s="76" t="s">
        <v>348</v>
      </c>
      <c r="B1099" s="99" t="s">
        <v>3352</v>
      </c>
      <c r="C1099" s="76" t="s">
        <v>3353</v>
      </c>
      <c r="D1099" s="72"/>
    </row>
    <row r="1100" spans="1:4" ht="12.75" customHeight="1" outlineLevel="1" x14ac:dyDescent="0.35">
      <c r="A1100" s="76" t="s">
        <v>348</v>
      </c>
      <c r="B1100" s="99" t="s">
        <v>3354</v>
      </c>
      <c r="C1100" s="76" t="s">
        <v>3355</v>
      </c>
      <c r="D1100" s="72"/>
    </row>
    <row r="1101" spans="1:4" ht="12.75" customHeight="1" outlineLevel="1" x14ac:dyDescent="0.35">
      <c r="A1101" s="76" t="s">
        <v>348</v>
      </c>
      <c r="B1101" s="99" t="s">
        <v>3356</v>
      </c>
      <c r="C1101" s="76" t="s">
        <v>3357</v>
      </c>
      <c r="D1101" s="72"/>
    </row>
    <row r="1102" spans="1:4" ht="12.75" customHeight="1" outlineLevel="1" x14ac:dyDescent="0.35">
      <c r="A1102" s="76" t="s">
        <v>348</v>
      </c>
      <c r="B1102" s="99" t="s">
        <v>3358</v>
      </c>
      <c r="C1102" s="76" t="s">
        <v>3359</v>
      </c>
      <c r="D1102" s="72"/>
    </row>
    <row r="1103" spans="1:4" ht="12.75" customHeight="1" outlineLevel="1" x14ac:dyDescent="0.35">
      <c r="A1103" s="76" t="s">
        <v>348</v>
      </c>
      <c r="B1103" s="99" t="s">
        <v>3360</v>
      </c>
      <c r="C1103" s="76" t="s">
        <v>3361</v>
      </c>
      <c r="D1103" s="72"/>
    </row>
    <row r="1104" spans="1:4" ht="12.75" customHeight="1" outlineLevel="1" x14ac:dyDescent="0.35">
      <c r="A1104" s="76" t="s">
        <v>348</v>
      </c>
      <c r="B1104" s="99" t="s">
        <v>3362</v>
      </c>
      <c r="C1104" s="76" t="s">
        <v>3363</v>
      </c>
      <c r="D1104" s="72"/>
    </row>
    <row r="1105" spans="1:4" ht="12.75" customHeight="1" outlineLevel="1" x14ac:dyDescent="0.35">
      <c r="A1105" s="76" t="s">
        <v>348</v>
      </c>
      <c r="B1105" s="99" t="s">
        <v>3364</v>
      </c>
      <c r="C1105" s="76" t="s">
        <v>3365</v>
      </c>
      <c r="D1105" s="72"/>
    </row>
    <row r="1106" spans="1:4" ht="12.75" customHeight="1" outlineLevel="1" x14ac:dyDescent="0.35">
      <c r="A1106" s="76" t="s">
        <v>348</v>
      </c>
      <c r="B1106" s="99" t="s">
        <v>3366</v>
      </c>
      <c r="C1106" s="76" t="s">
        <v>3367</v>
      </c>
      <c r="D1106" s="72"/>
    </row>
    <row r="1107" spans="1:4" ht="12.75" customHeight="1" outlineLevel="1" x14ac:dyDescent="0.35">
      <c r="A1107" s="76" t="s">
        <v>348</v>
      </c>
      <c r="B1107" s="99" t="s">
        <v>3368</v>
      </c>
      <c r="C1107" s="76" t="s">
        <v>3369</v>
      </c>
      <c r="D1107" s="72"/>
    </row>
    <row r="1108" spans="1:4" ht="12.75" customHeight="1" outlineLevel="1" x14ac:dyDescent="0.35">
      <c r="A1108" s="76" t="s">
        <v>348</v>
      </c>
      <c r="B1108" s="99" t="s">
        <v>3370</v>
      </c>
      <c r="C1108" s="76" t="s">
        <v>3371</v>
      </c>
      <c r="D1108" s="72"/>
    </row>
    <row r="1109" spans="1:4" ht="12.75" customHeight="1" outlineLevel="1" x14ac:dyDescent="0.35">
      <c r="A1109" s="76" t="s">
        <v>348</v>
      </c>
      <c r="B1109" s="99" t="s">
        <v>3372</v>
      </c>
      <c r="C1109" s="76" t="s">
        <v>3373</v>
      </c>
      <c r="D1109" s="72"/>
    </row>
    <row r="1110" spans="1:4" ht="12.75" customHeight="1" outlineLevel="1" x14ac:dyDescent="0.35">
      <c r="A1110" s="76" t="s">
        <v>348</v>
      </c>
      <c r="B1110" s="99" t="s">
        <v>3374</v>
      </c>
      <c r="C1110" s="76" t="s">
        <v>3375</v>
      </c>
      <c r="D1110" s="72"/>
    </row>
    <row r="1111" spans="1:4" ht="12.75" customHeight="1" outlineLevel="1" x14ac:dyDescent="0.35">
      <c r="A1111" s="76" t="s">
        <v>348</v>
      </c>
      <c r="B1111" s="99" t="s">
        <v>3376</v>
      </c>
      <c r="C1111" s="76" t="s">
        <v>3377</v>
      </c>
      <c r="D1111" s="72"/>
    </row>
    <row r="1112" spans="1:4" ht="12.75" customHeight="1" outlineLevel="1" x14ac:dyDescent="0.35">
      <c r="A1112" s="76" t="s">
        <v>348</v>
      </c>
      <c r="B1112" s="99" t="s">
        <v>3378</v>
      </c>
      <c r="C1112" s="76" t="s">
        <v>3379</v>
      </c>
      <c r="D1112" s="72"/>
    </row>
    <row r="1113" spans="1:4" ht="12.75" customHeight="1" outlineLevel="1" x14ac:dyDescent="0.35">
      <c r="A1113" s="76" t="s">
        <v>348</v>
      </c>
      <c r="B1113" s="99" t="s">
        <v>3380</v>
      </c>
      <c r="C1113" s="76" t="s">
        <v>3381</v>
      </c>
      <c r="D1113" s="72"/>
    </row>
    <row r="1114" spans="1:4" ht="12.75" customHeight="1" outlineLevel="1" x14ac:dyDescent="0.35">
      <c r="A1114" s="76" t="s">
        <v>348</v>
      </c>
      <c r="B1114" s="99" t="s">
        <v>3382</v>
      </c>
      <c r="C1114" s="76" t="s">
        <v>3383</v>
      </c>
    </row>
    <row r="1115" spans="1:4" ht="12.75" customHeight="1" outlineLevel="1" x14ac:dyDescent="0.35">
      <c r="A1115" s="76" t="s">
        <v>348</v>
      </c>
      <c r="B1115" s="99" t="s">
        <v>3384</v>
      </c>
      <c r="C1115" s="76" t="s">
        <v>3385</v>
      </c>
      <c r="D1115" s="72"/>
    </row>
    <row r="1116" spans="1:4" ht="12.75" customHeight="1" outlineLevel="1" x14ac:dyDescent="0.35">
      <c r="A1116" s="76" t="s">
        <v>348</v>
      </c>
      <c r="B1116" s="99" t="s">
        <v>3386</v>
      </c>
      <c r="C1116" s="76" t="s">
        <v>3387</v>
      </c>
      <c r="D1116" s="72"/>
    </row>
    <row r="1117" spans="1:4" ht="12.75" customHeight="1" outlineLevel="1" x14ac:dyDescent="0.35">
      <c r="A1117" s="76" t="s">
        <v>348</v>
      </c>
      <c r="B1117" s="99" t="s">
        <v>3388</v>
      </c>
      <c r="C1117" s="76" t="s">
        <v>3389</v>
      </c>
      <c r="D1117" s="72"/>
    </row>
    <row r="1118" spans="1:4" ht="12.75" customHeight="1" outlineLevel="1" x14ac:dyDescent="0.35">
      <c r="A1118" s="76" t="s">
        <v>348</v>
      </c>
      <c r="B1118" s="99" t="s">
        <v>3390</v>
      </c>
      <c r="C1118" s="76" t="s">
        <v>3391</v>
      </c>
      <c r="D1118" s="72"/>
    </row>
    <row r="1119" spans="1:4" ht="12.75" customHeight="1" outlineLevel="1" x14ac:dyDescent="0.35">
      <c r="A1119" s="76" t="s">
        <v>348</v>
      </c>
      <c r="B1119" s="99" t="s">
        <v>3392</v>
      </c>
      <c r="C1119" s="76" t="s">
        <v>3393</v>
      </c>
      <c r="D1119" s="72"/>
    </row>
    <row r="1120" spans="1:4" ht="12.75" customHeight="1" outlineLevel="1" x14ac:dyDescent="0.35">
      <c r="A1120" s="76" t="s">
        <v>348</v>
      </c>
      <c r="B1120" s="99" t="s">
        <v>3394</v>
      </c>
      <c r="C1120" s="76" t="s">
        <v>3395</v>
      </c>
      <c r="D1120" s="72"/>
    </row>
    <row r="1121" spans="1:4" ht="12.75" customHeight="1" outlineLevel="1" x14ac:dyDescent="0.35">
      <c r="A1121" s="76" t="s">
        <v>348</v>
      </c>
      <c r="B1121" s="99" t="s">
        <v>3396</v>
      </c>
      <c r="C1121" s="76" t="s">
        <v>3397</v>
      </c>
      <c r="D1121" s="72"/>
    </row>
    <row r="1122" spans="1:4" ht="12.75" customHeight="1" outlineLevel="1" x14ac:dyDescent="0.35">
      <c r="A1122" s="76" t="s">
        <v>348</v>
      </c>
      <c r="B1122" s="99" t="s">
        <v>3398</v>
      </c>
      <c r="C1122" s="76" t="s">
        <v>3399</v>
      </c>
      <c r="D1122" s="72"/>
    </row>
    <row r="1123" spans="1:4" ht="12.75" customHeight="1" outlineLevel="1" x14ac:dyDescent="0.35">
      <c r="A1123" s="76" t="s">
        <v>348</v>
      </c>
      <c r="B1123" s="99" t="s">
        <v>3400</v>
      </c>
      <c r="C1123" s="76" t="s">
        <v>3401</v>
      </c>
      <c r="D1123" s="72"/>
    </row>
    <row r="1124" spans="1:4" ht="12.75" customHeight="1" outlineLevel="1" x14ac:dyDescent="0.35">
      <c r="A1124" s="76" t="s">
        <v>348</v>
      </c>
      <c r="B1124" s="99" t="s">
        <v>3402</v>
      </c>
      <c r="C1124" s="76" t="s">
        <v>3403</v>
      </c>
      <c r="D1124" s="72"/>
    </row>
    <row r="1125" spans="1:4" ht="12.75" customHeight="1" outlineLevel="1" x14ac:dyDescent="0.35">
      <c r="A1125" s="76" t="s">
        <v>348</v>
      </c>
      <c r="B1125" s="99" t="s">
        <v>3404</v>
      </c>
      <c r="C1125" s="76" t="s">
        <v>3405</v>
      </c>
      <c r="D1125" s="72"/>
    </row>
    <row r="1126" spans="1:4" ht="12.75" customHeight="1" outlineLevel="1" x14ac:dyDescent="0.35">
      <c r="A1126" s="76" t="s">
        <v>348</v>
      </c>
      <c r="B1126" s="99" t="s">
        <v>3406</v>
      </c>
      <c r="C1126" s="76" t="s">
        <v>3407</v>
      </c>
      <c r="D1126" s="72"/>
    </row>
    <row r="1127" spans="1:4" ht="12.75" customHeight="1" outlineLevel="1" x14ac:dyDescent="0.35">
      <c r="A1127" s="76" t="s">
        <v>348</v>
      </c>
      <c r="B1127" s="99" t="s">
        <v>3408</v>
      </c>
      <c r="C1127" s="76" t="s">
        <v>3409</v>
      </c>
      <c r="D1127" s="72"/>
    </row>
    <row r="1128" spans="1:4" ht="12.75" customHeight="1" outlineLevel="1" x14ac:dyDescent="0.35">
      <c r="A1128" s="76" t="s">
        <v>348</v>
      </c>
      <c r="B1128" s="99" t="s">
        <v>3410</v>
      </c>
      <c r="C1128" s="76" t="s">
        <v>3411</v>
      </c>
      <c r="D1128" s="72"/>
    </row>
    <row r="1129" spans="1:4" ht="12.75" customHeight="1" outlineLevel="1" x14ac:dyDescent="0.35">
      <c r="A1129" s="76" t="s">
        <v>348</v>
      </c>
      <c r="B1129" s="99" t="s">
        <v>3412</v>
      </c>
      <c r="C1129" s="76" t="s">
        <v>3413</v>
      </c>
      <c r="D1129" s="72"/>
    </row>
    <row r="1130" spans="1:4" ht="12.75" customHeight="1" outlineLevel="1" x14ac:dyDescent="0.35">
      <c r="A1130" s="76" t="s">
        <v>348</v>
      </c>
      <c r="B1130" s="99" t="s">
        <v>3414</v>
      </c>
      <c r="C1130" s="76" t="s">
        <v>3415</v>
      </c>
      <c r="D1130" s="72"/>
    </row>
    <row r="1131" spans="1:4" ht="12.75" customHeight="1" outlineLevel="1" x14ac:dyDescent="0.35">
      <c r="A1131" s="76" t="s">
        <v>348</v>
      </c>
      <c r="B1131" s="99" t="s">
        <v>3416</v>
      </c>
      <c r="C1131" s="76" t="s">
        <v>3417</v>
      </c>
      <c r="D1131" s="72"/>
    </row>
    <row r="1132" spans="1:4" ht="12.75" customHeight="1" outlineLevel="1" x14ac:dyDescent="0.35">
      <c r="A1132" s="76" t="s">
        <v>348</v>
      </c>
      <c r="B1132" s="99" t="s">
        <v>3418</v>
      </c>
      <c r="C1132" s="76" t="s">
        <v>3419</v>
      </c>
      <c r="D1132" s="72"/>
    </row>
    <row r="1133" spans="1:4" ht="12.75" customHeight="1" outlineLevel="1" x14ac:dyDescent="0.35">
      <c r="A1133" s="76" t="s">
        <v>348</v>
      </c>
      <c r="B1133" s="99" t="s">
        <v>3420</v>
      </c>
      <c r="C1133" s="76" t="s">
        <v>3421</v>
      </c>
      <c r="D1133" s="72"/>
    </row>
    <row r="1134" spans="1:4" ht="12.75" customHeight="1" outlineLevel="1" x14ac:dyDescent="0.35">
      <c r="A1134" s="76" t="s">
        <v>348</v>
      </c>
      <c r="B1134" s="99" t="s">
        <v>3422</v>
      </c>
      <c r="C1134" s="76" t="s">
        <v>3423</v>
      </c>
      <c r="D1134" s="72"/>
    </row>
    <row r="1135" spans="1:4" ht="12.75" customHeight="1" outlineLevel="1" x14ac:dyDescent="0.35">
      <c r="A1135" s="76" t="s">
        <v>348</v>
      </c>
      <c r="B1135" s="99" t="s">
        <v>3424</v>
      </c>
      <c r="C1135" s="76" t="s">
        <v>3425</v>
      </c>
      <c r="D1135" s="72"/>
    </row>
    <row r="1136" spans="1:4" ht="12.75" customHeight="1" outlineLevel="1" x14ac:dyDescent="0.35">
      <c r="A1136" s="76" t="s">
        <v>348</v>
      </c>
      <c r="B1136" s="99" t="s">
        <v>3426</v>
      </c>
      <c r="C1136" s="76" t="s">
        <v>3427</v>
      </c>
      <c r="D1136" s="72"/>
    </row>
    <row r="1137" spans="1:4" ht="12.75" customHeight="1" outlineLevel="1" x14ac:dyDescent="0.35">
      <c r="A1137" s="76" t="s">
        <v>348</v>
      </c>
      <c r="B1137" s="99" t="s">
        <v>3428</v>
      </c>
      <c r="C1137" s="76" t="s">
        <v>3429</v>
      </c>
      <c r="D1137" s="72"/>
    </row>
    <row r="1138" spans="1:4" ht="12.75" customHeight="1" outlineLevel="1" x14ac:dyDescent="0.35">
      <c r="A1138" s="76" t="s">
        <v>348</v>
      </c>
      <c r="B1138" s="99" t="s">
        <v>3430</v>
      </c>
      <c r="C1138" s="76" t="s">
        <v>3431</v>
      </c>
      <c r="D1138" s="72"/>
    </row>
    <row r="1139" spans="1:4" ht="12.75" customHeight="1" outlineLevel="1" x14ac:dyDescent="0.35">
      <c r="A1139" s="76" t="s">
        <v>348</v>
      </c>
      <c r="B1139" s="99" t="s">
        <v>3432</v>
      </c>
      <c r="C1139" s="76" t="s">
        <v>3433</v>
      </c>
      <c r="D1139" s="72"/>
    </row>
    <row r="1140" spans="1:4" ht="12.75" customHeight="1" outlineLevel="1" x14ac:dyDescent="0.35">
      <c r="A1140" s="76" t="s">
        <v>348</v>
      </c>
      <c r="B1140" s="99" t="s">
        <v>3434</v>
      </c>
      <c r="C1140" s="76" t="s">
        <v>3435</v>
      </c>
      <c r="D1140" s="72"/>
    </row>
    <row r="1141" spans="1:4" ht="12.75" customHeight="1" outlineLevel="1" x14ac:dyDescent="0.35">
      <c r="A1141" s="76" t="s">
        <v>348</v>
      </c>
      <c r="B1141" s="99" t="s">
        <v>3436</v>
      </c>
      <c r="C1141" s="76" t="s">
        <v>3437</v>
      </c>
      <c r="D1141" s="72"/>
    </row>
    <row r="1142" spans="1:4" ht="12.75" customHeight="1" outlineLevel="1" x14ac:dyDescent="0.35">
      <c r="A1142" s="76" t="s">
        <v>348</v>
      </c>
      <c r="B1142" s="99" t="s">
        <v>3438</v>
      </c>
      <c r="C1142" s="76" t="s">
        <v>3439</v>
      </c>
      <c r="D1142" s="72"/>
    </row>
    <row r="1143" spans="1:4" ht="12.75" customHeight="1" outlineLevel="1" x14ac:dyDescent="0.35">
      <c r="A1143" s="76" t="s">
        <v>348</v>
      </c>
      <c r="B1143" s="99" t="s">
        <v>3440</v>
      </c>
      <c r="C1143" s="76" t="s">
        <v>3441</v>
      </c>
      <c r="D1143" s="72"/>
    </row>
    <row r="1144" spans="1:4" ht="12.75" customHeight="1" outlineLevel="1" x14ac:dyDescent="0.35">
      <c r="A1144" s="76" t="s">
        <v>348</v>
      </c>
      <c r="B1144" s="99" t="s">
        <v>3442</v>
      </c>
      <c r="C1144" s="76" t="s">
        <v>3443</v>
      </c>
      <c r="D1144" s="72"/>
    </row>
    <row r="1145" spans="1:4" ht="12.75" customHeight="1" outlineLevel="1" x14ac:dyDescent="0.35">
      <c r="A1145" s="76" t="s">
        <v>348</v>
      </c>
      <c r="B1145" s="99" t="s">
        <v>3444</v>
      </c>
      <c r="C1145" s="76" t="s">
        <v>3445</v>
      </c>
      <c r="D1145" s="72"/>
    </row>
    <row r="1146" spans="1:4" ht="12.75" customHeight="1" outlineLevel="1" x14ac:dyDescent="0.35">
      <c r="A1146" s="76" t="s">
        <v>348</v>
      </c>
      <c r="B1146" s="99" t="s">
        <v>3446</v>
      </c>
      <c r="C1146" s="76" t="s">
        <v>3447</v>
      </c>
      <c r="D1146" s="72"/>
    </row>
    <row r="1147" spans="1:4" ht="12.75" customHeight="1" outlineLevel="1" x14ac:dyDescent="0.35">
      <c r="A1147" s="76" t="s">
        <v>348</v>
      </c>
      <c r="B1147" s="99" t="s">
        <v>3448</v>
      </c>
      <c r="C1147" s="76" t="s">
        <v>3449</v>
      </c>
      <c r="D1147" s="72"/>
    </row>
    <row r="1148" spans="1:4" ht="12.75" customHeight="1" outlineLevel="1" x14ac:dyDescent="0.35">
      <c r="A1148" s="76" t="s">
        <v>348</v>
      </c>
      <c r="B1148" s="99" t="s">
        <v>3450</v>
      </c>
      <c r="C1148" s="76" t="s">
        <v>3451</v>
      </c>
      <c r="D1148" s="72"/>
    </row>
    <row r="1149" spans="1:4" ht="12.75" customHeight="1" outlineLevel="1" x14ac:dyDescent="0.35">
      <c r="A1149" s="76" t="s">
        <v>348</v>
      </c>
      <c r="B1149" s="99" t="s">
        <v>3452</v>
      </c>
      <c r="C1149" s="76" t="s">
        <v>3453</v>
      </c>
      <c r="D1149" s="72"/>
    </row>
    <row r="1150" spans="1:4" ht="12.75" customHeight="1" outlineLevel="1" x14ac:dyDescent="0.35">
      <c r="A1150" s="76" t="s">
        <v>348</v>
      </c>
      <c r="B1150" s="99" t="s">
        <v>3454</v>
      </c>
      <c r="C1150" s="76" t="s">
        <v>3455</v>
      </c>
      <c r="D1150" s="72"/>
    </row>
    <row r="1151" spans="1:4" ht="12.75" customHeight="1" outlineLevel="1" x14ac:dyDescent="0.35">
      <c r="A1151" s="76" t="s">
        <v>348</v>
      </c>
      <c r="B1151" s="99" t="s">
        <v>3456</v>
      </c>
      <c r="C1151" s="76" t="s">
        <v>3457</v>
      </c>
      <c r="D1151" s="72"/>
    </row>
    <row r="1152" spans="1:4" ht="12.75" customHeight="1" outlineLevel="1" x14ac:dyDescent="0.35">
      <c r="A1152" s="76" t="s">
        <v>348</v>
      </c>
      <c r="B1152" s="99" t="s">
        <v>3458</v>
      </c>
      <c r="C1152" s="76" t="s">
        <v>3459</v>
      </c>
      <c r="D1152" s="72"/>
    </row>
    <row r="1153" spans="1:4" ht="12.75" customHeight="1" outlineLevel="1" x14ac:dyDescent="0.35">
      <c r="A1153" s="76" t="s">
        <v>348</v>
      </c>
      <c r="B1153" s="99" t="s">
        <v>3460</v>
      </c>
      <c r="C1153" s="76" t="s">
        <v>3461</v>
      </c>
      <c r="D1153" s="72"/>
    </row>
    <row r="1154" spans="1:4" ht="12.75" customHeight="1" outlineLevel="1" x14ac:dyDescent="0.35">
      <c r="A1154" s="76" t="s">
        <v>348</v>
      </c>
      <c r="B1154" s="99" t="s">
        <v>3462</v>
      </c>
      <c r="C1154" s="76" t="s">
        <v>3463</v>
      </c>
      <c r="D1154" s="72"/>
    </row>
    <row r="1155" spans="1:4" ht="12.75" customHeight="1" outlineLevel="1" x14ac:dyDescent="0.35">
      <c r="A1155" s="76" t="s">
        <v>348</v>
      </c>
      <c r="B1155" s="99" t="s">
        <v>3464</v>
      </c>
      <c r="C1155" s="76" t="s">
        <v>3465</v>
      </c>
      <c r="D1155" s="72"/>
    </row>
    <row r="1156" spans="1:4" ht="12.75" customHeight="1" outlineLevel="1" x14ac:dyDescent="0.35">
      <c r="A1156" s="76" t="s">
        <v>348</v>
      </c>
      <c r="B1156" s="99" t="s">
        <v>3466</v>
      </c>
      <c r="C1156" s="76" t="s">
        <v>3467</v>
      </c>
      <c r="D1156" s="72"/>
    </row>
    <row r="1157" spans="1:4" ht="12.75" customHeight="1" outlineLevel="1" x14ac:dyDescent="0.35">
      <c r="A1157" s="76" t="s">
        <v>348</v>
      </c>
      <c r="B1157" s="99" t="s">
        <v>3468</v>
      </c>
      <c r="C1157" s="76" t="s">
        <v>3469</v>
      </c>
      <c r="D1157" s="72"/>
    </row>
    <row r="1158" spans="1:4" ht="12.75" customHeight="1" outlineLevel="1" x14ac:dyDescent="0.35">
      <c r="A1158" s="76" t="s">
        <v>348</v>
      </c>
      <c r="B1158" s="99" t="s">
        <v>3470</v>
      </c>
      <c r="C1158" s="76" t="s">
        <v>3471</v>
      </c>
      <c r="D1158" s="72"/>
    </row>
    <row r="1159" spans="1:4" ht="12.75" customHeight="1" outlineLevel="1" x14ac:dyDescent="0.35">
      <c r="A1159" s="76" t="s">
        <v>348</v>
      </c>
      <c r="B1159" s="99" t="s">
        <v>3472</v>
      </c>
      <c r="C1159" s="76" t="s">
        <v>3473</v>
      </c>
      <c r="D1159" s="72"/>
    </row>
    <row r="1160" spans="1:4" ht="12.75" customHeight="1" outlineLevel="1" x14ac:dyDescent="0.35">
      <c r="A1160" s="76" t="s">
        <v>348</v>
      </c>
      <c r="B1160" s="99" t="s">
        <v>3474</v>
      </c>
      <c r="C1160" s="76" t="s">
        <v>3475</v>
      </c>
      <c r="D1160" s="72"/>
    </row>
    <row r="1161" spans="1:4" ht="12.75" customHeight="1" outlineLevel="1" x14ac:dyDescent="0.35">
      <c r="A1161" s="76" t="s">
        <v>348</v>
      </c>
      <c r="B1161" s="99" t="s">
        <v>3476</v>
      </c>
      <c r="C1161" s="76" t="s">
        <v>3477</v>
      </c>
      <c r="D1161" s="72"/>
    </row>
    <row r="1162" spans="1:4" ht="12.75" customHeight="1" outlineLevel="1" x14ac:dyDescent="0.35">
      <c r="A1162" s="76" t="s">
        <v>348</v>
      </c>
      <c r="B1162" s="99" t="s">
        <v>3478</v>
      </c>
      <c r="C1162" s="76" t="s">
        <v>3479</v>
      </c>
      <c r="D1162" s="72"/>
    </row>
    <row r="1163" spans="1:4" ht="12.75" customHeight="1" outlineLevel="1" x14ac:dyDescent="0.35">
      <c r="A1163" s="76" t="s">
        <v>348</v>
      </c>
      <c r="B1163" s="99" t="s">
        <v>3480</v>
      </c>
      <c r="C1163" s="76" t="s">
        <v>3481</v>
      </c>
      <c r="D1163" s="72"/>
    </row>
    <row r="1164" spans="1:4" ht="12.75" customHeight="1" outlineLevel="1" x14ac:dyDescent="0.35">
      <c r="A1164" s="76" t="s">
        <v>348</v>
      </c>
      <c r="B1164" s="99" t="s">
        <v>3482</v>
      </c>
      <c r="C1164" s="76" t="s">
        <v>3483</v>
      </c>
      <c r="D1164" s="72"/>
    </row>
    <row r="1165" spans="1:4" ht="12.75" customHeight="1" outlineLevel="1" x14ac:dyDescent="0.35">
      <c r="A1165" s="76" t="s">
        <v>348</v>
      </c>
      <c r="B1165" s="99" t="s">
        <v>3484</v>
      </c>
      <c r="C1165" s="76" t="s">
        <v>3485</v>
      </c>
      <c r="D1165" s="72"/>
    </row>
    <row r="1166" spans="1:4" ht="12.75" customHeight="1" outlineLevel="1" x14ac:dyDescent="0.35">
      <c r="A1166" s="76" t="s">
        <v>348</v>
      </c>
      <c r="B1166" s="99" t="s">
        <v>3486</v>
      </c>
      <c r="C1166" s="76" t="s">
        <v>3487</v>
      </c>
      <c r="D1166" s="72"/>
    </row>
    <row r="1167" spans="1:4" ht="12.75" customHeight="1" outlineLevel="1" x14ac:dyDescent="0.35">
      <c r="A1167" s="76" t="s">
        <v>348</v>
      </c>
      <c r="B1167" s="99" t="s">
        <v>3488</v>
      </c>
      <c r="C1167" s="76" t="s">
        <v>3489</v>
      </c>
      <c r="D1167" s="72"/>
    </row>
    <row r="1168" spans="1:4" ht="12.75" customHeight="1" outlineLevel="1" x14ac:dyDescent="0.35">
      <c r="A1168" s="76" t="s">
        <v>348</v>
      </c>
      <c r="B1168" s="99" t="s">
        <v>3490</v>
      </c>
      <c r="C1168" s="76" t="s">
        <v>3491</v>
      </c>
      <c r="D1168" s="72"/>
    </row>
    <row r="1169" spans="1:4" ht="12.75" customHeight="1" outlineLevel="1" x14ac:dyDescent="0.35">
      <c r="A1169" s="76" t="s">
        <v>348</v>
      </c>
      <c r="B1169" s="99" t="s">
        <v>3492</v>
      </c>
      <c r="C1169" s="76" t="s">
        <v>3493</v>
      </c>
      <c r="D1169" s="72"/>
    </row>
    <row r="1170" spans="1:4" ht="12.75" customHeight="1" outlineLevel="1" x14ac:dyDescent="0.35">
      <c r="A1170" s="76" t="s">
        <v>348</v>
      </c>
      <c r="B1170" s="99" t="s">
        <v>3494</v>
      </c>
      <c r="C1170" s="76" t="s">
        <v>3495</v>
      </c>
      <c r="D1170" s="72"/>
    </row>
    <row r="1171" spans="1:4" ht="12.75" customHeight="1" outlineLevel="1" x14ac:dyDescent="0.35">
      <c r="A1171" s="76" t="s">
        <v>348</v>
      </c>
      <c r="B1171" s="99" t="s">
        <v>3496</v>
      </c>
      <c r="C1171" s="76" t="s">
        <v>3497</v>
      </c>
      <c r="D1171" s="72"/>
    </row>
    <row r="1172" spans="1:4" ht="12.75" customHeight="1" outlineLevel="1" x14ac:dyDescent="0.35">
      <c r="A1172" s="76" t="s">
        <v>348</v>
      </c>
      <c r="B1172" s="99" t="s">
        <v>3498</v>
      </c>
      <c r="C1172" s="76" t="s">
        <v>3499</v>
      </c>
      <c r="D1172" s="72"/>
    </row>
    <row r="1173" spans="1:4" ht="12.75" customHeight="1" outlineLevel="1" x14ac:dyDescent="0.35">
      <c r="A1173" s="76" t="s">
        <v>348</v>
      </c>
      <c r="B1173" s="99" t="s">
        <v>3500</v>
      </c>
      <c r="C1173" s="76" t="s">
        <v>3501</v>
      </c>
      <c r="D1173" s="72"/>
    </row>
    <row r="1174" spans="1:4" ht="12.75" customHeight="1" outlineLevel="1" x14ac:dyDescent="0.35">
      <c r="A1174" s="76" t="s">
        <v>348</v>
      </c>
      <c r="B1174" s="99" t="s">
        <v>3502</v>
      </c>
      <c r="C1174" s="76" t="s">
        <v>3503</v>
      </c>
      <c r="D1174" s="72"/>
    </row>
    <row r="1175" spans="1:4" ht="12.75" customHeight="1" outlineLevel="1" x14ac:dyDescent="0.35">
      <c r="A1175" s="76" t="s">
        <v>348</v>
      </c>
      <c r="B1175" s="99" t="s">
        <v>3504</v>
      </c>
      <c r="C1175" s="76" t="s">
        <v>3505</v>
      </c>
      <c r="D1175" s="72"/>
    </row>
    <row r="1176" spans="1:4" ht="12.75" customHeight="1" outlineLevel="1" x14ac:dyDescent="0.35">
      <c r="A1176" s="76" t="s">
        <v>348</v>
      </c>
      <c r="B1176" s="99" t="s">
        <v>3506</v>
      </c>
      <c r="C1176" s="76" t="s">
        <v>3507</v>
      </c>
      <c r="D1176" s="72"/>
    </row>
    <row r="1177" spans="1:4" ht="12.75" customHeight="1" outlineLevel="1" x14ac:dyDescent="0.35">
      <c r="A1177" s="76" t="s">
        <v>348</v>
      </c>
      <c r="B1177" s="99" t="s">
        <v>3508</v>
      </c>
      <c r="C1177" s="76" t="s">
        <v>3509</v>
      </c>
      <c r="D1177" s="72"/>
    </row>
    <row r="1178" spans="1:4" ht="12.75" customHeight="1" outlineLevel="1" x14ac:dyDescent="0.35">
      <c r="A1178" s="76" t="s">
        <v>348</v>
      </c>
      <c r="B1178" s="99" t="s">
        <v>3510</v>
      </c>
      <c r="C1178" s="76" t="s">
        <v>3511</v>
      </c>
      <c r="D1178" s="72"/>
    </row>
    <row r="1179" spans="1:4" ht="12.75" customHeight="1" outlineLevel="1" x14ac:dyDescent="0.35">
      <c r="A1179" s="76" t="s">
        <v>348</v>
      </c>
      <c r="B1179" s="99" t="s">
        <v>3512</v>
      </c>
      <c r="C1179" s="76" t="s">
        <v>3513</v>
      </c>
      <c r="D1179" s="72"/>
    </row>
    <row r="1180" spans="1:4" ht="12.75" customHeight="1" outlineLevel="1" x14ac:dyDescent="0.35">
      <c r="A1180" s="76" t="s">
        <v>348</v>
      </c>
      <c r="B1180" s="99" t="s">
        <v>3514</v>
      </c>
      <c r="C1180" s="76" t="s">
        <v>3515</v>
      </c>
      <c r="D1180" s="72"/>
    </row>
    <row r="1181" spans="1:4" ht="12.75" customHeight="1" outlineLevel="1" x14ac:dyDescent="0.35">
      <c r="A1181" s="76" t="s">
        <v>348</v>
      </c>
      <c r="B1181" s="99" t="s">
        <v>3516</v>
      </c>
      <c r="C1181" s="76" t="s">
        <v>3517</v>
      </c>
      <c r="D1181" s="72"/>
    </row>
    <row r="1182" spans="1:4" ht="12.75" customHeight="1" outlineLevel="1" x14ac:dyDescent="0.35">
      <c r="A1182" s="76" t="s">
        <v>348</v>
      </c>
      <c r="B1182" s="99" t="s">
        <v>3518</v>
      </c>
      <c r="C1182" s="76" t="s">
        <v>3519</v>
      </c>
      <c r="D1182" s="72"/>
    </row>
    <row r="1183" spans="1:4" ht="12.75" customHeight="1" outlineLevel="1" x14ac:dyDescent="0.35">
      <c r="A1183" s="76" t="s">
        <v>348</v>
      </c>
      <c r="B1183" s="99" t="s">
        <v>3520</v>
      </c>
      <c r="C1183" s="76" t="s">
        <v>3521</v>
      </c>
      <c r="D1183" s="72"/>
    </row>
    <row r="1184" spans="1:4" ht="12.75" customHeight="1" outlineLevel="1" x14ac:dyDescent="0.35">
      <c r="A1184" s="76" t="s">
        <v>348</v>
      </c>
      <c r="B1184" s="99" t="s">
        <v>3522</v>
      </c>
      <c r="C1184" s="76" t="s">
        <v>3523</v>
      </c>
      <c r="D1184" s="72"/>
    </row>
    <row r="1185" spans="1:4" ht="12.75" customHeight="1" outlineLevel="1" x14ac:dyDescent="0.35">
      <c r="A1185" s="76" t="s">
        <v>348</v>
      </c>
      <c r="B1185" s="99" t="s">
        <v>3524</v>
      </c>
      <c r="C1185" s="76" t="s">
        <v>3525</v>
      </c>
      <c r="D1185" s="72"/>
    </row>
    <row r="1186" spans="1:4" ht="12.75" customHeight="1" outlineLevel="1" x14ac:dyDescent="0.35">
      <c r="A1186" s="76" t="s">
        <v>348</v>
      </c>
      <c r="B1186" s="99" t="s">
        <v>3526</v>
      </c>
      <c r="C1186" s="76" t="s">
        <v>3527</v>
      </c>
      <c r="D1186" s="72"/>
    </row>
    <row r="1187" spans="1:4" ht="12.75" customHeight="1" outlineLevel="1" x14ac:dyDescent="0.35">
      <c r="A1187" s="76" t="s">
        <v>348</v>
      </c>
      <c r="B1187" s="99" t="s">
        <v>3528</v>
      </c>
      <c r="C1187" s="76" t="s">
        <v>3529</v>
      </c>
      <c r="D1187" s="72"/>
    </row>
    <row r="1188" spans="1:4" ht="12.75" customHeight="1" outlineLevel="1" x14ac:dyDescent="0.35">
      <c r="A1188" s="76" t="s">
        <v>348</v>
      </c>
      <c r="B1188" s="99" t="s">
        <v>3530</v>
      </c>
      <c r="C1188" s="76" t="s">
        <v>3531</v>
      </c>
      <c r="D1188" s="72"/>
    </row>
    <row r="1189" spans="1:4" ht="12.75" customHeight="1" outlineLevel="1" x14ac:dyDescent="0.35">
      <c r="A1189" s="76" t="s">
        <v>348</v>
      </c>
      <c r="B1189" s="99" t="s">
        <v>3532</v>
      </c>
      <c r="C1189" s="76" t="s">
        <v>3533</v>
      </c>
      <c r="D1189" s="72"/>
    </row>
    <row r="1190" spans="1:4" ht="12.75" customHeight="1" outlineLevel="1" x14ac:dyDescent="0.35">
      <c r="A1190" s="76" t="s">
        <v>348</v>
      </c>
      <c r="B1190" s="99" t="s">
        <v>3534</v>
      </c>
      <c r="C1190" s="76" t="s">
        <v>3535</v>
      </c>
      <c r="D1190" s="72"/>
    </row>
    <row r="1191" spans="1:4" ht="12.75" customHeight="1" outlineLevel="1" x14ac:dyDescent="0.35">
      <c r="A1191" s="76" t="s">
        <v>348</v>
      </c>
      <c r="B1191" s="99" t="s">
        <v>3536</v>
      </c>
      <c r="C1191" s="76" t="s">
        <v>3537</v>
      </c>
      <c r="D1191" s="72"/>
    </row>
    <row r="1192" spans="1:4" ht="12.75" customHeight="1" outlineLevel="1" x14ac:dyDescent="0.35">
      <c r="A1192" s="76" t="s">
        <v>348</v>
      </c>
      <c r="B1192" s="99" t="s">
        <v>3538</v>
      </c>
      <c r="C1192" s="76" t="s">
        <v>3539</v>
      </c>
      <c r="D1192" s="72"/>
    </row>
    <row r="1193" spans="1:4" ht="12.75" customHeight="1" outlineLevel="1" x14ac:dyDescent="0.35">
      <c r="A1193" s="76" t="s">
        <v>348</v>
      </c>
      <c r="B1193" s="99" t="s">
        <v>3540</v>
      </c>
      <c r="C1193" s="76" t="s">
        <v>1942</v>
      </c>
      <c r="D1193" s="72"/>
    </row>
    <row r="1194" spans="1:4" ht="12.75" customHeight="1" outlineLevel="1" x14ac:dyDescent="0.35">
      <c r="A1194" s="76" t="s">
        <v>348</v>
      </c>
      <c r="B1194" s="99" t="s">
        <v>3541</v>
      </c>
      <c r="C1194" s="76" t="s">
        <v>3542</v>
      </c>
      <c r="D1194" s="72"/>
    </row>
    <row r="1195" spans="1:4" ht="12.75" customHeight="1" outlineLevel="1" x14ac:dyDescent="0.35">
      <c r="A1195" s="76" t="s">
        <v>348</v>
      </c>
      <c r="B1195" s="99" t="s">
        <v>3543</v>
      </c>
      <c r="C1195" s="76" t="s">
        <v>3544</v>
      </c>
      <c r="D1195" s="72"/>
    </row>
    <row r="1196" spans="1:4" ht="12.75" customHeight="1" outlineLevel="1" x14ac:dyDescent="0.35">
      <c r="A1196" s="76" t="s">
        <v>348</v>
      </c>
      <c r="B1196" s="99" t="s">
        <v>3545</v>
      </c>
      <c r="C1196" s="76" t="s">
        <v>3546</v>
      </c>
      <c r="D1196" s="72"/>
    </row>
    <row r="1197" spans="1:4" ht="12.75" customHeight="1" outlineLevel="1" x14ac:dyDescent="0.35">
      <c r="A1197" s="76" t="s">
        <v>348</v>
      </c>
      <c r="B1197" s="99" t="s">
        <v>3547</v>
      </c>
      <c r="C1197" s="76" t="s">
        <v>3548</v>
      </c>
      <c r="D1197" s="72"/>
    </row>
    <row r="1198" spans="1:4" ht="12.75" customHeight="1" outlineLevel="1" x14ac:dyDescent="0.35">
      <c r="A1198" s="76" t="s">
        <v>348</v>
      </c>
      <c r="B1198" s="99" t="s">
        <v>3549</v>
      </c>
      <c r="C1198" s="76" t="s">
        <v>3550</v>
      </c>
      <c r="D1198" s="72"/>
    </row>
    <row r="1199" spans="1:4" ht="12.75" customHeight="1" outlineLevel="1" x14ac:dyDescent="0.35">
      <c r="A1199" s="76" t="s">
        <v>348</v>
      </c>
      <c r="B1199" s="99" t="s">
        <v>3551</v>
      </c>
      <c r="C1199" s="76" t="s">
        <v>3552</v>
      </c>
      <c r="D1199" s="72"/>
    </row>
    <row r="1200" spans="1:4" ht="12.75" customHeight="1" outlineLevel="1" x14ac:dyDescent="0.35">
      <c r="A1200" s="76" t="s">
        <v>348</v>
      </c>
      <c r="B1200" s="99" t="s">
        <v>3553</v>
      </c>
      <c r="C1200" s="76" t="s">
        <v>3554</v>
      </c>
      <c r="D1200" s="72"/>
    </row>
    <row r="1201" spans="1:4" ht="12.75" customHeight="1" outlineLevel="1" x14ac:dyDescent="0.35">
      <c r="A1201" s="76" t="s">
        <v>348</v>
      </c>
      <c r="B1201" s="99" t="s">
        <v>3555</v>
      </c>
      <c r="C1201" s="76" t="s">
        <v>3556</v>
      </c>
      <c r="D1201" s="72"/>
    </row>
    <row r="1202" spans="1:4" ht="12.75" customHeight="1" outlineLevel="1" x14ac:dyDescent="0.35">
      <c r="A1202" s="76" t="s">
        <v>348</v>
      </c>
      <c r="B1202" s="99" t="s">
        <v>3557</v>
      </c>
      <c r="C1202" s="76" t="s">
        <v>3558</v>
      </c>
      <c r="D1202" s="72"/>
    </row>
    <row r="1203" spans="1:4" ht="12.75" customHeight="1" outlineLevel="1" x14ac:dyDescent="0.35">
      <c r="A1203" s="76" t="s">
        <v>348</v>
      </c>
      <c r="B1203" s="99" t="s">
        <v>3559</v>
      </c>
      <c r="C1203" s="76" t="s">
        <v>3560</v>
      </c>
      <c r="D1203" s="72"/>
    </row>
    <row r="1204" spans="1:4" ht="12.75" customHeight="1" outlineLevel="1" x14ac:dyDescent="0.35">
      <c r="A1204" s="76" t="s">
        <v>348</v>
      </c>
      <c r="B1204" s="99" t="s">
        <v>3561</v>
      </c>
      <c r="C1204" s="76" t="s">
        <v>3562</v>
      </c>
      <c r="D1204" s="72"/>
    </row>
    <row r="1205" spans="1:4" ht="12.75" customHeight="1" outlineLevel="1" x14ac:dyDescent="0.35">
      <c r="A1205" s="76" t="s">
        <v>348</v>
      </c>
      <c r="B1205" s="99" t="s">
        <v>3563</v>
      </c>
      <c r="C1205" s="76" t="s">
        <v>3564</v>
      </c>
      <c r="D1205" s="72"/>
    </row>
    <row r="1206" spans="1:4" ht="12.75" customHeight="1" outlineLevel="1" x14ac:dyDescent="0.35">
      <c r="A1206" s="76" t="s">
        <v>348</v>
      </c>
      <c r="B1206" s="99" t="s">
        <v>3565</v>
      </c>
      <c r="C1206" s="76" t="s">
        <v>3566</v>
      </c>
      <c r="D1206" s="72"/>
    </row>
    <row r="1207" spans="1:4" ht="12.75" customHeight="1" outlineLevel="1" x14ac:dyDescent="0.35">
      <c r="A1207" s="76" t="s">
        <v>348</v>
      </c>
      <c r="B1207" s="99" t="s">
        <v>3567</v>
      </c>
      <c r="C1207" s="76" t="s">
        <v>3568</v>
      </c>
      <c r="D1207" s="72"/>
    </row>
    <row r="1208" spans="1:4" ht="12.75" customHeight="1" outlineLevel="1" x14ac:dyDescent="0.35">
      <c r="A1208" s="76" t="s">
        <v>348</v>
      </c>
      <c r="B1208" s="99" t="s">
        <v>3569</v>
      </c>
      <c r="C1208" s="76" t="s">
        <v>1958</v>
      </c>
      <c r="D1208" s="72"/>
    </row>
    <row r="1209" spans="1:4" ht="12.75" customHeight="1" outlineLevel="1" x14ac:dyDescent="0.35">
      <c r="A1209" s="76" t="s">
        <v>348</v>
      </c>
      <c r="B1209" s="99" t="s">
        <v>3570</v>
      </c>
      <c r="C1209" s="76" t="s">
        <v>3571</v>
      </c>
      <c r="D1209" s="72"/>
    </row>
    <row r="1210" spans="1:4" ht="12.75" customHeight="1" outlineLevel="1" x14ac:dyDescent="0.35">
      <c r="A1210" s="76" t="s">
        <v>348</v>
      </c>
      <c r="B1210" s="99" t="s">
        <v>3572</v>
      </c>
      <c r="C1210" s="76" t="s">
        <v>3573</v>
      </c>
      <c r="D1210" s="72"/>
    </row>
    <row r="1211" spans="1:4" ht="12.75" customHeight="1" outlineLevel="1" x14ac:dyDescent="0.35">
      <c r="A1211" s="76" t="s">
        <v>348</v>
      </c>
      <c r="B1211" s="99" t="s">
        <v>3574</v>
      </c>
      <c r="C1211" s="76" t="s">
        <v>3575</v>
      </c>
      <c r="D1211" s="72"/>
    </row>
    <row r="1212" spans="1:4" ht="12.75" customHeight="1" outlineLevel="1" x14ac:dyDescent="0.35">
      <c r="A1212" s="76" t="s">
        <v>348</v>
      </c>
      <c r="B1212" s="99" t="s">
        <v>3576</v>
      </c>
      <c r="C1212" s="76" t="s">
        <v>3577</v>
      </c>
      <c r="D1212" s="72"/>
    </row>
    <row r="1213" spans="1:4" ht="12.75" customHeight="1" outlineLevel="1" x14ac:dyDescent="0.35">
      <c r="A1213" s="76" t="s">
        <v>348</v>
      </c>
      <c r="B1213" s="99" t="s">
        <v>3578</v>
      </c>
      <c r="C1213" s="76" t="s">
        <v>3579</v>
      </c>
      <c r="D1213" s="72"/>
    </row>
    <row r="1214" spans="1:4" ht="12.75" customHeight="1" outlineLevel="1" x14ac:dyDescent="0.35">
      <c r="A1214" s="76" t="s">
        <v>348</v>
      </c>
      <c r="B1214" s="99" t="s">
        <v>3580</v>
      </c>
      <c r="C1214" s="76" t="s">
        <v>3581</v>
      </c>
      <c r="D1214" s="72"/>
    </row>
    <row r="1215" spans="1:4" ht="12.75" customHeight="1" outlineLevel="1" x14ac:dyDescent="0.35">
      <c r="A1215" s="76" t="s">
        <v>348</v>
      </c>
      <c r="B1215" s="99" t="s">
        <v>3582</v>
      </c>
      <c r="C1215" s="76" t="s">
        <v>3583</v>
      </c>
      <c r="D1215" s="72"/>
    </row>
    <row r="1216" spans="1:4" ht="12.75" customHeight="1" outlineLevel="1" x14ac:dyDescent="0.35">
      <c r="A1216" s="76" t="s">
        <v>348</v>
      </c>
      <c r="B1216" s="99" t="s">
        <v>3584</v>
      </c>
      <c r="C1216" s="76" t="s">
        <v>3585</v>
      </c>
      <c r="D1216" s="72"/>
    </row>
    <row r="1217" spans="1:4" ht="12.75" customHeight="1" outlineLevel="1" x14ac:dyDescent="0.35">
      <c r="A1217" s="76" t="s">
        <v>348</v>
      </c>
      <c r="B1217" s="99" t="s">
        <v>3586</v>
      </c>
      <c r="C1217" s="76" t="s">
        <v>3587</v>
      </c>
      <c r="D1217" s="72"/>
    </row>
    <row r="1218" spans="1:4" ht="12.75" customHeight="1" outlineLevel="1" x14ac:dyDescent="0.35">
      <c r="A1218" s="76" t="s">
        <v>348</v>
      </c>
      <c r="B1218" s="99" t="s">
        <v>3588</v>
      </c>
      <c r="C1218" s="76" t="s">
        <v>3589</v>
      </c>
      <c r="D1218" s="72"/>
    </row>
    <row r="1219" spans="1:4" ht="12.75" customHeight="1" outlineLevel="1" x14ac:dyDescent="0.35">
      <c r="A1219" s="76" t="s">
        <v>348</v>
      </c>
      <c r="B1219" s="99" t="s">
        <v>3590</v>
      </c>
      <c r="C1219" s="76" t="s">
        <v>3591</v>
      </c>
      <c r="D1219" s="72"/>
    </row>
    <row r="1220" spans="1:4" ht="12.75" customHeight="1" outlineLevel="1" x14ac:dyDescent="0.35">
      <c r="A1220" s="76" t="s">
        <v>348</v>
      </c>
      <c r="B1220" s="99" t="s">
        <v>3592</v>
      </c>
      <c r="C1220" s="76" t="s">
        <v>3593</v>
      </c>
      <c r="D1220" s="72"/>
    </row>
    <row r="1221" spans="1:4" ht="12.75" customHeight="1" outlineLevel="1" x14ac:dyDescent="0.35">
      <c r="A1221" s="76" t="s">
        <v>348</v>
      </c>
      <c r="B1221" s="99" t="s">
        <v>3594</v>
      </c>
      <c r="C1221" s="76" t="s">
        <v>3595</v>
      </c>
      <c r="D1221" s="72"/>
    </row>
    <row r="1222" spans="1:4" ht="12.75" customHeight="1" outlineLevel="1" x14ac:dyDescent="0.35">
      <c r="A1222" s="76" t="s">
        <v>348</v>
      </c>
      <c r="B1222" s="99" t="s">
        <v>3596</v>
      </c>
      <c r="C1222" s="76" t="s">
        <v>3597</v>
      </c>
      <c r="D1222" s="72"/>
    </row>
    <row r="1223" spans="1:4" ht="12.75" customHeight="1" outlineLevel="1" x14ac:dyDescent="0.35">
      <c r="A1223" s="76" t="s">
        <v>348</v>
      </c>
      <c r="B1223" s="99" t="s">
        <v>3598</v>
      </c>
      <c r="C1223" s="76" t="s">
        <v>3599</v>
      </c>
      <c r="D1223" s="72"/>
    </row>
    <row r="1224" spans="1:4" ht="12.75" customHeight="1" outlineLevel="1" x14ac:dyDescent="0.35">
      <c r="A1224" s="76" t="s">
        <v>348</v>
      </c>
      <c r="B1224" s="99" t="s">
        <v>3600</v>
      </c>
      <c r="C1224" s="76" t="s">
        <v>3601</v>
      </c>
      <c r="D1224" s="72"/>
    </row>
    <row r="1225" spans="1:4" ht="12.75" customHeight="1" outlineLevel="1" x14ac:dyDescent="0.35">
      <c r="A1225" s="76" t="s">
        <v>348</v>
      </c>
      <c r="B1225" s="99" t="s">
        <v>3602</v>
      </c>
      <c r="C1225" s="76" t="s">
        <v>3603</v>
      </c>
      <c r="D1225" s="72"/>
    </row>
    <row r="1226" spans="1:4" ht="12.75" customHeight="1" outlineLevel="1" x14ac:dyDescent="0.35">
      <c r="A1226" s="76" t="s">
        <v>348</v>
      </c>
      <c r="B1226" s="99" t="s">
        <v>3604</v>
      </c>
      <c r="C1226" s="76" t="s">
        <v>3605</v>
      </c>
      <c r="D1226" s="72"/>
    </row>
    <row r="1227" spans="1:4" ht="12.75" customHeight="1" outlineLevel="1" x14ac:dyDescent="0.35">
      <c r="A1227" s="76" t="s">
        <v>348</v>
      </c>
      <c r="B1227" s="99" t="s">
        <v>3606</v>
      </c>
      <c r="C1227" s="76" t="s">
        <v>3607</v>
      </c>
      <c r="D1227" s="72"/>
    </row>
    <row r="1228" spans="1:4" ht="12.75" customHeight="1" outlineLevel="1" x14ac:dyDescent="0.35">
      <c r="A1228" s="76" t="s">
        <v>348</v>
      </c>
      <c r="B1228" s="99" t="s">
        <v>3608</v>
      </c>
      <c r="C1228" s="76" t="s">
        <v>3609</v>
      </c>
      <c r="D1228" s="72"/>
    </row>
    <row r="1229" spans="1:4" ht="12.75" customHeight="1" outlineLevel="1" x14ac:dyDescent="0.35">
      <c r="A1229" s="76" t="s">
        <v>348</v>
      </c>
      <c r="B1229" s="99" t="s">
        <v>3610</v>
      </c>
      <c r="C1229" s="76" t="s">
        <v>3611</v>
      </c>
      <c r="D1229" s="72"/>
    </row>
    <row r="1230" spans="1:4" ht="12.75" customHeight="1" outlineLevel="1" x14ac:dyDescent="0.35">
      <c r="A1230" s="76" t="s">
        <v>348</v>
      </c>
      <c r="B1230" s="99" t="s">
        <v>3612</v>
      </c>
      <c r="C1230" s="76" t="s">
        <v>3613</v>
      </c>
      <c r="D1230" s="72"/>
    </row>
    <row r="1231" spans="1:4" ht="12.75" customHeight="1" outlineLevel="1" x14ac:dyDescent="0.35">
      <c r="A1231" s="76" t="s">
        <v>348</v>
      </c>
      <c r="B1231" s="99" t="s">
        <v>3614</v>
      </c>
      <c r="C1231" s="76" t="s">
        <v>3615</v>
      </c>
      <c r="D1231" s="72"/>
    </row>
    <row r="1232" spans="1:4" ht="12.75" customHeight="1" outlineLevel="1" x14ac:dyDescent="0.35">
      <c r="A1232" s="76" t="s">
        <v>348</v>
      </c>
      <c r="B1232" s="99" t="s">
        <v>3616</v>
      </c>
      <c r="C1232" s="76" t="s">
        <v>3617</v>
      </c>
      <c r="D1232" s="72"/>
    </row>
    <row r="1233" spans="1:5" ht="12.75" customHeight="1" outlineLevel="1" x14ac:dyDescent="0.35">
      <c r="A1233" s="76" t="s">
        <v>348</v>
      </c>
      <c r="B1233" s="99" t="s">
        <v>3618</v>
      </c>
      <c r="C1233" s="76" t="s">
        <v>3619</v>
      </c>
      <c r="D1233" s="72"/>
    </row>
    <row r="1234" spans="1:5" ht="12.75" customHeight="1" outlineLevel="1" x14ac:dyDescent="0.35">
      <c r="A1234" s="76" t="s">
        <v>348</v>
      </c>
      <c r="B1234" s="99" t="s">
        <v>3620</v>
      </c>
      <c r="C1234" s="76" t="s">
        <v>3621</v>
      </c>
      <c r="D1234" s="72"/>
    </row>
    <row r="1235" spans="1:5" ht="12.75" customHeight="1" outlineLevel="1" x14ac:dyDescent="0.35">
      <c r="A1235" s="76" t="s">
        <v>348</v>
      </c>
      <c r="B1235" s="99" t="s">
        <v>3622</v>
      </c>
      <c r="C1235" s="76" t="s">
        <v>3623</v>
      </c>
      <c r="D1235" s="72"/>
    </row>
    <row r="1236" spans="1:5" ht="12.75" customHeight="1" outlineLevel="1" x14ac:dyDescent="0.35">
      <c r="A1236" s="76" t="s">
        <v>348</v>
      </c>
      <c r="B1236" s="99" t="s">
        <v>3624</v>
      </c>
      <c r="C1236" s="76" t="s">
        <v>3625</v>
      </c>
      <c r="D1236" s="72"/>
    </row>
    <row r="1237" spans="1:5" ht="12.75" customHeight="1" outlineLevel="1" x14ac:dyDescent="0.35">
      <c r="A1237" s="76" t="s">
        <v>348</v>
      </c>
      <c r="B1237" s="99" t="s">
        <v>3626</v>
      </c>
      <c r="C1237" s="76" t="s">
        <v>3627</v>
      </c>
      <c r="D1237" s="72"/>
    </row>
    <row r="1238" spans="1:5" ht="12.75" customHeight="1" outlineLevel="1" x14ac:dyDescent="0.35">
      <c r="A1238" s="76" t="s">
        <v>348</v>
      </c>
      <c r="B1238" s="99" t="s">
        <v>3628</v>
      </c>
      <c r="C1238" s="76" t="s">
        <v>3629</v>
      </c>
      <c r="D1238" s="72"/>
    </row>
    <row r="1239" spans="1:5" ht="12.75" customHeight="1" outlineLevel="1" x14ac:dyDescent="0.35">
      <c r="A1239" s="76" t="s">
        <v>348</v>
      </c>
      <c r="B1239" s="99" t="s">
        <v>3630</v>
      </c>
      <c r="C1239" s="76" t="s">
        <v>3631</v>
      </c>
      <c r="D1239" s="72"/>
    </row>
    <row r="1240" spans="1:5" ht="12.75" customHeight="1" outlineLevel="1" x14ac:dyDescent="0.35">
      <c r="A1240" s="76" t="s">
        <v>348</v>
      </c>
      <c r="B1240" s="99" t="s">
        <v>3632</v>
      </c>
      <c r="C1240" s="76" t="s">
        <v>3633</v>
      </c>
      <c r="D1240" s="72"/>
    </row>
    <row r="1241" spans="1:5" ht="12.75" customHeight="1" outlineLevel="1" x14ac:dyDescent="0.35">
      <c r="A1241" s="76" t="s">
        <v>348</v>
      </c>
      <c r="B1241" s="99" t="s">
        <v>3634</v>
      </c>
      <c r="C1241" s="76" t="s">
        <v>3635</v>
      </c>
      <c r="D1241" s="72"/>
    </row>
    <row r="1242" spans="1:5" ht="12.75" customHeight="1" outlineLevel="1" x14ac:dyDescent="0.35">
      <c r="A1242" s="76" t="s">
        <v>348</v>
      </c>
      <c r="B1242" s="99" t="s">
        <v>3636</v>
      </c>
      <c r="C1242" s="76" t="s">
        <v>3637</v>
      </c>
      <c r="D1242" s="73"/>
    </row>
    <row r="1243" spans="1:5" ht="12.75" customHeight="1" outlineLevel="1" x14ac:dyDescent="0.35">
      <c r="A1243" s="76" t="s">
        <v>348</v>
      </c>
      <c r="B1243" s="99" t="s">
        <v>3638</v>
      </c>
      <c r="C1243" s="76" t="s">
        <v>3639</v>
      </c>
      <c r="D1243" s="73"/>
    </row>
    <row r="1244" spans="1:5" ht="12.75" customHeight="1" outlineLevel="1" x14ac:dyDescent="0.35">
      <c r="A1244" s="76" t="s">
        <v>348</v>
      </c>
      <c r="B1244" s="99" t="s">
        <v>3640</v>
      </c>
      <c r="C1244" s="76" t="s">
        <v>3641</v>
      </c>
      <c r="D1244" s="73"/>
    </row>
    <row r="1245" spans="1:5" ht="12.75" customHeight="1" outlineLevel="1" x14ac:dyDescent="0.35">
      <c r="A1245" s="76" t="s">
        <v>348</v>
      </c>
      <c r="B1245" s="99" t="s">
        <v>3642</v>
      </c>
      <c r="C1245" s="76" t="s">
        <v>3643</v>
      </c>
      <c r="D1245" s="73"/>
    </row>
    <row r="1246" spans="1:5" ht="12.75" customHeight="1" outlineLevel="1" x14ac:dyDescent="0.35">
      <c r="A1246" s="76" t="s">
        <v>348</v>
      </c>
      <c r="B1246" s="99" t="s">
        <v>3644</v>
      </c>
      <c r="C1246" s="76" t="s">
        <v>3645</v>
      </c>
      <c r="D1246" s="73"/>
    </row>
    <row r="1247" spans="1:5" ht="12.75" customHeight="1" outlineLevel="1" x14ac:dyDescent="0.35">
      <c r="A1247" s="76" t="s">
        <v>348</v>
      </c>
      <c r="B1247" s="99" t="s">
        <v>3646</v>
      </c>
      <c r="C1247" s="76" t="s">
        <v>3647</v>
      </c>
      <c r="D1247" s="73"/>
    </row>
    <row r="1248" spans="1:5" s="69" customFormat="1" ht="12.75" customHeight="1" x14ac:dyDescent="0.35">
      <c r="A1248" s="113" t="s">
        <v>348</v>
      </c>
      <c r="B1248" s="257" t="s">
        <v>2011</v>
      </c>
      <c r="C1248" s="113" t="s">
        <v>2012</v>
      </c>
      <c r="D1248" s="143" t="s">
        <v>2013</v>
      </c>
      <c r="E1248" s="113"/>
    </row>
    <row r="1249" spans="1:4" ht="12.75" customHeight="1" x14ac:dyDescent="0.35">
      <c r="A1249" s="76" t="s">
        <v>282</v>
      </c>
      <c r="B1249" s="99" t="s">
        <v>1412</v>
      </c>
      <c r="C1249" s="76" t="s">
        <v>3648</v>
      </c>
      <c r="D1249" s="142" t="s">
        <v>3649</v>
      </c>
    </row>
    <row r="1250" spans="1:4" ht="12.75" customHeight="1" x14ac:dyDescent="0.35">
      <c r="A1250" s="76" t="s">
        <v>282</v>
      </c>
      <c r="B1250" s="99" t="s">
        <v>1422</v>
      </c>
      <c r="C1250" s="76" t="s">
        <v>3650</v>
      </c>
      <c r="D1250" s="142" t="s">
        <v>3651</v>
      </c>
    </row>
    <row r="1251" spans="1:4" ht="12.75" customHeight="1" x14ac:dyDescent="0.35">
      <c r="A1251" s="76" t="s">
        <v>282</v>
      </c>
      <c r="B1251" s="99" t="s">
        <v>109</v>
      </c>
      <c r="C1251" s="76" t="s">
        <v>3652</v>
      </c>
      <c r="D1251" s="142" t="s">
        <v>3653</v>
      </c>
    </row>
    <row r="1252" spans="1:4" ht="12.75" customHeight="1" x14ac:dyDescent="0.35">
      <c r="A1252" s="76" t="s">
        <v>282</v>
      </c>
      <c r="B1252" s="99" t="s">
        <v>123</v>
      </c>
      <c r="C1252" s="76" t="s">
        <v>3654</v>
      </c>
      <c r="D1252" s="142" t="s">
        <v>3655</v>
      </c>
    </row>
    <row r="1253" spans="1:4" ht="12.75" customHeight="1" x14ac:dyDescent="0.35">
      <c r="A1253" s="76" t="s">
        <v>1107</v>
      </c>
      <c r="B1253" s="99" t="s">
        <v>89</v>
      </c>
      <c r="C1253" s="76" t="s">
        <v>3656</v>
      </c>
      <c r="D1253" s="142"/>
    </row>
    <row r="1254" spans="1:4" ht="12.75" customHeight="1" x14ac:dyDescent="0.35">
      <c r="A1254" s="76" t="s">
        <v>1107</v>
      </c>
      <c r="B1254" s="99" t="s">
        <v>99</v>
      </c>
      <c r="C1254" s="76" t="s">
        <v>3657</v>
      </c>
      <c r="D1254" s="142"/>
    </row>
    <row r="1255" spans="1:4" ht="12.75" customHeight="1" x14ac:dyDescent="0.35">
      <c r="A1255" s="76" t="s">
        <v>1107</v>
      </c>
      <c r="B1255" s="99" t="s">
        <v>105</v>
      </c>
      <c r="C1255" s="76" t="s">
        <v>3658</v>
      </c>
      <c r="D1255" s="142"/>
    </row>
    <row r="1256" spans="1:4" ht="12.75" customHeight="1" x14ac:dyDescent="0.35">
      <c r="A1256" s="76" t="s">
        <v>1107</v>
      </c>
      <c r="B1256" s="99" t="s">
        <v>111</v>
      </c>
      <c r="C1256" s="76" t="s">
        <v>3659</v>
      </c>
      <c r="D1256" s="142"/>
    </row>
    <row r="1257" spans="1:4" ht="12.75" customHeight="1" x14ac:dyDescent="0.35">
      <c r="A1257" s="76" t="s">
        <v>1107</v>
      </c>
      <c r="B1257" s="99" t="s">
        <v>117</v>
      </c>
      <c r="C1257" s="76" t="s">
        <v>3660</v>
      </c>
      <c r="D1257" s="142"/>
    </row>
    <row r="1258" spans="1:4" ht="12.75" customHeight="1" x14ac:dyDescent="0.35">
      <c r="A1258" s="76" t="s">
        <v>1107</v>
      </c>
      <c r="B1258" s="99" t="s">
        <v>125</v>
      </c>
      <c r="C1258" s="76" t="s">
        <v>3661</v>
      </c>
      <c r="D1258" s="142"/>
    </row>
    <row r="1259" spans="1:4" ht="12.75" customHeight="1" x14ac:dyDescent="0.35">
      <c r="A1259" s="76" t="s">
        <v>1107</v>
      </c>
      <c r="B1259" s="99" t="s">
        <v>130</v>
      </c>
      <c r="C1259" s="76" t="s">
        <v>3662</v>
      </c>
      <c r="D1259" s="142"/>
    </row>
    <row r="1260" spans="1:4" ht="12.75" customHeight="1" x14ac:dyDescent="0.35">
      <c r="A1260" s="76" t="s">
        <v>1107</v>
      </c>
      <c r="B1260" s="99" t="s">
        <v>137</v>
      </c>
      <c r="C1260" s="76" t="s">
        <v>3663</v>
      </c>
      <c r="D1260" s="142"/>
    </row>
    <row r="1261" spans="1:4" ht="12.75" customHeight="1" x14ac:dyDescent="0.35">
      <c r="A1261" s="76" t="s">
        <v>1107</v>
      </c>
      <c r="B1261" s="99" t="s">
        <v>143</v>
      </c>
      <c r="C1261" s="76" t="s">
        <v>3664</v>
      </c>
      <c r="D1261" s="142"/>
    </row>
    <row r="1262" spans="1:4" ht="12.75" customHeight="1" x14ac:dyDescent="0.35">
      <c r="A1262" s="76" t="s">
        <v>1107</v>
      </c>
      <c r="B1262" s="99" t="s">
        <v>147</v>
      </c>
      <c r="C1262" s="76" t="s">
        <v>3665</v>
      </c>
      <c r="D1262" s="142"/>
    </row>
    <row r="1263" spans="1:4" ht="12.75" customHeight="1" x14ac:dyDescent="0.35">
      <c r="A1263" s="76" t="s">
        <v>1107</v>
      </c>
      <c r="B1263" s="99" t="s">
        <v>153</v>
      </c>
      <c r="C1263" s="76" t="s">
        <v>3666</v>
      </c>
      <c r="D1263" s="142"/>
    </row>
    <row r="1264" spans="1:4" ht="12.75" customHeight="1" x14ac:dyDescent="0.35">
      <c r="A1264" s="76" t="s">
        <v>1107</v>
      </c>
      <c r="B1264" s="99" t="s">
        <v>157</v>
      </c>
      <c r="C1264" s="76" t="s">
        <v>2062</v>
      </c>
      <c r="D1264" s="142"/>
    </row>
    <row r="1265" spans="1:4" s="119" customFormat="1" ht="12" customHeight="1" x14ac:dyDescent="0.35">
      <c r="A1265" s="76" t="s">
        <v>1206</v>
      </c>
      <c r="B1265" s="99" t="s">
        <v>941</v>
      </c>
      <c r="C1265" s="76" t="s">
        <v>3667</v>
      </c>
    </row>
    <row r="1266" spans="1:4" s="119" customFormat="1" ht="12" customHeight="1" x14ac:dyDescent="0.35">
      <c r="A1266" s="76" t="s">
        <v>1206</v>
      </c>
      <c r="B1266" s="99" t="s">
        <v>3668</v>
      </c>
      <c r="C1266" s="76" t="s">
        <v>3669</v>
      </c>
    </row>
    <row r="1267" spans="1:4" s="119" customFormat="1" ht="12" customHeight="1" x14ac:dyDescent="0.35">
      <c r="A1267" s="76" t="s">
        <v>1206</v>
      </c>
      <c r="B1267" s="99" t="s">
        <v>2445</v>
      </c>
      <c r="C1267" s="76" t="s">
        <v>3670</v>
      </c>
    </row>
    <row r="1268" spans="1:4" s="119" customFormat="1" ht="12" customHeight="1" x14ac:dyDescent="0.35">
      <c r="A1268" s="76" t="s">
        <v>1206</v>
      </c>
      <c r="B1268" s="99" t="s">
        <v>2449</v>
      </c>
      <c r="C1268" s="76" t="s">
        <v>3671</v>
      </c>
    </row>
    <row r="1269" spans="1:4" s="119" customFormat="1" ht="12" customHeight="1" x14ac:dyDescent="0.35">
      <c r="A1269" s="76" t="s">
        <v>1206</v>
      </c>
      <c r="B1269" s="99" t="s">
        <v>2465</v>
      </c>
      <c r="C1269" s="76" t="s">
        <v>3672</v>
      </c>
    </row>
    <row r="1270" spans="1:4" s="119" customFormat="1" ht="12" customHeight="1" x14ac:dyDescent="0.35">
      <c r="A1270" s="76" t="s">
        <v>1206</v>
      </c>
      <c r="B1270" s="99" t="s">
        <v>2469</v>
      </c>
      <c r="C1270" s="76" t="s">
        <v>3673</v>
      </c>
    </row>
    <row r="1271" spans="1:4" s="119" customFormat="1" ht="12" customHeight="1" x14ac:dyDescent="0.35">
      <c r="A1271" s="76" t="s">
        <v>1206</v>
      </c>
      <c r="B1271" s="99" t="s">
        <v>2473</v>
      </c>
      <c r="C1271" s="76" t="s">
        <v>3674</v>
      </c>
    </row>
    <row r="1272" spans="1:4" s="119" customFormat="1" ht="12" customHeight="1" x14ac:dyDescent="0.35">
      <c r="A1272" s="76" t="s">
        <v>1206</v>
      </c>
      <c r="B1272" s="99" t="s">
        <v>3675</v>
      </c>
      <c r="C1272" s="76" t="s">
        <v>3676</v>
      </c>
    </row>
    <row r="1273" spans="1:4" ht="12.75" customHeight="1" x14ac:dyDescent="0.35">
      <c r="A1273" s="76" t="s">
        <v>634</v>
      </c>
      <c r="B1273" s="99" t="s">
        <v>1422</v>
      </c>
      <c r="C1273" s="76" t="s">
        <v>3677</v>
      </c>
      <c r="D1273" s="142"/>
    </row>
    <row r="1274" spans="1:4" ht="12.75" customHeight="1" x14ac:dyDescent="0.35">
      <c r="A1274" s="76" t="s">
        <v>634</v>
      </c>
      <c r="B1274" s="99" t="s">
        <v>2098</v>
      </c>
      <c r="C1274" s="76" t="s">
        <v>3678</v>
      </c>
      <c r="D1274" s="142"/>
    </row>
    <row r="1275" spans="1:4" ht="12.75" customHeight="1" x14ac:dyDescent="0.35">
      <c r="A1275" s="76" t="s">
        <v>634</v>
      </c>
      <c r="B1275" s="99" t="s">
        <v>123</v>
      </c>
      <c r="C1275" s="76" t="s">
        <v>3679</v>
      </c>
      <c r="D1275" s="142"/>
    </row>
    <row r="1276" spans="1:4" ht="12.75" customHeight="1" x14ac:dyDescent="0.35">
      <c r="A1276" s="76" t="s">
        <v>760</v>
      </c>
      <c r="B1276" s="99" t="s">
        <v>2074</v>
      </c>
      <c r="C1276" s="76" t="s">
        <v>3680</v>
      </c>
      <c r="D1276" s="142"/>
    </row>
    <row r="1277" spans="1:4" ht="12.75" customHeight="1" x14ac:dyDescent="0.35">
      <c r="A1277" s="76" t="s">
        <v>760</v>
      </c>
      <c r="B1277" s="99" t="s">
        <v>2268</v>
      </c>
      <c r="C1277" s="76" t="s">
        <v>3681</v>
      </c>
      <c r="D1277" s="142"/>
    </row>
    <row r="1278" spans="1:4" ht="12.75" customHeight="1" x14ac:dyDescent="0.35">
      <c r="A1278" s="76" t="s">
        <v>760</v>
      </c>
      <c r="B1278" s="99" t="s">
        <v>109</v>
      </c>
      <c r="C1278" s="76" t="s">
        <v>3682</v>
      </c>
      <c r="D1278" s="142"/>
    </row>
    <row r="1279" spans="1:4" ht="12.75" customHeight="1" x14ac:dyDescent="0.35">
      <c r="A1279" s="76" t="s">
        <v>1156</v>
      </c>
      <c r="B1279" s="99" t="s">
        <v>1412</v>
      </c>
      <c r="C1279" s="76" t="s">
        <v>3683</v>
      </c>
      <c r="D1279" s="142"/>
    </row>
    <row r="1280" spans="1:4" ht="12.75" customHeight="1" x14ac:dyDescent="0.35">
      <c r="A1280" s="76" t="s">
        <v>1156</v>
      </c>
      <c r="B1280" s="99" t="s">
        <v>1512</v>
      </c>
      <c r="C1280" s="76" t="s">
        <v>3684</v>
      </c>
      <c r="D1280" s="142"/>
    </row>
    <row r="1281" spans="1:1220" ht="12.75" customHeight="1" x14ac:dyDescent="0.35">
      <c r="A1281" s="76" t="s">
        <v>1156</v>
      </c>
      <c r="B1281" s="99" t="s">
        <v>2074</v>
      </c>
      <c r="C1281" s="76" t="s">
        <v>3685</v>
      </c>
      <c r="D1281" s="142"/>
    </row>
    <row r="1282" spans="1:1220" ht="12.75" customHeight="1" x14ac:dyDescent="0.35">
      <c r="A1282" s="76" t="s">
        <v>1156</v>
      </c>
      <c r="B1282" s="99" t="s">
        <v>3686</v>
      </c>
      <c r="C1282" s="76" t="s">
        <v>3687</v>
      </c>
      <c r="D1282" s="142"/>
    </row>
    <row r="1283" spans="1:1220" s="9" customFormat="1" ht="12.75" customHeight="1" x14ac:dyDescent="0.35">
      <c r="A1283" s="76" t="s">
        <v>1156</v>
      </c>
      <c r="B1283" s="99" t="s">
        <v>2057</v>
      </c>
      <c r="C1283" s="76" t="s">
        <v>3688</v>
      </c>
      <c r="D1283" s="142"/>
      <c r="E1283" s="76"/>
      <c r="F1283" s="5"/>
      <c r="G1283" s="5"/>
      <c r="H1283" s="5"/>
      <c r="I1283" s="5"/>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c r="DE1283" s="5"/>
      <c r="DF1283" s="5"/>
      <c r="DG1283" s="5"/>
      <c r="DH1283" s="5"/>
      <c r="DI1283" s="5"/>
      <c r="DJ1283" s="5"/>
      <c r="DK1283" s="5"/>
      <c r="DL1283" s="5"/>
      <c r="DM1283" s="5"/>
      <c r="DN1283" s="5"/>
      <c r="DO1283" s="5"/>
      <c r="DP1283" s="5"/>
      <c r="DQ1283" s="5"/>
      <c r="DR1283" s="5"/>
      <c r="DS1283" s="5"/>
      <c r="DT1283" s="5"/>
      <c r="DU1283" s="5"/>
      <c r="DV1283" s="5"/>
      <c r="DW1283" s="5"/>
      <c r="DX1283" s="5"/>
      <c r="DY1283" s="5"/>
      <c r="DZ1283" s="5"/>
      <c r="EA1283" s="5"/>
      <c r="EB1283" s="5"/>
      <c r="EC1283" s="5"/>
      <c r="ED1283" s="5"/>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s="5"/>
      <c r="FG1283" s="5"/>
      <c r="FH1283" s="5"/>
      <c r="FI1283" s="5"/>
      <c r="FJ1283" s="5"/>
      <c r="FK1283" s="5"/>
      <c r="FL1283" s="5"/>
      <c r="FM1283" s="5"/>
      <c r="FN1283" s="5"/>
      <c r="FO1283" s="5"/>
      <c r="FP1283" s="5"/>
      <c r="FQ1283" s="5"/>
      <c r="FR1283" s="5"/>
      <c r="FS1283" s="5"/>
      <c r="FT1283" s="5"/>
      <c r="FU1283" s="5"/>
      <c r="FV1283" s="5"/>
      <c r="FW1283" s="5"/>
      <c r="FX1283" s="5"/>
      <c r="FY1283" s="5"/>
      <c r="FZ1283" s="5"/>
      <c r="GA1283" s="5"/>
      <c r="GB1283" s="5"/>
      <c r="GC1283" s="5"/>
      <c r="GD1283" s="5"/>
      <c r="GE1283" s="5"/>
      <c r="GF1283" s="5"/>
      <c r="GG1283" s="5"/>
      <c r="GH1283" s="5"/>
      <c r="GI1283" s="5"/>
      <c r="GJ1283" s="5"/>
      <c r="GK1283" s="5"/>
      <c r="GL1283" s="5"/>
      <c r="GM1283" s="5"/>
      <c r="GN1283" s="5"/>
      <c r="GO1283" s="5"/>
      <c r="GP1283" s="5"/>
      <c r="GQ1283" s="5"/>
      <c r="GR1283" s="5"/>
      <c r="GS1283" s="5"/>
      <c r="GT1283" s="5"/>
      <c r="GU1283" s="5"/>
      <c r="GV1283" s="5"/>
      <c r="GW1283" s="5"/>
      <c r="GX1283" s="5"/>
      <c r="GY1283" s="5"/>
      <c r="GZ1283" s="5"/>
      <c r="HA1283" s="5"/>
      <c r="HB1283" s="5"/>
      <c r="HC1283" s="5"/>
      <c r="HD1283" s="5"/>
      <c r="HE1283" s="5"/>
      <c r="HF1283" s="5"/>
      <c r="HG1283" s="5"/>
      <c r="HH1283" s="5"/>
      <c r="HI1283" s="5"/>
      <c r="HJ1283" s="5"/>
      <c r="HK1283" s="5"/>
      <c r="HL1283" s="5"/>
      <c r="HM1283" s="5"/>
      <c r="HN1283" s="5"/>
      <c r="HO1283" s="5"/>
      <c r="HP1283" s="5"/>
      <c r="HQ1283" s="5"/>
      <c r="HR1283" s="5"/>
      <c r="HS1283" s="5"/>
      <c r="HT1283" s="5"/>
      <c r="HU1283" s="5"/>
      <c r="HV1283" s="5"/>
      <c r="HW1283" s="5"/>
      <c r="HX1283" s="5"/>
      <c r="HY1283" s="5"/>
      <c r="HZ1283" s="5"/>
      <c r="IA1283" s="5"/>
      <c r="IB1283" s="5"/>
      <c r="IC1283" s="5"/>
      <c r="ID1283" s="5"/>
      <c r="IE1283" s="5"/>
      <c r="IF1283" s="5"/>
      <c r="IG1283" s="5"/>
      <c r="IH1283" s="5"/>
      <c r="II1283" s="5"/>
      <c r="IJ1283" s="5"/>
      <c r="IK1283" s="5"/>
      <c r="IL1283" s="5"/>
      <c r="IM1283" s="5"/>
      <c r="IN1283" s="5"/>
      <c r="IO1283" s="5"/>
      <c r="IP1283" s="5"/>
      <c r="IQ1283" s="5"/>
      <c r="IR1283" s="5"/>
      <c r="IS1283" s="5"/>
      <c r="IT1283" s="5"/>
      <c r="IU1283" s="5"/>
      <c r="IV1283" s="5"/>
      <c r="IW1283" s="5"/>
      <c r="IX1283" s="5"/>
      <c r="IY1283" s="5"/>
      <c r="IZ1283" s="5"/>
      <c r="JA1283" s="5"/>
      <c r="JB1283" s="5"/>
      <c r="JC1283" s="5"/>
      <c r="JD1283" s="5"/>
      <c r="JE1283" s="5"/>
      <c r="JF1283" s="5"/>
      <c r="JG1283" s="5"/>
      <c r="JH1283" s="5"/>
      <c r="JI1283" s="5"/>
      <c r="JJ1283" s="5"/>
      <c r="JK1283" s="5"/>
      <c r="JL1283" s="5"/>
      <c r="JM1283" s="5"/>
      <c r="JN1283" s="5"/>
      <c r="JO1283" s="5"/>
      <c r="JP1283" s="5"/>
      <c r="JQ1283" s="5"/>
      <c r="JR1283" s="5"/>
      <c r="JS1283" s="5"/>
      <c r="JT1283" s="5"/>
      <c r="JU1283" s="5"/>
      <c r="JV1283" s="5"/>
      <c r="JW1283" s="5"/>
      <c r="JX1283" s="5"/>
      <c r="JY1283" s="5"/>
      <c r="JZ1283" s="5"/>
      <c r="KA1283" s="5"/>
      <c r="KB1283" s="5"/>
      <c r="KC1283" s="5"/>
      <c r="KD1283" s="5"/>
      <c r="KE1283" s="5"/>
      <c r="KF1283" s="5"/>
      <c r="KG1283" s="5"/>
      <c r="KH1283" s="5"/>
      <c r="KI1283" s="5"/>
      <c r="KJ1283" s="5"/>
      <c r="KK1283" s="5"/>
      <c r="KL1283" s="5"/>
      <c r="KM1283" s="5"/>
      <c r="KN1283" s="5"/>
      <c r="KO1283" s="5"/>
      <c r="KP1283" s="5"/>
      <c r="KQ1283" s="5"/>
      <c r="KR1283" s="5"/>
      <c r="KS1283" s="5"/>
      <c r="KT1283" s="5"/>
      <c r="KU1283" s="5"/>
      <c r="KV1283" s="5"/>
      <c r="KW1283" s="5"/>
      <c r="KX1283" s="5"/>
      <c r="KY1283" s="5"/>
      <c r="KZ1283" s="5"/>
      <c r="LA1283" s="5"/>
      <c r="LB1283" s="5"/>
      <c r="LC1283" s="5"/>
      <c r="LD1283" s="5"/>
      <c r="LE1283" s="5"/>
      <c r="LF1283" s="5"/>
      <c r="LG1283" s="5"/>
      <c r="LH1283" s="5"/>
      <c r="LI1283" s="5"/>
      <c r="LJ1283" s="5"/>
      <c r="LK1283" s="5"/>
      <c r="LL1283" s="5"/>
      <c r="LM1283" s="5"/>
      <c r="LN1283" s="5"/>
      <c r="LO1283" s="5"/>
      <c r="LP1283" s="5"/>
      <c r="LQ1283" s="5"/>
      <c r="LR1283" s="5"/>
      <c r="LS1283" s="5"/>
      <c r="LT1283" s="5"/>
      <c r="LU1283" s="5"/>
      <c r="LV1283" s="5"/>
      <c r="LW1283" s="5"/>
      <c r="LX1283" s="5"/>
      <c r="LY1283" s="5"/>
      <c r="LZ1283" s="5"/>
      <c r="MA1283" s="5"/>
      <c r="MB1283" s="5"/>
      <c r="MC1283" s="5"/>
      <c r="MD1283" s="5"/>
      <c r="ME1283" s="5"/>
      <c r="MF1283" s="5"/>
      <c r="MG1283" s="5"/>
      <c r="MH1283" s="5"/>
      <c r="MI1283" s="5"/>
      <c r="MJ1283" s="5"/>
      <c r="MK1283" s="5"/>
      <c r="ML1283" s="5"/>
      <c r="MM1283" s="5"/>
      <c r="MN1283" s="5"/>
      <c r="MO1283" s="5"/>
      <c r="MP1283" s="5"/>
      <c r="MQ1283" s="5"/>
      <c r="MR1283" s="5"/>
      <c r="MS1283" s="5"/>
      <c r="MT1283" s="5"/>
      <c r="MU1283" s="5"/>
      <c r="MV1283" s="5"/>
      <c r="MW1283" s="5"/>
      <c r="MX1283" s="5"/>
      <c r="MY1283" s="5"/>
      <c r="MZ1283" s="5"/>
      <c r="NA1283" s="5"/>
      <c r="NB1283" s="5"/>
      <c r="NC1283" s="5"/>
      <c r="ND1283" s="5"/>
      <c r="NE1283" s="5"/>
      <c r="NF1283" s="5"/>
      <c r="NG1283" s="5"/>
      <c r="NH1283" s="5"/>
      <c r="NI1283" s="5"/>
      <c r="NJ1283" s="5"/>
      <c r="NK1283" s="5"/>
      <c r="NL1283" s="5"/>
      <c r="NM1283" s="5"/>
      <c r="NN1283" s="5"/>
      <c r="NO1283" s="5"/>
      <c r="NP1283" s="5"/>
      <c r="NQ1283" s="5"/>
      <c r="NR1283" s="5"/>
      <c r="NS1283" s="5"/>
      <c r="NT1283" s="5"/>
      <c r="NU1283" s="5"/>
      <c r="NV1283" s="5"/>
      <c r="NW1283" s="5"/>
      <c r="NX1283" s="5"/>
      <c r="NY1283" s="5"/>
      <c r="NZ1283" s="5"/>
      <c r="OA1283" s="5"/>
      <c r="OB1283" s="5"/>
      <c r="OC1283" s="5"/>
      <c r="OD1283" s="5"/>
      <c r="OE1283" s="5"/>
      <c r="OF1283" s="5"/>
      <c r="OG1283" s="5"/>
      <c r="OH1283" s="5"/>
      <c r="OI1283" s="5"/>
      <c r="OJ1283" s="5"/>
      <c r="OK1283" s="5"/>
      <c r="OL1283" s="5"/>
      <c r="OM1283" s="5"/>
      <c r="ON1283" s="5"/>
      <c r="OO1283" s="5"/>
      <c r="OP1283" s="5"/>
      <c r="OQ1283" s="5"/>
      <c r="OR1283" s="5"/>
      <c r="OS1283" s="5"/>
      <c r="OT1283" s="5"/>
      <c r="OU1283" s="5"/>
      <c r="OV1283" s="5"/>
      <c r="OW1283" s="5"/>
      <c r="OX1283" s="5"/>
      <c r="OY1283" s="5"/>
      <c r="OZ1283" s="5"/>
      <c r="PA1283" s="5"/>
      <c r="PB1283" s="5"/>
      <c r="PC1283" s="5"/>
      <c r="PD1283" s="5"/>
      <c r="PE1283" s="5"/>
      <c r="PF1283" s="5"/>
      <c r="PG1283" s="5"/>
      <c r="PH1283" s="5"/>
      <c r="PI1283" s="5"/>
      <c r="PJ1283" s="5"/>
      <c r="PK1283" s="5"/>
      <c r="PL1283" s="5"/>
      <c r="PM1283" s="5"/>
      <c r="PN1283" s="5"/>
      <c r="PO1283" s="5"/>
      <c r="PP1283" s="5"/>
      <c r="PQ1283" s="5"/>
      <c r="PR1283" s="5"/>
      <c r="PS1283" s="5"/>
      <c r="PT1283" s="5"/>
      <c r="PU1283" s="5"/>
      <c r="PV1283" s="5"/>
      <c r="PW1283" s="5"/>
      <c r="PX1283" s="5"/>
      <c r="PY1283" s="5"/>
      <c r="PZ1283" s="5"/>
      <c r="QA1283" s="5"/>
      <c r="QB1283" s="5"/>
      <c r="QC1283" s="5"/>
      <c r="QD1283" s="5"/>
      <c r="QE1283" s="5"/>
      <c r="QF1283" s="5"/>
      <c r="QG1283" s="5"/>
      <c r="QH1283" s="5"/>
      <c r="QI1283" s="5"/>
      <c r="QJ1283" s="5"/>
      <c r="QK1283" s="5"/>
      <c r="QL1283" s="5"/>
      <c r="QM1283" s="5"/>
      <c r="QN1283" s="5"/>
      <c r="QO1283" s="5"/>
      <c r="QP1283" s="5"/>
      <c r="QQ1283" s="5"/>
      <c r="QR1283" s="5"/>
      <c r="QS1283" s="5"/>
      <c r="QT1283" s="5"/>
      <c r="QU1283" s="5"/>
      <c r="QV1283" s="5"/>
      <c r="QW1283" s="5"/>
      <c r="QX1283" s="5"/>
      <c r="QY1283" s="5"/>
      <c r="QZ1283" s="5"/>
      <c r="RA1283" s="5"/>
      <c r="RB1283" s="5"/>
      <c r="RC1283" s="5"/>
      <c r="RD1283" s="5"/>
      <c r="RE1283" s="5"/>
      <c r="RF1283" s="5"/>
      <c r="RG1283" s="5"/>
      <c r="RH1283" s="5"/>
      <c r="RI1283" s="5"/>
      <c r="RJ1283" s="5"/>
      <c r="RK1283" s="5"/>
      <c r="RL1283" s="5"/>
      <c r="RM1283" s="5"/>
      <c r="RN1283" s="5"/>
      <c r="RO1283" s="5"/>
      <c r="RP1283" s="5"/>
      <c r="RQ1283" s="5"/>
      <c r="RR1283" s="5"/>
      <c r="RS1283" s="5"/>
      <c r="RT1283" s="5"/>
      <c r="RU1283" s="5"/>
      <c r="RV1283" s="5"/>
      <c r="RW1283" s="5"/>
      <c r="RX1283" s="5"/>
      <c r="RY1283" s="5"/>
      <c r="RZ1283" s="5"/>
      <c r="SA1283" s="5"/>
      <c r="SB1283" s="5"/>
      <c r="SC1283" s="5"/>
      <c r="SD1283" s="5"/>
      <c r="SE1283" s="5"/>
      <c r="SF1283" s="5"/>
      <c r="SG1283" s="5"/>
      <c r="SH1283" s="5"/>
      <c r="SI1283" s="5"/>
      <c r="SJ1283" s="5"/>
      <c r="SK1283" s="5"/>
      <c r="SL1283" s="5"/>
      <c r="SM1283" s="5"/>
      <c r="SN1283" s="5"/>
      <c r="SO1283" s="5"/>
      <c r="SP1283" s="5"/>
      <c r="SQ1283" s="5"/>
      <c r="SR1283" s="5"/>
      <c r="SS1283" s="5"/>
      <c r="ST1283" s="5"/>
      <c r="SU1283" s="5"/>
      <c r="SV1283" s="5"/>
      <c r="SW1283" s="5"/>
      <c r="SX1283" s="5"/>
      <c r="SY1283" s="5"/>
      <c r="SZ1283" s="5"/>
      <c r="TA1283" s="5"/>
      <c r="TB1283" s="5"/>
      <c r="TC1283" s="5"/>
      <c r="TD1283" s="5"/>
      <c r="TE1283" s="5"/>
      <c r="TF1283" s="5"/>
      <c r="TG1283" s="5"/>
      <c r="TH1283" s="5"/>
      <c r="TI1283" s="5"/>
      <c r="TJ1283" s="5"/>
      <c r="TK1283" s="5"/>
      <c r="TL1283" s="5"/>
      <c r="TM1283" s="5"/>
      <c r="TN1283" s="5"/>
      <c r="TO1283" s="5"/>
      <c r="TP1283" s="5"/>
      <c r="TQ1283" s="5"/>
      <c r="TR1283" s="5"/>
      <c r="TS1283" s="5"/>
      <c r="TT1283" s="5"/>
      <c r="TU1283" s="5"/>
      <c r="TV1283" s="5"/>
      <c r="TW1283" s="5"/>
      <c r="TX1283" s="5"/>
      <c r="TY1283" s="5"/>
      <c r="TZ1283" s="5"/>
      <c r="UA1283" s="5"/>
      <c r="UB1283" s="5"/>
      <c r="UC1283" s="5"/>
      <c r="UD1283" s="5"/>
      <c r="UE1283" s="5"/>
      <c r="UF1283" s="5"/>
      <c r="UG1283" s="5"/>
      <c r="UH1283" s="5"/>
      <c r="UI1283" s="5"/>
      <c r="UJ1283" s="5"/>
      <c r="UK1283" s="5"/>
      <c r="UL1283" s="5"/>
      <c r="UM1283" s="5"/>
      <c r="UN1283" s="5"/>
      <c r="UO1283" s="5"/>
      <c r="UP1283" s="5"/>
      <c r="UQ1283" s="5"/>
      <c r="UR1283" s="5"/>
      <c r="US1283" s="5"/>
      <c r="UT1283" s="5"/>
      <c r="UU1283" s="5"/>
      <c r="UV1283" s="5"/>
      <c r="UW1283" s="5"/>
      <c r="UX1283" s="5"/>
      <c r="UY1283" s="5"/>
      <c r="UZ1283" s="5"/>
      <c r="VA1283" s="5"/>
      <c r="VB1283" s="5"/>
      <c r="VC1283" s="5"/>
      <c r="VD1283" s="5"/>
      <c r="VE1283" s="5"/>
      <c r="VF1283" s="5"/>
      <c r="VG1283" s="5"/>
      <c r="VH1283" s="5"/>
      <c r="VI1283" s="5"/>
      <c r="VJ1283" s="5"/>
      <c r="VK1283" s="5"/>
      <c r="VL1283" s="5"/>
      <c r="VM1283" s="5"/>
      <c r="VN1283" s="5"/>
      <c r="VO1283" s="5"/>
      <c r="VP1283" s="5"/>
      <c r="VQ1283" s="5"/>
      <c r="VR1283" s="5"/>
      <c r="VS1283" s="5"/>
      <c r="VT1283" s="5"/>
      <c r="VU1283" s="5"/>
      <c r="VV1283" s="5"/>
      <c r="VW1283" s="5"/>
      <c r="VX1283" s="5"/>
      <c r="VY1283" s="5"/>
      <c r="VZ1283" s="5"/>
      <c r="WA1283" s="5"/>
      <c r="WB1283" s="5"/>
      <c r="WC1283" s="5"/>
      <c r="WD1283" s="5"/>
      <c r="WE1283" s="5"/>
      <c r="WF1283" s="5"/>
      <c r="WG1283" s="5"/>
      <c r="WH1283" s="5"/>
      <c r="WI1283" s="5"/>
      <c r="WJ1283" s="5"/>
      <c r="WK1283" s="5"/>
      <c r="WL1283" s="5"/>
      <c r="WM1283" s="5"/>
      <c r="WN1283" s="5"/>
      <c r="WO1283" s="5"/>
      <c r="WP1283" s="5"/>
      <c r="WQ1283" s="5"/>
      <c r="WR1283" s="5"/>
      <c r="WS1283" s="5"/>
      <c r="WT1283" s="5"/>
      <c r="WU1283" s="5"/>
      <c r="WV1283" s="5"/>
      <c r="WW1283" s="5"/>
      <c r="WX1283" s="5"/>
      <c r="WY1283" s="5"/>
      <c r="WZ1283" s="5"/>
      <c r="XA1283" s="5"/>
      <c r="XB1283" s="5"/>
      <c r="XC1283" s="5"/>
      <c r="XD1283" s="5"/>
      <c r="XE1283" s="5"/>
      <c r="XF1283" s="5"/>
      <c r="XG1283" s="5"/>
      <c r="XH1283" s="5"/>
      <c r="XI1283" s="5"/>
      <c r="XJ1283" s="5"/>
      <c r="XK1283" s="5"/>
      <c r="XL1283" s="5"/>
      <c r="XM1283" s="5"/>
      <c r="XN1283" s="5"/>
      <c r="XO1283" s="5"/>
      <c r="XP1283" s="5"/>
      <c r="XQ1283" s="5"/>
      <c r="XR1283" s="5"/>
      <c r="XS1283" s="5"/>
      <c r="XT1283" s="5"/>
      <c r="XU1283" s="5"/>
      <c r="XV1283" s="5"/>
      <c r="XW1283" s="5"/>
      <c r="XX1283" s="5"/>
      <c r="XY1283" s="5"/>
      <c r="XZ1283" s="5"/>
      <c r="YA1283" s="5"/>
      <c r="YB1283" s="5"/>
      <c r="YC1283" s="5"/>
      <c r="YD1283" s="5"/>
      <c r="YE1283" s="5"/>
      <c r="YF1283" s="5"/>
      <c r="YG1283" s="5"/>
      <c r="YH1283" s="5"/>
      <c r="YI1283" s="5"/>
      <c r="YJ1283" s="5"/>
      <c r="YK1283" s="5"/>
      <c r="YL1283" s="5"/>
      <c r="YM1283" s="5"/>
      <c r="YN1283" s="5"/>
      <c r="YO1283" s="5"/>
      <c r="YP1283" s="5"/>
      <c r="YQ1283" s="5"/>
      <c r="YR1283" s="5"/>
      <c r="YS1283" s="5"/>
      <c r="YT1283" s="5"/>
      <c r="YU1283" s="5"/>
      <c r="YV1283" s="5"/>
      <c r="YW1283" s="5"/>
      <c r="YX1283" s="5"/>
      <c r="YY1283" s="5"/>
      <c r="YZ1283" s="5"/>
      <c r="ZA1283" s="5"/>
      <c r="ZB1283" s="5"/>
      <c r="ZC1283" s="5"/>
      <c r="ZD1283" s="5"/>
      <c r="ZE1283" s="5"/>
      <c r="ZF1283" s="5"/>
      <c r="ZG1283" s="5"/>
      <c r="ZH1283" s="5"/>
      <c r="ZI1283" s="5"/>
      <c r="ZJ1283" s="5"/>
      <c r="ZK1283" s="5"/>
      <c r="ZL1283" s="5"/>
      <c r="ZM1283" s="5"/>
      <c r="ZN1283" s="5"/>
      <c r="ZO1283" s="5"/>
      <c r="ZP1283" s="5"/>
      <c r="ZQ1283" s="5"/>
      <c r="ZR1283" s="5"/>
      <c r="ZS1283" s="5"/>
      <c r="ZT1283" s="5"/>
      <c r="ZU1283" s="5"/>
      <c r="ZV1283" s="5"/>
      <c r="ZW1283" s="5"/>
      <c r="ZX1283" s="5"/>
      <c r="ZY1283" s="5"/>
      <c r="ZZ1283" s="5"/>
      <c r="AAA1283" s="5"/>
      <c r="AAB1283" s="5"/>
      <c r="AAC1283" s="5"/>
      <c r="AAD1283" s="5"/>
      <c r="AAE1283" s="5"/>
      <c r="AAF1283" s="5"/>
      <c r="AAG1283" s="5"/>
      <c r="AAH1283" s="5"/>
      <c r="AAI1283" s="5"/>
      <c r="AAJ1283" s="5"/>
      <c r="AAK1283" s="5"/>
      <c r="AAL1283" s="5"/>
      <c r="AAM1283" s="5"/>
      <c r="AAN1283" s="5"/>
      <c r="AAO1283" s="5"/>
      <c r="AAP1283" s="5"/>
      <c r="AAQ1283" s="5"/>
      <c r="AAR1283" s="5"/>
      <c r="AAS1283" s="5"/>
      <c r="AAT1283" s="5"/>
      <c r="AAU1283" s="5"/>
      <c r="AAV1283" s="5"/>
      <c r="AAW1283" s="5"/>
      <c r="AAX1283" s="5"/>
      <c r="AAY1283" s="5"/>
      <c r="AAZ1283" s="5"/>
      <c r="ABA1283" s="5"/>
      <c r="ABB1283" s="5"/>
      <c r="ABC1283" s="5"/>
      <c r="ABD1283" s="5"/>
      <c r="ABE1283" s="5"/>
      <c r="ABF1283" s="5"/>
      <c r="ABG1283" s="5"/>
      <c r="ABH1283" s="5"/>
      <c r="ABI1283" s="5"/>
      <c r="ABJ1283" s="5"/>
      <c r="ABK1283" s="5"/>
      <c r="ABL1283" s="5"/>
      <c r="ABM1283" s="5"/>
      <c r="ABN1283" s="5"/>
      <c r="ABO1283" s="5"/>
      <c r="ABP1283" s="5"/>
      <c r="ABQ1283" s="5"/>
      <c r="ABR1283" s="5"/>
      <c r="ABS1283" s="5"/>
      <c r="ABT1283" s="5"/>
      <c r="ABU1283" s="5"/>
      <c r="ABV1283" s="5"/>
      <c r="ABW1283" s="5"/>
      <c r="ABX1283" s="5"/>
      <c r="ABY1283" s="5"/>
      <c r="ABZ1283" s="5"/>
      <c r="ACA1283" s="5"/>
      <c r="ACB1283" s="5"/>
      <c r="ACC1283" s="5"/>
      <c r="ACD1283" s="5"/>
      <c r="ACE1283" s="5"/>
      <c r="ACF1283" s="5"/>
      <c r="ACG1283" s="5"/>
      <c r="ACH1283" s="5"/>
      <c r="ACI1283" s="5"/>
      <c r="ACJ1283" s="5"/>
      <c r="ACK1283" s="5"/>
      <c r="ACL1283" s="5"/>
      <c r="ACM1283" s="5"/>
      <c r="ACN1283" s="5"/>
      <c r="ACO1283" s="5"/>
      <c r="ACP1283" s="5"/>
      <c r="ACQ1283" s="5"/>
      <c r="ACR1283" s="5"/>
      <c r="ACS1283" s="5"/>
      <c r="ACT1283" s="5"/>
      <c r="ACU1283" s="5"/>
      <c r="ACV1283" s="5"/>
      <c r="ACW1283" s="5"/>
      <c r="ACX1283" s="5"/>
      <c r="ACY1283" s="5"/>
      <c r="ACZ1283" s="5"/>
      <c r="ADA1283" s="5"/>
      <c r="ADB1283" s="5"/>
      <c r="ADC1283" s="5"/>
      <c r="ADD1283" s="5"/>
      <c r="ADE1283" s="5"/>
      <c r="ADF1283" s="5"/>
      <c r="ADG1283" s="5"/>
      <c r="ADH1283" s="5"/>
      <c r="ADI1283" s="5"/>
      <c r="ADJ1283" s="5"/>
      <c r="ADK1283" s="5"/>
      <c r="ADL1283" s="5"/>
      <c r="ADM1283" s="5"/>
      <c r="ADN1283" s="5"/>
      <c r="ADO1283" s="5"/>
      <c r="ADP1283" s="5"/>
      <c r="ADQ1283" s="5"/>
      <c r="ADR1283" s="5"/>
      <c r="ADS1283" s="5"/>
      <c r="ADT1283" s="5"/>
      <c r="ADU1283" s="5"/>
      <c r="ADV1283" s="5"/>
      <c r="ADW1283" s="5"/>
      <c r="ADX1283" s="5"/>
      <c r="ADY1283" s="5"/>
      <c r="ADZ1283" s="5"/>
      <c r="AEA1283" s="5"/>
      <c r="AEB1283" s="5"/>
      <c r="AEC1283" s="5"/>
      <c r="AED1283" s="5"/>
      <c r="AEE1283" s="5"/>
      <c r="AEF1283" s="5"/>
      <c r="AEG1283" s="5"/>
      <c r="AEH1283" s="5"/>
      <c r="AEI1283" s="5"/>
      <c r="AEJ1283" s="5"/>
      <c r="AEK1283" s="5"/>
      <c r="AEL1283" s="5"/>
      <c r="AEM1283" s="5"/>
      <c r="AEN1283" s="5"/>
      <c r="AEO1283" s="5"/>
      <c r="AEP1283" s="5"/>
      <c r="AEQ1283" s="5"/>
      <c r="AER1283" s="5"/>
      <c r="AES1283" s="5"/>
      <c r="AET1283" s="5"/>
      <c r="AEU1283" s="5"/>
      <c r="AEV1283" s="5"/>
      <c r="AEW1283" s="5"/>
      <c r="AEX1283" s="5"/>
      <c r="AEY1283" s="5"/>
      <c r="AEZ1283" s="5"/>
      <c r="AFA1283" s="5"/>
      <c r="AFB1283" s="5"/>
      <c r="AFC1283" s="5"/>
      <c r="AFD1283" s="5"/>
      <c r="AFE1283" s="5"/>
      <c r="AFF1283" s="5"/>
      <c r="AFG1283" s="5"/>
      <c r="AFH1283" s="5"/>
      <c r="AFI1283" s="5"/>
      <c r="AFJ1283" s="5"/>
      <c r="AFK1283" s="5"/>
      <c r="AFL1283" s="5"/>
      <c r="AFM1283" s="5"/>
      <c r="AFN1283" s="5"/>
      <c r="AFO1283" s="5"/>
      <c r="AFP1283" s="5"/>
      <c r="AFQ1283" s="5"/>
      <c r="AFR1283" s="5"/>
      <c r="AFS1283" s="5"/>
      <c r="AFT1283" s="5"/>
      <c r="AFU1283" s="5"/>
      <c r="AFV1283" s="5"/>
      <c r="AFW1283" s="5"/>
      <c r="AFX1283" s="5"/>
      <c r="AFY1283" s="5"/>
      <c r="AFZ1283" s="5"/>
      <c r="AGA1283" s="5"/>
      <c r="AGB1283" s="5"/>
      <c r="AGC1283" s="5"/>
      <c r="AGD1283" s="5"/>
      <c r="AGE1283" s="5"/>
      <c r="AGF1283" s="5"/>
      <c r="AGG1283" s="5"/>
      <c r="AGH1283" s="5"/>
      <c r="AGI1283" s="5"/>
      <c r="AGJ1283" s="5"/>
      <c r="AGK1283" s="5"/>
      <c r="AGL1283" s="5"/>
      <c r="AGM1283" s="5"/>
      <c r="AGN1283" s="5"/>
      <c r="AGO1283" s="5"/>
      <c r="AGP1283" s="5"/>
      <c r="AGQ1283" s="5"/>
      <c r="AGR1283" s="5"/>
      <c r="AGS1283" s="5"/>
      <c r="AGT1283" s="5"/>
      <c r="AGU1283" s="5"/>
      <c r="AGV1283" s="5"/>
      <c r="AGW1283" s="5"/>
      <c r="AGX1283" s="5"/>
      <c r="AGY1283" s="5"/>
      <c r="AGZ1283" s="5"/>
      <c r="AHA1283" s="5"/>
      <c r="AHB1283" s="5"/>
      <c r="AHC1283" s="5"/>
      <c r="AHD1283" s="5"/>
      <c r="AHE1283" s="5"/>
      <c r="AHF1283" s="5"/>
      <c r="AHG1283" s="5"/>
      <c r="AHH1283" s="5"/>
      <c r="AHI1283" s="5"/>
      <c r="AHJ1283" s="5"/>
      <c r="AHK1283" s="5"/>
      <c r="AHL1283" s="5"/>
      <c r="AHM1283" s="5"/>
      <c r="AHN1283" s="5"/>
      <c r="AHO1283" s="5"/>
      <c r="AHP1283" s="5"/>
      <c r="AHQ1283" s="5"/>
      <c r="AHR1283" s="5"/>
      <c r="AHS1283" s="5"/>
      <c r="AHT1283" s="5"/>
      <c r="AHU1283" s="5"/>
      <c r="AHV1283" s="5"/>
      <c r="AHW1283" s="5"/>
      <c r="AHX1283" s="5"/>
      <c r="AHY1283" s="5"/>
      <c r="AHZ1283" s="5"/>
      <c r="AIA1283" s="5"/>
      <c r="AIB1283" s="5"/>
      <c r="AIC1283" s="5"/>
      <c r="AID1283" s="5"/>
      <c r="AIE1283" s="5"/>
      <c r="AIF1283" s="5"/>
      <c r="AIG1283" s="5"/>
      <c r="AIH1283" s="5"/>
      <c r="AII1283" s="5"/>
      <c r="AIJ1283" s="5"/>
      <c r="AIK1283" s="5"/>
      <c r="AIL1283" s="5"/>
      <c r="AIM1283" s="5"/>
      <c r="AIN1283" s="5"/>
      <c r="AIO1283" s="5"/>
      <c r="AIP1283" s="5"/>
      <c r="AIQ1283" s="5"/>
      <c r="AIR1283" s="5"/>
      <c r="AIS1283" s="5"/>
      <c r="AIT1283" s="5"/>
      <c r="AIU1283" s="5"/>
      <c r="AIV1283" s="5"/>
      <c r="AIW1283" s="5"/>
      <c r="AIX1283" s="5"/>
      <c r="AIY1283" s="5"/>
      <c r="AIZ1283" s="5"/>
      <c r="AJA1283" s="5"/>
      <c r="AJB1283" s="5"/>
      <c r="AJC1283" s="5"/>
      <c r="AJD1283" s="5"/>
      <c r="AJE1283" s="5"/>
      <c r="AJF1283" s="5"/>
      <c r="AJG1283" s="5"/>
      <c r="AJH1283" s="5"/>
      <c r="AJI1283" s="5"/>
      <c r="AJJ1283" s="5"/>
      <c r="AJK1283" s="5"/>
      <c r="AJL1283" s="5"/>
      <c r="AJM1283" s="5"/>
      <c r="AJN1283" s="5"/>
      <c r="AJO1283" s="5"/>
      <c r="AJP1283" s="5"/>
      <c r="AJQ1283" s="5"/>
      <c r="AJR1283" s="5"/>
      <c r="AJS1283" s="5"/>
      <c r="AJT1283" s="5"/>
      <c r="AJU1283" s="5"/>
      <c r="AJV1283" s="5"/>
      <c r="AJW1283" s="5"/>
      <c r="AJX1283" s="5"/>
      <c r="AJY1283" s="5"/>
      <c r="AJZ1283" s="5"/>
      <c r="AKA1283" s="5"/>
      <c r="AKB1283" s="5"/>
      <c r="AKC1283" s="5"/>
      <c r="AKD1283" s="5"/>
      <c r="AKE1283" s="5"/>
      <c r="AKF1283" s="5"/>
      <c r="AKG1283" s="5"/>
      <c r="AKH1283" s="5"/>
      <c r="AKI1283" s="5"/>
      <c r="AKJ1283" s="5"/>
      <c r="AKK1283" s="5"/>
      <c r="AKL1283" s="5"/>
      <c r="AKM1283" s="5"/>
      <c r="AKN1283" s="5"/>
      <c r="AKO1283" s="5"/>
      <c r="AKP1283" s="5"/>
      <c r="AKQ1283" s="5"/>
      <c r="AKR1283" s="5"/>
      <c r="AKS1283" s="5"/>
      <c r="AKT1283" s="5"/>
      <c r="AKU1283" s="5"/>
      <c r="AKV1283" s="5"/>
      <c r="AKW1283" s="5"/>
      <c r="AKX1283" s="5"/>
      <c r="AKY1283" s="5"/>
      <c r="AKZ1283" s="5"/>
      <c r="ALA1283" s="5"/>
      <c r="ALB1283" s="5"/>
      <c r="ALC1283" s="5"/>
      <c r="ALD1283" s="5"/>
      <c r="ALE1283" s="5"/>
      <c r="ALF1283" s="5"/>
      <c r="ALG1283" s="5"/>
      <c r="ALH1283" s="5"/>
      <c r="ALI1283" s="5"/>
      <c r="ALJ1283" s="5"/>
      <c r="ALK1283" s="5"/>
      <c r="ALL1283" s="5"/>
      <c r="ALM1283" s="5"/>
      <c r="ALN1283" s="5"/>
      <c r="ALO1283" s="5"/>
      <c r="ALP1283" s="5"/>
      <c r="ALQ1283" s="5"/>
      <c r="ALR1283" s="5"/>
      <c r="ALS1283" s="5"/>
      <c r="ALT1283" s="5"/>
      <c r="ALU1283" s="5"/>
      <c r="ALV1283" s="5"/>
      <c r="ALW1283" s="5"/>
      <c r="ALX1283" s="5"/>
      <c r="ALY1283" s="5"/>
      <c r="ALZ1283" s="5"/>
      <c r="AMA1283" s="5"/>
      <c r="AMB1283" s="5"/>
      <c r="AMC1283" s="5"/>
      <c r="AMD1283" s="5"/>
      <c r="AME1283" s="5"/>
      <c r="AMF1283" s="5"/>
      <c r="AMG1283" s="5"/>
      <c r="AMH1283" s="5"/>
      <c r="AMI1283" s="5"/>
      <c r="AMJ1283" s="5"/>
      <c r="AMK1283" s="5"/>
      <c r="AML1283" s="5"/>
      <c r="AMM1283" s="5"/>
      <c r="AMN1283" s="5"/>
      <c r="AMO1283" s="5"/>
      <c r="AMP1283" s="5"/>
      <c r="AMQ1283" s="5"/>
      <c r="AMR1283" s="5"/>
      <c r="AMS1283" s="5"/>
      <c r="AMT1283" s="5"/>
      <c r="AMU1283" s="5"/>
      <c r="AMV1283" s="5"/>
      <c r="AMW1283" s="5"/>
      <c r="AMX1283" s="5"/>
      <c r="AMY1283" s="5"/>
      <c r="AMZ1283" s="5"/>
      <c r="ANA1283" s="5"/>
      <c r="ANB1283" s="5"/>
      <c r="ANC1283" s="5"/>
      <c r="AND1283" s="5"/>
      <c r="ANE1283" s="5"/>
      <c r="ANF1283" s="5"/>
      <c r="ANG1283" s="5"/>
      <c r="ANH1283" s="5"/>
      <c r="ANI1283" s="5"/>
      <c r="ANJ1283" s="5"/>
      <c r="ANK1283" s="5"/>
      <c r="ANL1283" s="5"/>
      <c r="ANM1283" s="5"/>
      <c r="ANN1283" s="5"/>
      <c r="ANO1283" s="5"/>
      <c r="ANP1283" s="5"/>
      <c r="ANQ1283" s="5"/>
      <c r="ANR1283" s="5"/>
      <c r="ANS1283" s="5"/>
      <c r="ANT1283" s="5"/>
      <c r="ANU1283" s="5"/>
      <c r="ANV1283" s="5"/>
      <c r="ANW1283" s="5"/>
      <c r="ANX1283" s="5"/>
      <c r="ANY1283" s="5"/>
      <c r="ANZ1283" s="5"/>
      <c r="AOA1283" s="5"/>
      <c r="AOB1283" s="5"/>
      <c r="AOC1283" s="5"/>
      <c r="AOD1283" s="5"/>
      <c r="AOE1283" s="5"/>
      <c r="AOF1283" s="5"/>
      <c r="AOG1283" s="5"/>
      <c r="AOH1283" s="5"/>
      <c r="AOI1283" s="5"/>
      <c r="AOJ1283" s="5"/>
      <c r="AOK1283" s="5"/>
      <c r="AOL1283" s="5"/>
      <c r="AOM1283" s="5"/>
      <c r="AON1283" s="5"/>
      <c r="AOO1283" s="5"/>
      <c r="AOP1283" s="5"/>
      <c r="AOQ1283" s="5"/>
      <c r="AOR1283" s="5"/>
      <c r="AOS1283" s="5"/>
      <c r="AOT1283" s="5"/>
      <c r="AOU1283" s="5"/>
      <c r="AOV1283" s="5"/>
      <c r="AOW1283" s="5"/>
      <c r="AOX1283" s="5"/>
      <c r="AOY1283" s="5"/>
      <c r="AOZ1283" s="5"/>
      <c r="APA1283" s="5"/>
      <c r="APB1283" s="5"/>
      <c r="APC1283" s="5"/>
      <c r="APD1283" s="5"/>
      <c r="APE1283" s="5"/>
      <c r="APF1283" s="5"/>
      <c r="APG1283" s="5"/>
      <c r="APH1283" s="5"/>
      <c r="API1283" s="5"/>
      <c r="APJ1283" s="5"/>
      <c r="APK1283" s="5"/>
      <c r="APL1283" s="5"/>
      <c r="APM1283" s="5"/>
      <c r="APN1283" s="5"/>
      <c r="APO1283" s="5"/>
      <c r="APP1283" s="5"/>
      <c r="APQ1283" s="5"/>
      <c r="APR1283" s="5"/>
      <c r="APS1283" s="5"/>
      <c r="APT1283" s="5"/>
      <c r="APU1283" s="5"/>
      <c r="APV1283" s="5"/>
      <c r="APW1283" s="5"/>
      <c r="APX1283" s="5"/>
      <c r="APY1283" s="5"/>
      <c r="APZ1283" s="5"/>
      <c r="AQA1283" s="5"/>
      <c r="AQB1283" s="5"/>
      <c r="AQC1283" s="5"/>
      <c r="AQD1283" s="5"/>
      <c r="AQE1283" s="5"/>
      <c r="AQF1283" s="5"/>
      <c r="AQG1283" s="5"/>
      <c r="AQH1283" s="5"/>
      <c r="AQI1283" s="5"/>
      <c r="AQJ1283" s="5"/>
      <c r="AQK1283" s="5"/>
      <c r="AQL1283" s="5"/>
      <c r="AQM1283" s="5"/>
      <c r="AQN1283" s="5"/>
      <c r="AQO1283" s="5"/>
      <c r="AQP1283" s="5"/>
      <c r="AQQ1283" s="5"/>
      <c r="AQR1283" s="5"/>
      <c r="AQS1283" s="5"/>
      <c r="AQT1283" s="5"/>
      <c r="AQU1283" s="5"/>
      <c r="AQV1283" s="5"/>
      <c r="AQW1283" s="5"/>
      <c r="AQX1283" s="5"/>
      <c r="AQY1283" s="5"/>
      <c r="AQZ1283" s="5"/>
      <c r="ARA1283" s="5"/>
      <c r="ARB1283" s="5"/>
      <c r="ARC1283" s="5"/>
      <c r="ARD1283" s="5"/>
      <c r="ARE1283" s="5"/>
      <c r="ARF1283" s="5"/>
      <c r="ARG1283" s="5"/>
      <c r="ARH1283" s="5"/>
      <c r="ARI1283" s="5"/>
      <c r="ARJ1283" s="5"/>
      <c r="ARK1283" s="5"/>
      <c r="ARL1283" s="5"/>
      <c r="ARM1283" s="5"/>
      <c r="ARN1283" s="5"/>
      <c r="ARO1283" s="5"/>
      <c r="ARP1283" s="5"/>
      <c r="ARQ1283" s="5"/>
      <c r="ARR1283" s="5"/>
      <c r="ARS1283" s="5"/>
      <c r="ART1283" s="5"/>
      <c r="ARU1283" s="5"/>
      <c r="ARV1283" s="5"/>
      <c r="ARW1283" s="5"/>
      <c r="ARX1283" s="5"/>
      <c r="ARY1283" s="5"/>
      <c r="ARZ1283" s="5"/>
      <c r="ASA1283" s="5"/>
      <c r="ASB1283" s="5"/>
      <c r="ASC1283" s="5"/>
      <c r="ASD1283" s="5"/>
      <c r="ASE1283" s="5"/>
      <c r="ASF1283" s="5"/>
      <c r="ASG1283" s="5"/>
      <c r="ASH1283" s="5"/>
      <c r="ASI1283" s="5"/>
      <c r="ASJ1283" s="5"/>
      <c r="ASK1283" s="5"/>
      <c r="ASL1283" s="5"/>
      <c r="ASM1283" s="5"/>
      <c r="ASN1283" s="5"/>
      <c r="ASO1283" s="5"/>
      <c r="ASP1283" s="5"/>
      <c r="ASQ1283" s="5"/>
      <c r="ASR1283" s="5"/>
      <c r="ASS1283" s="5"/>
      <c r="AST1283" s="5"/>
      <c r="ASU1283" s="5"/>
      <c r="ASV1283" s="5"/>
      <c r="ASW1283" s="5"/>
      <c r="ASX1283" s="5"/>
      <c r="ASY1283" s="5"/>
      <c r="ASZ1283" s="5"/>
      <c r="ATA1283" s="5"/>
      <c r="ATB1283" s="5"/>
      <c r="ATC1283" s="5"/>
      <c r="ATD1283" s="5"/>
      <c r="ATE1283" s="5"/>
      <c r="ATF1283" s="5"/>
      <c r="ATG1283" s="5"/>
      <c r="ATH1283" s="5"/>
      <c r="ATI1283" s="5"/>
      <c r="ATJ1283" s="5"/>
      <c r="ATK1283" s="5"/>
      <c r="ATL1283" s="5"/>
      <c r="ATM1283" s="5"/>
      <c r="ATN1283" s="5"/>
      <c r="ATO1283" s="5"/>
      <c r="ATP1283" s="5"/>
      <c r="ATQ1283" s="5"/>
      <c r="ATR1283" s="5"/>
      <c r="ATS1283" s="5"/>
      <c r="ATT1283" s="5"/>
      <c r="ATU1283" s="5"/>
      <c r="ATV1283" s="5"/>
      <c r="ATW1283" s="5"/>
      <c r="ATX1283" s="5"/>
    </row>
    <row r="1284" spans="1:1220" s="197" customFormat="1" ht="12.75" customHeight="1" x14ac:dyDescent="0.35">
      <c r="A1284" s="76" t="s">
        <v>242</v>
      </c>
      <c r="B1284" s="99" t="s">
        <v>3686</v>
      </c>
      <c r="C1284" s="76" t="s">
        <v>3689</v>
      </c>
      <c r="D1284" s="142"/>
      <c r="E1284" s="76"/>
      <c r="F1284" s="5"/>
      <c r="G1284" s="5"/>
      <c r="H1284" s="5"/>
      <c r="I1284" s="5"/>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c r="DE1284" s="5"/>
      <c r="DF1284" s="5"/>
      <c r="DG1284" s="5"/>
      <c r="DH1284" s="5"/>
      <c r="DI1284" s="5"/>
      <c r="DJ1284" s="5"/>
      <c r="DK1284" s="5"/>
      <c r="DL1284" s="5"/>
      <c r="DM1284" s="5"/>
      <c r="DN1284" s="5"/>
      <c r="DO1284" s="5"/>
      <c r="DP1284" s="5"/>
      <c r="DQ1284" s="5"/>
      <c r="DR1284" s="5"/>
      <c r="DS1284" s="5"/>
      <c r="DT1284" s="5"/>
      <c r="DU1284" s="5"/>
      <c r="DV1284" s="5"/>
      <c r="DW1284" s="5"/>
      <c r="DX1284" s="5"/>
      <c r="DY1284" s="5"/>
      <c r="DZ1284" s="5"/>
      <c r="EA1284" s="5"/>
      <c r="EB1284" s="5"/>
      <c r="EC1284" s="5"/>
      <c r="ED1284" s="5"/>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s="5"/>
      <c r="FG1284" s="5"/>
      <c r="FH1284" s="5"/>
      <c r="FI1284" s="5"/>
      <c r="FJ1284" s="5"/>
      <c r="FK1284" s="5"/>
      <c r="FL1284" s="5"/>
      <c r="FM1284" s="5"/>
      <c r="FN1284" s="5"/>
      <c r="FO1284" s="5"/>
      <c r="FP1284" s="5"/>
      <c r="FQ1284" s="5"/>
      <c r="FR1284" s="5"/>
      <c r="FS1284" s="5"/>
      <c r="FT1284" s="5"/>
      <c r="FU1284" s="5"/>
      <c r="FV1284" s="5"/>
      <c r="FW1284" s="5"/>
      <c r="FX1284" s="5"/>
      <c r="FY1284" s="5"/>
      <c r="FZ1284" s="5"/>
      <c r="GA1284" s="5"/>
      <c r="GB1284" s="5"/>
      <c r="GC1284" s="5"/>
      <c r="GD1284" s="5"/>
      <c r="GE1284" s="5"/>
      <c r="GF1284" s="5"/>
      <c r="GG1284" s="5"/>
      <c r="GH1284" s="5"/>
      <c r="GI1284" s="5"/>
      <c r="GJ1284" s="5"/>
      <c r="GK1284" s="5"/>
      <c r="GL1284" s="5"/>
      <c r="GM1284" s="5"/>
      <c r="GN1284" s="5"/>
      <c r="GO1284" s="5"/>
      <c r="GP1284" s="5"/>
      <c r="GQ1284" s="5"/>
      <c r="GR1284" s="5"/>
      <c r="GS1284" s="5"/>
      <c r="GT1284" s="5"/>
      <c r="GU1284" s="5"/>
      <c r="GV1284" s="5"/>
      <c r="GW1284" s="5"/>
      <c r="GX1284" s="5"/>
      <c r="GY1284" s="5"/>
      <c r="GZ1284" s="5"/>
      <c r="HA1284" s="5"/>
      <c r="HB1284" s="5"/>
      <c r="HC1284" s="5"/>
      <c r="HD1284" s="5"/>
      <c r="HE1284" s="5"/>
      <c r="HF1284" s="5"/>
      <c r="HG1284" s="5"/>
      <c r="HH1284" s="5"/>
      <c r="HI1284" s="5"/>
      <c r="HJ1284" s="5"/>
      <c r="HK1284" s="5"/>
      <c r="HL1284" s="5"/>
      <c r="HM1284" s="5"/>
      <c r="HN1284" s="5"/>
      <c r="HO1284" s="5"/>
      <c r="HP1284" s="5"/>
      <c r="HQ1284" s="5"/>
      <c r="HR1284" s="5"/>
      <c r="HS1284" s="5"/>
      <c r="HT1284" s="5"/>
      <c r="HU1284" s="5"/>
      <c r="HV1284" s="5"/>
      <c r="HW1284" s="5"/>
      <c r="HX1284" s="5"/>
      <c r="HY1284" s="5"/>
      <c r="HZ1284" s="5"/>
      <c r="IA1284" s="5"/>
      <c r="IB1284" s="5"/>
      <c r="IC1284" s="5"/>
      <c r="ID1284" s="5"/>
      <c r="IE1284" s="5"/>
      <c r="IF1284" s="5"/>
      <c r="IG1284" s="5"/>
      <c r="IH1284" s="5"/>
      <c r="II1284" s="5"/>
      <c r="IJ1284" s="5"/>
      <c r="IK1284" s="5"/>
      <c r="IL1284" s="5"/>
      <c r="IM1284" s="5"/>
      <c r="IN1284" s="5"/>
      <c r="IO1284" s="5"/>
      <c r="IP1284" s="5"/>
      <c r="IQ1284" s="5"/>
      <c r="IR1284" s="5"/>
      <c r="IS1284" s="5"/>
      <c r="IT1284" s="5"/>
      <c r="IU1284" s="5"/>
      <c r="IV1284" s="5"/>
      <c r="IW1284" s="5"/>
      <c r="IX1284" s="5"/>
      <c r="IY1284" s="5"/>
      <c r="IZ1284" s="5"/>
      <c r="JA1284" s="5"/>
      <c r="JB1284" s="5"/>
      <c r="JC1284" s="5"/>
      <c r="JD1284" s="5"/>
      <c r="JE1284" s="5"/>
      <c r="JF1284" s="5"/>
      <c r="JG1284" s="5"/>
      <c r="JH1284" s="5"/>
      <c r="JI1284" s="5"/>
      <c r="JJ1284" s="5"/>
      <c r="JK1284" s="5"/>
      <c r="JL1284" s="5"/>
      <c r="JM1284" s="5"/>
      <c r="JN1284" s="5"/>
      <c r="JO1284" s="5"/>
      <c r="JP1284" s="5"/>
      <c r="JQ1284" s="5"/>
      <c r="JR1284" s="5"/>
      <c r="JS1284" s="5"/>
      <c r="JT1284" s="5"/>
      <c r="JU1284" s="5"/>
      <c r="JV1284" s="5"/>
      <c r="JW1284" s="5"/>
      <c r="JX1284" s="5"/>
      <c r="JY1284" s="5"/>
      <c r="JZ1284" s="5"/>
      <c r="KA1284" s="5"/>
      <c r="KB1284" s="5"/>
      <c r="KC1284" s="5"/>
      <c r="KD1284" s="5"/>
      <c r="KE1284" s="5"/>
      <c r="KF1284" s="5"/>
      <c r="KG1284" s="5"/>
      <c r="KH1284" s="5"/>
      <c r="KI1284" s="5"/>
      <c r="KJ1284" s="5"/>
      <c r="KK1284" s="5"/>
      <c r="KL1284" s="5"/>
      <c r="KM1284" s="5"/>
      <c r="KN1284" s="5"/>
      <c r="KO1284" s="5"/>
      <c r="KP1284" s="5"/>
      <c r="KQ1284" s="5"/>
      <c r="KR1284" s="5"/>
      <c r="KS1284" s="5"/>
      <c r="KT1284" s="5"/>
      <c r="KU1284" s="5"/>
      <c r="KV1284" s="5"/>
      <c r="KW1284" s="5"/>
      <c r="KX1284" s="5"/>
      <c r="KY1284" s="5"/>
      <c r="KZ1284" s="5"/>
      <c r="LA1284" s="5"/>
      <c r="LB1284" s="5"/>
      <c r="LC1284" s="5"/>
      <c r="LD1284" s="5"/>
      <c r="LE1284" s="5"/>
      <c r="LF1284" s="5"/>
      <c r="LG1284" s="5"/>
      <c r="LH1284" s="5"/>
      <c r="LI1284" s="5"/>
      <c r="LJ1284" s="5"/>
      <c r="LK1284" s="5"/>
      <c r="LL1284" s="5"/>
      <c r="LM1284" s="5"/>
      <c r="LN1284" s="5"/>
      <c r="LO1284" s="5"/>
      <c r="LP1284" s="5"/>
      <c r="LQ1284" s="5"/>
      <c r="LR1284" s="5"/>
      <c r="LS1284" s="5"/>
      <c r="LT1284" s="5"/>
      <c r="LU1284" s="5"/>
      <c r="LV1284" s="5"/>
      <c r="LW1284" s="5"/>
      <c r="LX1284" s="5"/>
      <c r="LY1284" s="5"/>
      <c r="LZ1284" s="5"/>
      <c r="MA1284" s="5"/>
      <c r="MB1284" s="5"/>
      <c r="MC1284" s="5"/>
      <c r="MD1284" s="5"/>
      <c r="ME1284" s="5"/>
      <c r="MF1284" s="5"/>
      <c r="MG1284" s="5"/>
      <c r="MH1284" s="5"/>
      <c r="MI1284" s="5"/>
      <c r="MJ1284" s="5"/>
      <c r="MK1284" s="5"/>
      <c r="ML1284" s="5"/>
      <c r="MM1284" s="5"/>
      <c r="MN1284" s="5"/>
      <c r="MO1284" s="5"/>
      <c r="MP1284" s="5"/>
      <c r="MQ1284" s="5"/>
      <c r="MR1284" s="5"/>
      <c r="MS1284" s="5"/>
      <c r="MT1284" s="5"/>
      <c r="MU1284" s="5"/>
      <c r="MV1284" s="5"/>
      <c r="MW1284" s="5"/>
      <c r="MX1284" s="5"/>
      <c r="MY1284" s="5"/>
      <c r="MZ1284" s="5"/>
      <c r="NA1284" s="5"/>
      <c r="NB1284" s="5"/>
      <c r="NC1284" s="5"/>
      <c r="ND1284" s="5"/>
      <c r="NE1284" s="5"/>
      <c r="NF1284" s="5"/>
      <c r="NG1284" s="5"/>
      <c r="NH1284" s="5"/>
      <c r="NI1284" s="5"/>
      <c r="NJ1284" s="5"/>
      <c r="NK1284" s="5"/>
      <c r="NL1284" s="5"/>
      <c r="NM1284" s="5"/>
      <c r="NN1284" s="5"/>
      <c r="NO1284" s="5"/>
      <c r="NP1284" s="5"/>
      <c r="NQ1284" s="5"/>
      <c r="NR1284" s="5"/>
      <c r="NS1284" s="5"/>
      <c r="NT1284" s="5"/>
      <c r="NU1284" s="5"/>
      <c r="NV1284" s="5"/>
      <c r="NW1284" s="5"/>
      <c r="NX1284" s="5"/>
      <c r="NY1284" s="5"/>
      <c r="NZ1284" s="5"/>
      <c r="OA1284" s="5"/>
      <c r="OB1284" s="5"/>
      <c r="OC1284" s="5"/>
      <c r="OD1284" s="5"/>
      <c r="OE1284" s="5"/>
      <c r="OF1284" s="5"/>
      <c r="OG1284" s="5"/>
      <c r="OH1284" s="5"/>
      <c r="OI1284" s="5"/>
      <c r="OJ1284" s="5"/>
      <c r="OK1284" s="5"/>
      <c r="OL1284" s="5"/>
      <c r="OM1284" s="5"/>
      <c r="ON1284" s="5"/>
      <c r="OO1284" s="5"/>
      <c r="OP1284" s="5"/>
      <c r="OQ1284" s="5"/>
      <c r="OR1284" s="5"/>
      <c r="OS1284" s="5"/>
      <c r="OT1284" s="5"/>
      <c r="OU1284" s="5"/>
      <c r="OV1284" s="5"/>
      <c r="OW1284" s="5"/>
      <c r="OX1284" s="5"/>
      <c r="OY1284" s="5"/>
      <c r="OZ1284" s="5"/>
      <c r="PA1284" s="5"/>
      <c r="PB1284" s="5"/>
      <c r="PC1284" s="5"/>
      <c r="PD1284" s="5"/>
      <c r="PE1284" s="5"/>
      <c r="PF1284" s="5"/>
      <c r="PG1284" s="5"/>
      <c r="PH1284" s="5"/>
      <c r="PI1284" s="5"/>
      <c r="PJ1284" s="5"/>
      <c r="PK1284" s="5"/>
      <c r="PL1284" s="5"/>
      <c r="PM1284" s="5"/>
      <c r="PN1284" s="5"/>
      <c r="PO1284" s="5"/>
      <c r="PP1284" s="5"/>
      <c r="PQ1284" s="5"/>
      <c r="PR1284" s="5"/>
      <c r="PS1284" s="5"/>
      <c r="PT1284" s="5"/>
      <c r="PU1284" s="5"/>
      <c r="PV1284" s="5"/>
      <c r="PW1284" s="5"/>
      <c r="PX1284" s="5"/>
      <c r="PY1284" s="5"/>
      <c r="PZ1284" s="5"/>
      <c r="QA1284" s="5"/>
      <c r="QB1284" s="5"/>
      <c r="QC1284" s="5"/>
      <c r="QD1284" s="5"/>
      <c r="QE1284" s="5"/>
      <c r="QF1284" s="5"/>
      <c r="QG1284" s="5"/>
      <c r="QH1284" s="5"/>
      <c r="QI1284" s="5"/>
      <c r="QJ1284" s="5"/>
      <c r="QK1284" s="5"/>
      <c r="QL1284" s="5"/>
      <c r="QM1284" s="5"/>
      <c r="QN1284" s="5"/>
      <c r="QO1284" s="5"/>
      <c r="QP1284" s="5"/>
      <c r="QQ1284" s="5"/>
      <c r="QR1284" s="5"/>
      <c r="QS1284" s="5"/>
      <c r="QT1284" s="5"/>
      <c r="QU1284" s="5"/>
      <c r="QV1284" s="5"/>
      <c r="QW1284" s="5"/>
      <c r="QX1284" s="5"/>
      <c r="QY1284" s="5"/>
      <c r="QZ1284" s="5"/>
      <c r="RA1284" s="5"/>
      <c r="RB1284" s="5"/>
      <c r="RC1284" s="5"/>
      <c r="RD1284" s="5"/>
      <c r="RE1284" s="5"/>
      <c r="RF1284" s="5"/>
      <c r="RG1284" s="5"/>
      <c r="RH1284" s="5"/>
      <c r="RI1284" s="5"/>
      <c r="RJ1284" s="5"/>
      <c r="RK1284" s="5"/>
      <c r="RL1284" s="5"/>
      <c r="RM1284" s="5"/>
      <c r="RN1284" s="5"/>
      <c r="RO1284" s="5"/>
      <c r="RP1284" s="5"/>
      <c r="RQ1284" s="5"/>
      <c r="RR1284" s="5"/>
      <c r="RS1284" s="5"/>
      <c r="RT1284" s="5"/>
      <c r="RU1284" s="5"/>
      <c r="RV1284" s="5"/>
      <c r="RW1284" s="5"/>
      <c r="RX1284" s="5"/>
      <c r="RY1284" s="5"/>
      <c r="RZ1284" s="5"/>
      <c r="SA1284" s="5"/>
      <c r="SB1284" s="5"/>
      <c r="SC1284" s="5"/>
      <c r="SD1284" s="5"/>
      <c r="SE1284" s="5"/>
      <c r="SF1284" s="5"/>
      <c r="SG1284" s="5"/>
      <c r="SH1284" s="5"/>
      <c r="SI1284" s="5"/>
      <c r="SJ1284" s="5"/>
      <c r="SK1284" s="5"/>
      <c r="SL1284" s="5"/>
      <c r="SM1284" s="5"/>
      <c r="SN1284" s="5"/>
      <c r="SO1284" s="5"/>
      <c r="SP1284" s="5"/>
      <c r="SQ1284" s="5"/>
      <c r="SR1284" s="5"/>
      <c r="SS1284" s="5"/>
      <c r="ST1284" s="5"/>
      <c r="SU1284" s="5"/>
      <c r="SV1284" s="5"/>
      <c r="SW1284" s="5"/>
      <c r="SX1284" s="5"/>
      <c r="SY1284" s="5"/>
      <c r="SZ1284" s="5"/>
      <c r="TA1284" s="5"/>
      <c r="TB1284" s="5"/>
      <c r="TC1284" s="5"/>
      <c r="TD1284" s="5"/>
      <c r="TE1284" s="5"/>
      <c r="TF1284" s="5"/>
      <c r="TG1284" s="5"/>
      <c r="TH1284" s="5"/>
      <c r="TI1284" s="5"/>
      <c r="TJ1284" s="5"/>
      <c r="TK1284" s="5"/>
      <c r="TL1284" s="5"/>
      <c r="TM1284" s="5"/>
      <c r="TN1284" s="5"/>
      <c r="TO1284" s="5"/>
      <c r="TP1284" s="5"/>
      <c r="TQ1284" s="5"/>
      <c r="TR1284" s="5"/>
      <c r="TS1284" s="5"/>
      <c r="TT1284" s="5"/>
      <c r="TU1284" s="5"/>
      <c r="TV1284" s="5"/>
      <c r="TW1284" s="5"/>
      <c r="TX1284" s="5"/>
      <c r="TY1284" s="5"/>
      <c r="TZ1284" s="5"/>
      <c r="UA1284" s="5"/>
      <c r="UB1284" s="5"/>
      <c r="UC1284" s="5"/>
      <c r="UD1284" s="5"/>
      <c r="UE1284" s="5"/>
      <c r="UF1284" s="5"/>
      <c r="UG1284" s="5"/>
      <c r="UH1284" s="5"/>
      <c r="UI1284" s="5"/>
      <c r="UJ1284" s="5"/>
      <c r="UK1284" s="5"/>
      <c r="UL1284" s="5"/>
      <c r="UM1284" s="5"/>
      <c r="UN1284" s="5"/>
      <c r="UO1284" s="5"/>
      <c r="UP1284" s="5"/>
      <c r="UQ1284" s="5"/>
      <c r="UR1284" s="5"/>
      <c r="US1284" s="5"/>
      <c r="UT1284" s="5"/>
      <c r="UU1284" s="5"/>
      <c r="UV1284" s="5"/>
      <c r="UW1284" s="5"/>
      <c r="UX1284" s="5"/>
      <c r="UY1284" s="5"/>
      <c r="UZ1284" s="5"/>
      <c r="VA1284" s="5"/>
      <c r="VB1284" s="5"/>
      <c r="VC1284" s="5"/>
      <c r="VD1284" s="5"/>
      <c r="VE1284" s="5"/>
      <c r="VF1284" s="5"/>
      <c r="VG1284" s="5"/>
      <c r="VH1284" s="5"/>
      <c r="VI1284" s="5"/>
      <c r="VJ1284" s="5"/>
      <c r="VK1284" s="5"/>
      <c r="VL1284" s="5"/>
      <c r="VM1284" s="5"/>
      <c r="VN1284" s="5"/>
      <c r="VO1284" s="5"/>
      <c r="VP1284" s="5"/>
      <c r="VQ1284" s="5"/>
      <c r="VR1284" s="5"/>
      <c r="VS1284" s="5"/>
      <c r="VT1284" s="5"/>
      <c r="VU1284" s="5"/>
      <c r="VV1284" s="5"/>
      <c r="VW1284" s="5"/>
      <c r="VX1284" s="5"/>
      <c r="VY1284" s="5"/>
      <c r="VZ1284" s="5"/>
      <c r="WA1284" s="5"/>
      <c r="WB1284" s="5"/>
      <c r="WC1284" s="5"/>
      <c r="WD1284" s="5"/>
      <c r="WE1284" s="5"/>
      <c r="WF1284" s="5"/>
      <c r="WG1284" s="5"/>
      <c r="WH1284" s="5"/>
      <c r="WI1284" s="5"/>
      <c r="WJ1284" s="5"/>
      <c r="WK1284" s="5"/>
      <c r="WL1284" s="5"/>
      <c r="WM1284" s="5"/>
      <c r="WN1284" s="5"/>
      <c r="WO1284" s="5"/>
      <c r="WP1284" s="5"/>
      <c r="WQ1284" s="5"/>
      <c r="WR1284" s="5"/>
      <c r="WS1284" s="5"/>
      <c r="WT1284" s="5"/>
      <c r="WU1284" s="5"/>
      <c r="WV1284" s="5"/>
      <c r="WW1284" s="5"/>
      <c r="WX1284" s="5"/>
      <c r="WY1284" s="5"/>
      <c r="WZ1284" s="5"/>
      <c r="XA1284" s="5"/>
      <c r="XB1284" s="5"/>
      <c r="XC1284" s="5"/>
      <c r="XD1284" s="5"/>
      <c r="XE1284" s="5"/>
      <c r="XF1284" s="5"/>
      <c r="XG1284" s="5"/>
      <c r="XH1284" s="5"/>
      <c r="XI1284" s="5"/>
      <c r="XJ1284" s="5"/>
      <c r="XK1284" s="5"/>
      <c r="XL1284" s="5"/>
      <c r="XM1284" s="5"/>
      <c r="XN1284" s="5"/>
      <c r="XO1284" s="5"/>
      <c r="XP1284" s="5"/>
      <c r="XQ1284" s="5"/>
      <c r="XR1284" s="5"/>
      <c r="XS1284" s="5"/>
      <c r="XT1284" s="5"/>
      <c r="XU1284" s="5"/>
      <c r="XV1284" s="5"/>
      <c r="XW1284" s="5"/>
      <c r="XX1284" s="5"/>
      <c r="XY1284" s="5"/>
      <c r="XZ1284" s="5"/>
      <c r="YA1284" s="5"/>
      <c r="YB1284" s="5"/>
      <c r="YC1284" s="5"/>
      <c r="YD1284" s="5"/>
      <c r="YE1284" s="5"/>
      <c r="YF1284" s="5"/>
      <c r="YG1284" s="5"/>
      <c r="YH1284" s="5"/>
      <c r="YI1284" s="5"/>
      <c r="YJ1284" s="5"/>
      <c r="YK1284" s="5"/>
      <c r="YL1284" s="5"/>
      <c r="YM1284" s="5"/>
      <c r="YN1284" s="5"/>
      <c r="YO1284" s="5"/>
      <c r="YP1284" s="5"/>
      <c r="YQ1284" s="5"/>
      <c r="YR1284" s="5"/>
      <c r="YS1284" s="5"/>
      <c r="YT1284" s="5"/>
      <c r="YU1284" s="5"/>
      <c r="YV1284" s="5"/>
      <c r="YW1284" s="5"/>
      <c r="YX1284" s="5"/>
      <c r="YY1284" s="5"/>
      <c r="YZ1284" s="5"/>
      <c r="ZA1284" s="5"/>
      <c r="ZB1284" s="5"/>
      <c r="ZC1284" s="5"/>
      <c r="ZD1284" s="5"/>
      <c r="ZE1284" s="5"/>
      <c r="ZF1284" s="5"/>
      <c r="ZG1284" s="5"/>
      <c r="ZH1284" s="5"/>
      <c r="ZI1284" s="5"/>
      <c r="ZJ1284" s="5"/>
      <c r="ZK1284" s="5"/>
      <c r="ZL1284" s="5"/>
      <c r="ZM1284" s="5"/>
      <c r="ZN1284" s="5"/>
      <c r="ZO1284" s="5"/>
      <c r="ZP1284" s="5"/>
      <c r="ZQ1284" s="5"/>
      <c r="ZR1284" s="5"/>
      <c r="ZS1284" s="5"/>
      <c r="ZT1284" s="5"/>
      <c r="ZU1284" s="5"/>
      <c r="ZV1284" s="5"/>
      <c r="ZW1284" s="5"/>
      <c r="ZX1284" s="5"/>
      <c r="ZY1284" s="5"/>
      <c r="ZZ1284" s="5"/>
      <c r="AAA1284" s="5"/>
      <c r="AAB1284" s="5"/>
      <c r="AAC1284" s="5"/>
      <c r="AAD1284" s="5"/>
      <c r="AAE1284" s="5"/>
      <c r="AAF1284" s="5"/>
      <c r="AAG1284" s="5"/>
      <c r="AAH1284" s="5"/>
      <c r="AAI1284" s="5"/>
      <c r="AAJ1284" s="5"/>
      <c r="AAK1284" s="5"/>
      <c r="AAL1284" s="5"/>
      <c r="AAM1284" s="5"/>
      <c r="AAN1284" s="5"/>
      <c r="AAO1284" s="5"/>
      <c r="AAP1284" s="5"/>
      <c r="AAQ1284" s="5"/>
      <c r="AAR1284" s="5"/>
      <c r="AAS1284" s="5"/>
      <c r="AAT1284" s="5"/>
      <c r="AAU1284" s="5"/>
      <c r="AAV1284" s="5"/>
      <c r="AAW1284" s="5"/>
      <c r="AAX1284" s="5"/>
      <c r="AAY1284" s="5"/>
      <c r="AAZ1284" s="5"/>
      <c r="ABA1284" s="5"/>
      <c r="ABB1284" s="5"/>
      <c r="ABC1284" s="5"/>
      <c r="ABD1284" s="5"/>
      <c r="ABE1284" s="5"/>
      <c r="ABF1284" s="5"/>
      <c r="ABG1284" s="5"/>
      <c r="ABH1284" s="5"/>
      <c r="ABI1284" s="5"/>
      <c r="ABJ1284" s="5"/>
      <c r="ABK1284" s="5"/>
      <c r="ABL1284" s="5"/>
      <c r="ABM1284" s="5"/>
      <c r="ABN1284" s="5"/>
      <c r="ABO1284" s="5"/>
      <c r="ABP1284" s="5"/>
      <c r="ABQ1284" s="5"/>
      <c r="ABR1284" s="5"/>
      <c r="ABS1284" s="5"/>
      <c r="ABT1284" s="5"/>
      <c r="ABU1284" s="5"/>
      <c r="ABV1284" s="5"/>
      <c r="ABW1284" s="5"/>
      <c r="ABX1284" s="5"/>
      <c r="ABY1284" s="5"/>
      <c r="ABZ1284" s="5"/>
      <c r="ACA1284" s="5"/>
      <c r="ACB1284" s="5"/>
      <c r="ACC1284" s="5"/>
      <c r="ACD1284" s="5"/>
      <c r="ACE1284" s="5"/>
      <c r="ACF1284" s="5"/>
      <c r="ACG1284" s="5"/>
      <c r="ACH1284" s="5"/>
      <c r="ACI1284" s="5"/>
      <c r="ACJ1284" s="5"/>
      <c r="ACK1284" s="5"/>
      <c r="ACL1284" s="5"/>
      <c r="ACM1284" s="5"/>
      <c r="ACN1284" s="5"/>
      <c r="ACO1284" s="5"/>
      <c r="ACP1284" s="5"/>
      <c r="ACQ1284" s="5"/>
      <c r="ACR1284" s="5"/>
      <c r="ACS1284" s="5"/>
      <c r="ACT1284" s="5"/>
      <c r="ACU1284" s="5"/>
      <c r="ACV1284" s="5"/>
      <c r="ACW1284" s="5"/>
      <c r="ACX1284" s="5"/>
      <c r="ACY1284" s="5"/>
      <c r="ACZ1284" s="5"/>
      <c r="ADA1284" s="5"/>
      <c r="ADB1284" s="5"/>
      <c r="ADC1284" s="5"/>
      <c r="ADD1284" s="5"/>
      <c r="ADE1284" s="5"/>
      <c r="ADF1284" s="5"/>
      <c r="ADG1284" s="5"/>
      <c r="ADH1284" s="5"/>
      <c r="ADI1284" s="5"/>
      <c r="ADJ1284" s="5"/>
      <c r="ADK1284" s="5"/>
      <c r="ADL1284" s="5"/>
      <c r="ADM1284" s="5"/>
      <c r="ADN1284" s="5"/>
      <c r="ADO1284" s="5"/>
      <c r="ADP1284" s="5"/>
      <c r="ADQ1284" s="5"/>
      <c r="ADR1284" s="5"/>
      <c r="ADS1284" s="5"/>
      <c r="ADT1284" s="5"/>
      <c r="ADU1284" s="5"/>
      <c r="ADV1284" s="5"/>
      <c r="ADW1284" s="5"/>
      <c r="ADX1284" s="5"/>
      <c r="ADY1284" s="5"/>
      <c r="ADZ1284" s="5"/>
      <c r="AEA1284" s="5"/>
      <c r="AEB1284" s="5"/>
      <c r="AEC1284" s="5"/>
      <c r="AED1284" s="5"/>
      <c r="AEE1284" s="5"/>
      <c r="AEF1284" s="5"/>
      <c r="AEG1284" s="5"/>
      <c r="AEH1284" s="5"/>
      <c r="AEI1284" s="5"/>
      <c r="AEJ1284" s="5"/>
      <c r="AEK1284" s="5"/>
      <c r="AEL1284" s="5"/>
      <c r="AEM1284" s="5"/>
      <c r="AEN1284" s="5"/>
      <c r="AEO1284" s="5"/>
      <c r="AEP1284" s="5"/>
      <c r="AEQ1284" s="5"/>
      <c r="AER1284" s="5"/>
      <c r="AES1284" s="5"/>
      <c r="AET1284" s="5"/>
      <c r="AEU1284" s="5"/>
      <c r="AEV1284" s="5"/>
      <c r="AEW1284" s="5"/>
      <c r="AEX1284" s="5"/>
      <c r="AEY1284" s="5"/>
      <c r="AEZ1284" s="5"/>
      <c r="AFA1284" s="5"/>
      <c r="AFB1284" s="5"/>
      <c r="AFC1284" s="5"/>
      <c r="AFD1284" s="5"/>
      <c r="AFE1284" s="5"/>
      <c r="AFF1284" s="5"/>
      <c r="AFG1284" s="5"/>
      <c r="AFH1284" s="5"/>
      <c r="AFI1284" s="5"/>
      <c r="AFJ1284" s="5"/>
      <c r="AFK1284" s="5"/>
      <c r="AFL1284" s="5"/>
      <c r="AFM1284" s="5"/>
      <c r="AFN1284" s="5"/>
      <c r="AFO1284" s="5"/>
      <c r="AFP1284" s="5"/>
      <c r="AFQ1284" s="5"/>
      <c r="AFR1284" s="5"/>
      <c r="AFS1284" s="5"/>
      <c r="AFT1284" s="5"/>
      <c r="AFU1284" s="5"/>
      <c r="AFV1284" s="5"/>
      <c r="AFW1284" s="5"/>
      <c r="AFX1284" s="5"/>
      <c r="AFY1284" s="5"/>
      <c r="AFZ1284" s="5"/>
      <c r="AGA1284" s="5"/>
      <c r="AGB1284" s="5"/>
      <c r="AGC1284" s="5"/>
      <c r="AGD1284" s="5"/>
      <c r="AGE1284" s="5"/>
      <c r="AGF1284" s="5"/>
      <c r="AGG1284" s="5"/>
      <c r="AGH1284" s="5"/>
      <c r="AGI1284" s="5"/>
      <c r="AGJ1284" s="5"/>
      <c r="AGK1284" s="5"/>
      <c r="AGL1284" s="5"/>
      <c r="AGM1284" s="5"/>
      <c r="AGN1284" s="5"/>
      <c r="AGO1284" s="5"/>
      <c r="AGP1284" s="5"/>
      <c r="AGQ1284" s="5"/>
      <c r="AGR1284" s="5"/>
      <c r="AGS1284" s="5"/>
      <c r="AGT1284" s="5"/>
      <c r="AGU1284" s="5"/>
      <c r="AGV1284" s="5"/>
      <c r="AGW1284" s="5"/>
      <c r="AGX1284" s="5"/>
      <c r="AGY1284" s="5"/>
      <c r="AGZ1284" s="5"/>
      <c r="AHA1284" s="5"/>
      <c r="AHB1284" s="5"/>
      <c r="AHC1284" s="5"/>
      <c r="AHD1284" s="5"/>
      <c r="AHE1284" s="5"/>
      <c r="AHF1284" s="5"/>
      <c r="AHG1284" s="5"/>
      <c r="AHH1284" s="5"/>
      <c r="AHI1284" s="5"/>
      <c r="AHJ1284" s="5"/>
      <c r="AHK1284" s="5"/>
      <c r="AHL1284" s="5"/>
      <c r="AHM1284" s="5"/>
      <c r="AHN1284" s="5"/>
      <c r="AHO1284" s="5"/>
      <c r="AHP1284" s="5"/>
      <c r="AHQ1284" s="5"/>
      <c r="AHR1284" s="5"/>
      <c r="AHS1284" s="5"/>
      <c r="AHT1284" s="5"/>
      <c r="AHU1284" s="5"/>
      <c r="AHV1284" s="5"/>
      <c r="AHW1284" s="5"/>
      <c r="AHX1284" s="5"/>
      <c r="AHY1284" s="5"/>
      <c r="AHZ1284" s="5"/>
      <c r="AIA1284" s="5"/>
      <c r="AIB1284" s="5"/>
      <c r="AIC1284" s="5"/>
      <c r="AID1284" s="5"/>
      <c r="AIE1284" s="5"/>
      <c r="AIF1284" s="5"/>
      <c r="AIG1284" s="5"/>
      <c r="AIH1284" s="5"/>
      <c r="AII1284" s="5"/>
      <c r="AIJ1284" s="5"/>
      <c r="AIK1284" s="5"/>
      <c r="AIL1284" s="5"/>
      <c r="AIM1284" s="5"/>
      <c r="AIN1284" s="5"/>
      <c r="AIO1284" s="5"/>
      <c r="AIP1284" s="5"/>
      <c r="AIQ1284" s="5"/>
      <c r="AIR1284" s="5"/>
      <c r="AIS1284" s="5"/>
      <c r="AIT1284" s="5"/>
      <c r="AIU1284" s="5"/>
      <c r="AIV1284" s="5"/>
      <c r="AIW1284" s="5"/>
      <c r="AIX1284" s="5"/>
      <c r="AIY1284" s="5"/>
      <c r="AIZ1284" s="5"/>
      <c r="AJA1284" s="5"/>
      <c r="AJB1284" s="5"/>
      <c r="AJC1284" s="5"/>
      <c r="AJD1284" s="5"/>
      <c r="AJE1284" s="5"/>
      <c r="AJF1284" s="5"/>
      <c r="AJG1284" s="5"/>
      <c r="AJH1284" s="5"/>
      <c r="AJI1284" s="5"/>
      <c r="AJJ1284" s="5"/>
      <c r="AJK1284" s="5"/>
      <c r="AJL1284" s="5"/>
      <c r="AJM1284" s="5"/>
      <c r="AJN1284" s="5"/>
      <c r="AJO1284" s="5"/>
      <c r="AJP1284" s="5"/>
      <c r="AJQ1284" s="5"/>
      <c r="AJR1284" s="5"/>
      <c r="AJS1284" s="5"/>
      <c r="AJT1284" s="5"/>
      <c r="AJU1284" s="5"/>
      <c r="AJV1284" s="5"/>
      <c r="AJW1284" s="5"/>
      <c r="AJX1284" s="5"/>
      <c r="AJY1284" s="5"/>
      <c r="AJZ1284" s="5"/>
      <c r="AKA1284" s="5"/>
      <c r="AKB1284" s="5"/>
      <c r="AKC1284" s="5"/>
      <c r="AKD1284" s="5"/>
      <c r="AKE1284" s="5"/>
      <c r="AKF1284" s="5"/>
      <c r="AKG1284" s="5"/>
      <c r="AKH1284" s="5"/>
      <c r="AKI1284" s="5"/>
      <c r="AKJ1284" s="5"/>
      <c r="AKK1284" s="5"/>
      <c r="AKL1284" s="5"/>
      <c r="AKM1284" s="5"/>
      <c r="AKN1284" s="5"/>
      <c r="AKO1284" s="5"/>
      <c r="AKP1284" s="5"/>
      <c r="AKQ1284" s="5"/>
      <c r="AKR1284" s="5"/>
      <c r="AKS1284" s="5"/>
      <c r="AKT1284" s="5"/>
      <c r="AKU1284" s="5"/>
      <c r="AKV1284" s="5"/>
      <c r="AKW1284" s="5"/>
      <c r="AKX1284" s="5"/>
      <c r="AKY1284" s="5"/>
      <c r="AKZ1284" s="5"/>
      <c r="ALA1284" s="5"/>
      <c r="ALB1284" s="5"/>
      <c r="ALC1284" s="5"/>
      <c r="ALD1284" s="5"/>
      <c r="ALE1284" s="5"/>
      <c r="ALF1284" s="5"/>
      <c r="ALG1284" s="5"/>
      <c r="ALH1284" s="5"/>
      <c r="ALI1284" s="5"/>
      <c r="ALJ1284" s="5"/>
      <c r="ALK1284" s="5"/>
      <c r="ALL1284" s="5"/>
      <c r="ALM1284" s="5"/>
      <c r="ALN1284" s="5"/>
      <c r="ALO1284" s="5"/>
      <c r="ALP1284" s="5"/>
      <c r="ALQ1284" s="5"/>
      <c r="ALR1284" s="5"/>
      <c r="ALS1284" s="5"/>
      <c r="ALT1284" s="5"/>
      <c r="ALU1284" s="5"/>
      <c r="ALV1284" s="5"/>
      <c r="ALW1284" s="5"/>
      <c r="ALX1284" s="5"/>
      <c r="ALY1284" s="5"/>
      <c r="ALZ1284" s="5"/>
      <c r="AMA1284" s="5"/>
      <c r="AMB1284" s="5"/>
      <c r="AMC1284" s="5"/>
      <c r="AMD1284" s="5"/>
      <c r="AME1284" s="5"/>
      <c r="AMF1284" s="5"/>
      <c r="AMG1284" s="5"/>
      <c r="AMH1284" s="5"/>
      <c r="AMI1284" s="5"/>
      <c r="AMJ1284" s="5"/>
      <c r="AMK1284" s="5"/>
      <c r="AML1284" s="5"/>
      <c r="AMM1284" s="5"/>
      <c r="AMN1284" s="5"/>
      <c r="AMO1284" s="5"/>
      <c r="AMP1284" s="5"/>
      <c r="AMQ1284" s="5"/>
      <c r="AMR1284" s="5"/>
      <c r="AMS1284" s="5"/>
      <c r="AMT1284" s="5"/>
      <c r="AMU1284" s="5"/>
      <c r="AMV1284" s="5"/>
      <c r="AMW1284" s="5"/>
      <c r="AMX1284" s="5"/>
      <c r="AMY1284" s="5"/>
      <c r="AMZ1284" s="5"/>
      <c r="ANA1284" s="5"/>
      <c r="ANB1284" s="5"/>
      <c r="ANC1284" s="5"/>
      <c r="AND1284" s="5"/>
      <c r="ANE1284" s="5"/>
      <c r="ANF1284" s="5"/>
      <c r="ANG1284" s="5"/>
      <c r="ANH1284" s="5"/>
      <c r="ANI1284" s="5"/>
      <c r="ANJ1284" s="5"/>
      <c r="ANK1284" s="5"/>
      <c r="ANL1284" s="5"/>
      <c r="ANM1284" s="5"/>
      <c r="ANN1284" s="5"/>
      <c r="ANO1284" s="5"/>
      <c r="ANP1284" s="5"/>
      <c r="ANQ1284" s="5"/>
      <c r="ANR1284" s="5"/>
      <c r="ANS1284" s="5"/>
      <c r="ANT1284" s="5"/>
      <c r="ANU1284" s="5"/>
      <c r="ANV1284" s="5"/>
      <c r="ANW1284" s="5"/>
      <c r="ANX1284" s="5"/>
      <c r="ANY1284" s="5"/>
      <c r="ANZ1284" s="5"/>
      <c r="AOA1284" s="5"/>
      <c r="AOB1284" s="5"/>
      <c r="AOC1284" s="5"/>
      <c r="AOD1284" s="5"/>
      <c r="AOE1284" s="5"/>
      <c r="AOF1284" s="5"/>
      <c r="AOG1284" s="5"/>
      <c r="AOH1284" s="5"/>
      <c r="AOI1284" s="5"/>
      <c r="AOJ1284" s="5"/>
      <c r="AOK1284" s="5"/>
      <c r="AOL1284" s="5"/>
      <c r="AOM1284" s="5"/>
      <c r="AON1284" s="5"/>
      <c r="AOO1284" s="5"/>
      <c r="AOP1284" s="5"/>
      <c r="AOQ1284" s="5"/>
      <c r="AOR1284" s="5"/>
      <c r="AOS1284" s="5"/>
      <c r="AOT1284" s="5"/>
      <c r="AOU1284" s="5"/>
      <c r="AOV1284" s="5"/>
      <c r="AOW1284" s="5"/>
      <c r="AOX1284" s="5"/>
      <c r="AOY1284" s="5"/>
      <c r="AOZ1284" s="5"/>
      <c r="APA1284" s="5"/>
      <c r="APB1284" s="5"/>
      <c r="APC1284" s="5"/>
      <c r="APD1284" s="5"/>
      <c r="APE1284" s="5"/>
      <c r="APF1284" s="5"/>
      <c r="APG1284" s="5"/>
      <c r="APH1284" s="5"/>
      <c r="API1284" s="5"/>
      <c r="APJ1284" s="5"/>
      <c r="APK1284" s="5"/>
      <c r="APL1284" s="5"/>
      <c r="APM1284" s="5"/>
      <c r="APN1284" s="5"/>
      <c r="APO1284" s="5"/>
      <c r="APP1284" s="5"/>
      <c r="APQ1284" s="5"/>
      <c r="APR1284" s="5"/>
      <c r="APS1284" s="5"/>
      <c r="APT1284" s="5"/>
      <c r="APU1284" s="5"/>
      <c r="APV1284" s="5"/>
      <c r="APW1284" s="5"/>
      <c r="APX1284" s="5"/>
      <c r="APY1284" s="5"/>
      <c r="APZ1284" s="5"/>
      <c r="AQA1284" s="5"/>
      <c r="AQB1284" s="5"/>
      <c r="AQC1284" s="5"/>
      <c r="AQD1284" s="5"/>
      <c r="AQE1284" s="5"/>
      <c r="AQF1284" s="5"/>
      <c r="AQG1284" s="5"/>
      <c r="AQH1284" s="5"/>
      <c r="AQI1284" s="5"/>
      <c r="AQJ1284" s="5"/>
      <c r="AQK1284" s="5"/>
      <c r="AQL1284" s="5"/>
      <c r="AQM1284" s="5"/>
      <c r="AQN1284" s="5"/>
      <c r="AQO1284" s="5"/>
      <c r="AQP1284" s="5"/>
      <c r="AQQ1284" s="5"/>
      <c r="AQR1284" s="5"/>
      <c r="AQS1284" s="5"/>
      <c r="AQT1284" s="5"/>
      <c r="AQU1284" s="5"/>
      <c r="AQV1284" s="5"/>
      <c r="AQW1284" s="5"/>
      <c r="AQX1284" s="5"/>
      <c r="AQY1284" s="5"/>
      <c r="AQZ1284" s="5"/>
      <c r="ARA1284" s="5"/>
      <c r="ARB1284" s="5"/>
      <c r="ARC1284" s="5"/>
      <c r="ARD1284" s="5"/>
      <c r="ARE1284" s="5"/>
      <c r="ARF1284" s="5"/>
      <c r="ARG1284" s="5"/>
      <c r="ARH1284" s="5"/>
      <c r="ARI1284" s="5"/>
      <c r="ARJ1284" s="5"/>
      <c r="ARK1284" s="5"/>
      <c r="ARL1284" s="5"/>
      <c r="ARM1284" s="5"/>
      <c r="ARN1284" s="5"/>
      <c r="ARO1284" s="5"/>
      <c r="ARP1284" s="5"/>
      <c r="ARQ1284" s="5"/>
      <c r="ARR1284" s="5"/>
      <c r="ARS1284" s="5"/>
      <c r="ART1284" s="5"/>
      <c r="ARU1284" s="5"/>
      <c r="ARV1284" s="5"/>
      <c r="ARW1284" s="5"/>
      <c r="ARX1284" s="5"/>
      <c r="ARY1284" s="5"/>
      <c r="ARZ1284" s="5"/>
      <c r="ASA1284" s="5"/>
      <c r="ASB1284" s="5"/>
      <c r="ASC1284" s="5"/>
      <c r="ASD1284" s="5"/>
      <c r="ASE1284" s="5"/>
      <c r="ASF1284" s="5"/>
      <c r="ASG1284" s="5"/>
      <c r="ASH1284" s="5"/>
      <c r="ASI1284" s="5"/>
      <c r="ASJ1284" s="5"/>
      <c r="ASK1284" s="5"/>
      <c r="ASL1284" s="5"/>
      <c r="ASM1284" s="5"/>
      <c r="ASN1284" s="5"/>
      <c r="ASO1284" s="5"/>
      <c r="ASP1284" s="5"/>
      <c r="ASQ1284" s="5"/>
      <c r="ASR1284" s="5"/>
      <c r="ASS1284" s="5"/>
      <c r="AST1284" s="5"/>
      <c r="ASU1284" s="5"/>
      <c r="ASV1284" s="5"/>
      <c r="ASW1284" s="5"/>
      <c r="ASX1284" s="5"/>
      <c r="ASY1284" s="5"/>
      <c r="ASZ1284" s="5"/>
      <c r="ATA1284" s="5"/>
      <c r="ATB1284" s="5"/>
      <c r="ATC1284" s="5"/>
      <c r="ATD1284" s="5"/>
      <c r="ATE1284" s="5"/>
      <c r="ATF1284" s="5"/>
      <c r="ATG1284" s="5"/>
      <c r="ATH1284" s="5"/>
      <c r="ATI1284" s="5"/>
      <c r="ATJ1284" s="5"/>
      <c r="ATK1284" s="5"/>
      <c r="ATL1284" s="5"/>
      <c r="ATM1284" s="5"/>
      <c r="ATN1284" s="5"/>
      <c r="ATO1284" s="5"/>
      <c r="ATP1284" s="5"/>
      <c r="ATQ1284" s="5"/>
      <c r="ATR1284" s="5"/>
      <c r="ATS1284" s="5"/>
      <c r="ATT1284" s="5"/>
      <c r="ATU1284" s="5"/>
      <c r="ATV1284" s="5"/>
      <c r="ATW1284" s="5"/>
      <c r="ATX1284" s="5"/>
    </row>
    <row r="1285" spans="1:1220" s="197" customFormat="1" ht="12.75" customHeight="1" x14ac:dyDescent="0.35">
      <c r="A1285" s="76" t="s">
        <v>242</v>
      </c>
      <c r="B1285" s="99" t="s">
        <v>2064</v>
      </c>
      <c r="C1285" s="76" t="s">
        <v>3690</v>
      </c>
      <c r="D1285" s="142"/>
      <c r="E1285" s="76"/>
      <c r="F1285" s="5"/>
      <c r="G1285" s="5"/>
      <c r="H1285" s="5"/>
      <c r="I1285" s="5"/>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c r="DE1285" s="5"/>
      <c r="DF1285" s="5"/>
      <c r="DG1285" s="5"/>
      <c r="DH1285" s="5"/>
      <c r="DI1285" s="5"/>
      <c r="DJ1285" s="5"/>
      <c r="DK1285" s="5"/>
      <c r="DL1285" s="5"/>
      <c r="DM1285" s="5"/>
      <c r="DN1285" s="5"/>
      <c r="DO1285" s="5"/>
      <c r="DP1285" s="5"/>
      <c r="DQ1285" s="5"/>
      <c r="DR1285" s="5"/>
      <c r="DS1285" s="5"/>
      <c r="DT1285" s="5"/>
      <c r="DU1285" s="5"/>
      <c r="DV1285" s="5"/>
      <c r="DW1285" s="5"/>
      <c r="DX1285" s="5"/>
      <c r="DY1285" s="5"/>
      <c r="DZ1285" s="5"/>
      <c r="EA1285" s="5"/>
      <c r="EB1285" s="5"/>
      <c r="EC1285" s="5"/>
      <c r="ED1285" s="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s="5"/>
      <c r="FG1285" s="5"/>
      <c r="FH1285" s="5"/>
      <c r="FI1285" s="5"/>
      <c r="FJ1285" s="5"/>
      <c r="FK1285" s="5"/>
      <c r="FL1285" s="5"/>
      <c r="FM1285" s="5"/>
      <c r="FN1285" s="5"/>
      <c r="FO1285" s="5"/>
      <c r="FP1285" s="5"/>
      <c r="FQ1285" s="5"/>
      <c r="FR1285" s="5"/>
      <c r="FS1285" s="5"/>
      <c r="FT1285" s="5"/>
      <c r="FU1285" s="5"/>
      <c r="FV1285" s="5"/>
      <c r="FW1285" s="5"/>
      <c r="FX1285" s="5"/>
      <c r="FY1285" s="5"/>
      <c r="FZ1285" s="5"/>
      <c r="GA1285" s="5"/>
      <c r="GB1285" s="5"/>
      <c r="GC1285" s="5"/>
      <c r="GD1285" s="5"/>
      <c r="GE1285" s="5"/>
      <c r="GF1285" s="5"/>
      <c r="GG1285" s="5"/>
      <c r="GH1285" s="5"/>
      <c r="GI1285" s="5"/>
      <c r="GJ1285" s="5"/>
      <c r="GK1285" s="5"/>
      <c r="GL1285" s="5"/>
      <c r="GM1285" s="5"/>
      <c r="GN1285" s="5"/>
      <c r="GO1285" s="5"/>
      <c r="GP1285" s="5"/>
      <c r="GQ1285" s="5"/>
      <c r="GR1285" s="5"/>
      <c r="GS1285" s="5"/>
      <c r="GT1285" s="5"/>
      <c r="GU1285" s="5"/>
      <c r="GV1285" s="5"/>
      <c r="GW1285" s="5"/>
      <c r="GX1285" s="5"/>
      <c r="GY1285" s="5"/>
      <c r="GZ1285" s="5"/>
      <c r="HA1285" s="5"/>
      <c r="HB1285" s="5"/>
      <c r="HC1285" s="5"/>
      <c r="HD1285" s="5"/>
      <c r="HE1285" s="5"/>
      <c r="HF1285" s="5"/>
      <c r="HG1285" s="5"/>
      <c r="HH1285" s="5"/>
      <c r="HI1285" s="5"/>
      <c r="HJ1285" s="5"/>
      <c r="HK1285" s="5"/>
      <c r="HL1285" s="5"/>
      <c r="HM1285" s="5"/>
      <c r="HN1285" s="5"/>
      <c r="HO1285" s="5"/>
      <c r="HP1285" s="5"/>
      <c r="HQ1285" s="5"/>
      <c r="HR1285" s="5"/>
      <c r="HS1285" s="5"/>
      <c r="HT1285" s="5"/>
      <c r="HU1285" s="5"/>
      <c r="HV1285" s="5"/>
      <c r="HW1285" s="5"/>
      <c r="HX1285" s="5"/>
      <c r="HY1285" s="5"/>
      <c r="HZ1285" s="5"/>
      <c r="IA1285" s="5"/>
      <c r="IB1285" s="5"/>
      <c r="IC1285" s="5"/>
      <c r="ID1285" s="5"/>
      <c r="IE1285" s="5"/>
      <c r="IF1285" s="5"/>
      <c r="IG1285" s="5"/>
      <c r="IH1285" s="5"/>
      <c r="II1285" s="5"/>
      <c r="IJ1285" s="5"/>
      <c r="IK1285" s="5"/>
      <c r="IL1285" s="5"/>
      <c r="IM1285" s="5"/>
      <c r="IN1285" s="5"/>
      <c r="IO1285" s="5"/>
      <c r="IP1285" s="5"/>
      <c r="IQ1285" s="5"/>
      <c r="IR1285" s="5"/>
      <c r="IS1285" s="5"/>
      <c r="IT1285" s="5"/>
      <c r="IU1285" s="5"/>
      <c r="IV1285" s="5"/>
      <c r="IW1285" s="5"/>
      <c r="IX1285" s="5"/>
      <c r="IY1285" s="5"/>
      <c r="IZ1285" s="5"/>
      <c r="JA1285" s="5"/>
      <c r="JB1285" s="5"/>
      <c r="JC1285" s="5"/>
      <c r="JD1285" s="5"/>
      <c r="JE1285" s="5"/>
      <c r="JF1285" s="5"/>
      <c r="JG1285" s="5"/>
      <c r="JH1285" s="5"/>
      <c r="JI1285" s="5"/>
      <c r="JJ1285" s="5"/>
      <c r="JK1285" s="5"/>
      <c r="JL1285" s="5"/>
      <c r="JM1285" s="5"/>
      <c r="JN1285" s="5"/>
      <c r="JO1285" s="5"/>
      <c r="JP1285" s="5"/>
      <c r="JQ1285" s="5"/>
      <c r="JR1285" s="5"/>
      <c r="JS1285" s="5"/>
      <c r="JT1285" s="5"/>
      <c r="JU1285" s="5"/>
      <c r="JV1285" s="5"/>
      <c r="JW1285" s="5"/>
      <c r="JX1285" s="5"/>
      <c r="JY1285" s="5"/>
      <c r="JZ1285" s="5"/>
      <c r="KA1285" s="5"/>
      <c r="KB1285" s="5"/>
      <c r="KC1285" s="5"/>
      <c r="KD1285" s="5"/>
      <c r="KE1285" s="5"/>
      <c r="KF1285" s="5"/>
      <c r="KG1285" s="5"/>
      <c r="KH1285" s="5"/>
      <c r="KI1285" s="5"/>
      <c r="KJ1285" s="5"/>
      <c r="KK1285" s="5"/>
      <c r="KL1285" s="5"/>
      <c r="KM1285" s="5"/>
      <c r="KN1285" s="5"/>
      <c r="KO1285" s="5"/>
      <c r="KP1285" s="5"/>
      <c r="KQ1285" s="5"/>
      <c r="KR1285" s="5"/>
      <c r="KS1285" s="5"/>
      <c r="KT1285" s="5"/>
      <c r="KU1285" s="5"/>
      <c r="KV1285" s="5"/>
      <c r="KW1285" s="5"/>
      <c r="KX1285" s="5"/>
      <c r="KY1285" s="5"/>
      <c r="KZ1285" s="5"/>
      <c r="LA1285" s="5"/>
      <c r="LB1285" s="5"/>
      <c r="LC1285" s="5"/>
      <c r="LD1285" s="5"/>
      <c r="LE1285" s="5"/>
      <c r="LF1285" s="5"/>
      <c r="LG1285" s="5"/>
      <c r="LH1285" s="5"/>
      <c r="LI1285" s="5"/>
      <c r="LJ1285" s="5"/>
      <c r="LK1285" s="5"/>
      <c r="LL1285" s="5"/>
      <c r="LM1285" s="5"/>
      <c r="LN1285" s="5"/>
      <c r="LO1285" s="5"/>
      <c r="LP1285" s="5"/>
      <c r="LQ1285" s="5"/>
      <c r="LR1285" s="5"/>
      <c r="LS1285" s="5"/>
      <c r="LT1285" s="5"/>
      <c r="LU1285" s="5"/>
      <c r="LV1285" s="5"/>
      <c r="LW1285" s="5"/>
      <c r="LX1285" s="5"/>
      <c r="LY1285" s="5"/>
      <c r="LZ1285" s="5"/>
      <c r="MA1285" s="5"/>
      <c r="MB1285" s="5"/>
      <c r="MC1285" s="5"/>
      <c r="MD1285" s="5"/>
      <c r="ME1285" s="5"/>
      <c r="MF1285" s="5"/>
      <c r="MG1285" s="5"/>
      <c r="MH1285" s="5"/>
      <c r="MI1285" s="5"/>
      <c r="MJ1285" s="5"/>
      <c r="MK1285" s="5"/>
      <c r="ML1285" s="5"/>
      <c r="MM1285" s="5"/>
      <c r="MN1285" s="5"/>
      <c r="MO1285" s="5"/>
      <c r="MP1285" s="5"/>
      <c r="MQ1285" s="5"/>
      <c r="MR1285" s="5"/>
      <c r="MS1285" s="5"/>
      <c r="MT1285" s="5"/>
      <c r="MU1285" s="5"/>
      <c r="MV1285" s="5"/>
      <c r="MW1285" s="5"/>
      <c r="MX1285" s="5"/>
      <c r="MY1285" s="5"/>
      <c r="MZ1285" s="5"/>
      <c r="NA1285" s="5"/>
      <c r="NB1285" s="5"/>
      <c r="NC1285" s="5"/>
      <c r="ND1285" s="5"/>
      <c r="NE1285" s="5"/>
      <c r="NF1285" s="5"/>
      <c r="NG1285" s="5"/>
      <c r="NH1285" s="5"/>
      <c r="NI1285" s="5"/>
      <c r="NJ1285" s="5"/>
      <c r="NK1285" s="5"/>
      <c r="NL1285" s="5"/>
      <c r="NM1285" s="5"/>
      <c r="NN1285" s="5"/>
      <c r="NO1285" s="5"/>
      <c r="NP1285" s="5"/>
      <c r="NQ1285" s="5"/>
      <c r="NR1285" s="5"/>
      <c r="NS1285" s="5"/>
      <c r="NT1285" s="5"/>
      <c r="NU1285" s="5"/>
      <c r="NV1285" s="5"/>
      <c r="NW1285" s="5"/>
      <c r="NX1285" s="5"/>
      <c r="NY1285" s="5"/>
      <c r="NZ1285" s="5"/>
      <c r="OA1285" s="5"/>
      <c r="OB1285" s="5"/>
      <c r="OC1285" s="5"/>
      <c r="OD1285" s="5"/>
      <c r="OE1285" s="5"/>
      <c r="OF1285" s="5"/>
      <c r="OG1285" s="5"/>
      <c r="OH1285" s="5"/>
      <c r="OI1285" s="5"/>
      <c r="OJ1285" s="5"/>
      <c r="OK1285" s="5"/>
      <c r="OL1285" s="5"/>
      <c r="OM1285" s="5"/>
      <c r="ON1285" s="5"/>
      <c r="OO1285" s="5"/>
      <c r="OP1285" s="5"/>
      <c r="OQ1285" s="5"/>
      <c r="OR1285" s="5"/>
      <c r="OS1285" s="5"/>
      <c r="OT1285" s="5"/>
      <c r="OU1285" s="5"/>
      <c r="OV1285" s="5"/>
      <c r="OW1285" s="5"/>
      <c r="OX1285" s="5"/>
      <c r="OY1285" s="5"/>
      <c r="OZ1285" s="5"/>
      <c r="PA1285" s="5"/>
      <c r="PB1285" s="5"/>
      <c r="PC1285" s="5"/>
      <c r="PD1285" s="5"/>
      <c r="PE1285" s="5"/>
      <c r="PF1285" s="5"/>
      <c r="PG1285" s="5"/>
      <c r="PH1285" s="5"/>
      <c r="PI1285" s="5"/>
      <c r="PJ1285" s="5"/>
      <c r="PK1285" s="5"/>
      <c r="PL1285" s="5"/>
      <c r="PM1285" s="5"/>
      <c r="PN1285" s="5"/>
      <c r="PO1285" s="5"/>
      <c r="PP1285" s="5"/>
      <c r="PQ1285" s="5"/>
      <c r="PR1285" s="5"/>
      <c r="PS1285" s="5"/>
      <c r="PT1285" s="5"/>
      <c r="PU1285" s="5"/>
      <c r="PV1285" s="5"/>
      <c r="PW1285" s="5"/>
      <c r="PX1285" s="5"/>
      <c r="PY1285" s="5"/>
      <c r="PZ1285" s="5"/>
      <c r="QA1285" s="5"/>
      <c r="QB1285" s="5"/>
      <c r="QC1285" s="5"/>
      <c r="QD1285" s="5"/>
      <c r="QE1285" s="5"/>
      <c r="QF1285" s="5"/>
      <c r="QG1285" s="5"/>
      <c r="QH1285" s="5"/>
      <c r="QI1285" s="5"/>
      <c r="QJ1285" s="5"/>
      <c r="QK1285" s="5"/>
      <c r="QL1285" s="5"/>
      <c r="QM1285" s="5"/>
      <c r="QN1285" s="5"/>
      <c r="QO1285" s="5"/>
      <c r="QP1285" s="5"/>
      <c r="QQ1285" s="5"/>
      <c r="QR1285" s="5"/>
      <c r="QS1285" s="5"/>
      <c r="QT1285" s="5"/>
      <c r="QU1285" s="5"/>
      <c r="QV1285" s="5"/>
      <c r="QW1285" s="5"/>
      <c r="QX1285" s="5"/>
      <c r="QY1285" s="5"/>
      <c r="QZ1285" s="5"/>
      <c r="RA1285" s="5"/>
      <c r="RB1285" s="5"/>
      <c r="RC1285" s="5"/>
      <c r="RD1285" s="5"/>
      <c r="RE1285" s="5"/>
      <c r="RF1285" s="5"/>
      <c r="RG1285" s="5"/>
      <c r="RH1285" s="5"/>
      <c r="RI1285" s="5"/>
      <c r="RJ1285" s="5"/>
      <c r="RK1285" s="5"/>
      <c r="RL1285" s="5"/>
      <c r="RM1285" s="5"/>
      <c r="RN1285" s="5"/>
      <c r="RO1285" s="5"/>
      <c r="RP1285" s="5"/>
      <c r="RQ1285" s="5"/>
      <c r="RR1285" s="5"/>
      <c r="RS1285" s="5"/>
      <c r="RT1285" s="5"/>
      <c r="RU1285" s="5"/>
      <c r="RV1285" s="5"/>
      <c r="RW1285" s="5"/>
      <c r="RX1285" s="5"/>
      <c r="RY1285" s="5"/>
      <c r="RZ1285" s="5"/>
      <c r="SA1285" s="5"/>
      <c r="SB1285" s="5"/>
      <c r="SC1285" s="5"/>
      <c r="SD1285" s="5"/>
      <c r="SE1285" s="5"/>
      <c r="SF1285" s="5"/>
      <c r="SG1285" s="5"/>
      <c r="SH1285" s="5"/>
      <c r="SI1285" s="5"/>
      <c r="SJ1285" s="5"/>
      <c r="SK1285" s="5"/>
      <c r="SL1285" s="5"/>
      <c r="SM1285" s="5"/>
      <c r="SN1285" s="5"/>
      <c r="SO1285" s="5"/>
      <c r="SP1285" s="5"/>
      <c r="SQ1285" s="5"/>
      <c r="SR1285" s="5"/>
      <c r="SS1285" s="5"/>
      <c r="ST1285" s="5"/>
      <c r="SU1285" s="5"/>
      <c r="SV1285" s="5"/>
      <c r="SW1285" s="5"/>
      <c r="SX1285" s="5"/>
      <c r="SY1285" s="5"/>
      <c r="SZ1285" s="5"/>
      <c r="TA1285" s="5"/>
      <c r="TB1285" s="5"/>
      <c r="TC1285" s="5"/>
      <c r="TD1285" s="5"/>
      <c r="TE1285" s="5"/>
      <c r="TF1285" s="5"/>
      <c r="TG1285" s="5"/>
      <c r="TH1285" s="5"/>
      <c r="TI1285" s="5"/>
      <c r="TJ1285" s="5"/>
      <c r="TK1285" s="5"/>
      <c r="TL1285" s="5"/>
      <c r="TM1285" s="5"/>
      <c r="TN1285" s="5"/>
      <c r="TO1285" s="5"/>
      <c r="TP1285" s="5"/>
      <c r="TQ1285" s="5"/>
      <c r="TR1285" s="5"/>
      <c r="TS1285" s="5"/>
      <c r="TT1285" s="5"/>
      <c r="TU1285" s="5"/>
      <c r="TV1285" s="5"/>
      <c r="TW1285" s="5"/>
      <c r="TX1285" s="5"/>
      <c r="TY1285" s="5"/>
      <c r="TZ1285" s="5"/>
      <c r="UA1285" s="5"/>
      <c r="UB1285" s="5"/>
      <c r="UC1285" s="5"/>
      <c r="UD1285" s="5"/>
      <c r="UE1285" s="5"/>
      <c r="UF1285" s="5"/>
      <c r="UG1285" s="5"/>
      <c r="UH1285" s="5"/>
      <c r="UI1285" s="5"/>
      <c r="UJ1285" s="5"/>
      <c r="UK1285" s="5"/>
      <c r="UL1285" s="5"/>
      <c r="UM1285" s="5"/>
      <c r="UN1285" s="5"/>
      <c r="UO1285" s="5"/>
      <c r="UP1285" s="5"/>
      <c r="UQ1285" s="5"/>
      <c r="UR1285" s="5"/>
      <c r="US1285" s="5"/>
      <c r="UT1285" s="5"/>
      <c r="UU1285" s="5"/>
      <c r="UV1285" s="5"/>
      <c r="UW1285" s="5"/>
      <c r="UX1285" s="5"/>
      <c r="UY1285" s="5"/>
      <c r="UZ1285" s="5"/>
      <c r="VA1285" s="5"/>
      <c r="VB1285" s="5"/>
      <c r="VC1285" s="5"/>
      <c r="VD1285" s="5"/>
      <c r="VE1285" s="5"/>
      <c r="VF1285" s="5"/>
      <c r="VG1285" s="5"/>
      <c r="VH1285" s="5"/>
      <c r="VI1285" s="5"/>
      <c r="VJ1285" s="5"/>
      <c r="VK1285" s="5"/>
      <c r="VL1285" s="5"/>
      <c r="VM1285" s="5"/>
      <c r="VN1285" s="5"/>
      <c r="VO1285" s="5"/>
      <c r="VP1285" s="5"/>
      <c r="VQ1285" s="5"/>
      <c r="VR1285" s="5"/>
      <c r="VS1285" s="5"/>
      <c r="VT1285" s="5"/>
      <c r="VU1285" s="5"/>
      <c r="VV1285" s="5"/>
      <c r="VW1285" s="5"/>
      <c r="VX1285" s="5"/>
      <c r="VY1285" s="5"/>
      <c r="VZ1285" s="5"/>
      <c r="WA1285" s="5"/>
      <c r="WB1285" s="5"/>
      <c r="WC1285" s="5"/>
      <c r="WD1285" s="5"/>
      <c r="WE1285" s="5"/>
      <c r="WF1285" s="5"/>
      <c r="WG1285" s="5"/>
      <c r="WH1285" s="5"/>
      <c r="WI1285" s="5"/>
      <c r="WJ1285" s="5"/>
      <c r="WK1285" s="5"/>
      <c r="WL1285" s="5"/>
      <c r="WM1285" s="5"/>
      <c r="WN1285" s="5"/>
      <c r="WO1285" s="5"/>
      <c r="WP1285" s="5"/>
      <c r="WQ1285" s="5"/>
      <c r="WR1285" s="5"/>
      <c r="WS1285" s="5"/>
      <c r="WT1285" s="5"/>
      <c r="WU1285" s="5"/>
      <c r="WV1285" s="5"/>
      <c r="WW1285" s="5"/>
      <c r="WX1285" s="5"/>
      <c r="WY1285" s="5"/>
      <c r="WZ1285" s="5"/>
      <c r="XA1285" s="5"/>
      <c r="XB1285" s="5"/>
      <c r="XC1285" s="5"/>
      <c r="XD1285" s="5"/>
      <c r="XE1285" s="5"/>
      <c r="XF1285" s="5"/>
      <c r="XG1285" s="5"/>
      <c r="XH1285" s="5"/>
      <c r="XI1285" s="5"/>
      <c r="XJ1285" s="5"/>
      <c r="XK1285" s="5"/>
      <c r="XL1285" s="5"/>
      <c r="XM1285" s="5"/>
      <c r="XN1285" s="5"/>
      <c r="XO1285" s="5"/>
      <c r="XP1285" s="5"/>
      <c r="XQ1285" s="5"/>
      <c r="XR1285" s="5"/>
      <c r="XS1285" s="5"/>
      <c r="XT1285" s="5"/>
      <c r="XU1285" s="5"/>
      <c r="XV1285" s="5"/>
      <c r="XW1285" s="5"/>
      <c r="XX1285" s="5"/>
      <c r="XY1285" s="5"/>
      <c r="XZ1285" s="5"/>
      <c r="YA1285" s="5"/>
      <c r="YB1285" s="5"/>
      <c r="YC1285" s="5"/>
      <c r="YD1285" s="5"/>
      <c r="YE1285" s="5"/>
      <c r="YF1285" s="5"/>
      <c r="YG1285" s="5"/>
      <c r="YH1285" s="5"/>
      <c r="YI1285" s="5"/>
      <c r="YJ1285" s="5"/>
      <c r="YK1285" s="5"/>
      <c r="YL1285" s="5"/>
      <c r="YM1285" s="5"/>
      <c r="YN1285" s="5"/>
      <c r="YO1285" s="5"/>
      <c r="YP1285" s="5"/>
      <c r="YQ1285" s="5"/>
      <c r="YR1285" s="5"/>
      <c r="YS1285" s="5"/>
      <c r="YT1285" s="5"/>
      <c r="YU1285" s="5"/>
      <c r="YV1285" s="5"/>
      <c r="YW1285" s="5"/>
      <c r="YX1285" s="5"/>
      <c r="YY1285" s="5"/>
      <c r="YZ1285" s="5"/>
      <c r="ZA1285" s="5"/>
      <c r="ZB1285" s="5"/>
      <c r="ZC1285" s="5"/>
      <c r="ZD1285" s="5"/>
      <c r="ZE1285" s="5"/>
      <c r="ZF1285" s="5"/>
      <c r="ZG1285" s="5"/>
      <c r="ZH1285" s="5"/>
      <c r="ZI1285" s="5"/>
      <c r="ZJ1285" s="5"/>
      <c r="ZK1285" s="5"/>
      <c r="ZL1285" s="5"/>
      <c r="ZM1285" s="5"/>
      <c r="ZN1285" s="5"/>
      <c r="ZO1285" s="5"/>
      <c r="ZP1285" s="5"/>
      <c r="ZQ1285" s="5"/>
      <c r="ZR1285" s="5"/>
      <c r="ZS1285" s="5"/>
      <c r="ZT1285" s="5"/>
      <c r="ZU1285" s="5"/>
      <c r="ZV1285" s="5"/>
      <c r="ZW1285" s="5"/>
      <c r="ZX1285" s="5"/>
      <c r="ZY1285" s="5"/>
      <c r="ZZ1285" s="5"/>
      <c r="AAA1285" s="5"/>
      <c r="AAB1285" s="5"/>
      <c r="AAC1285" s="5"/>
      <c r="AAD1285" s="5"/>
      <c r="AAE1285" s="5"/>
      <c r="AAF1285" s="5"/>
      <c r="AAG1285" s="5"/>
      <c r="AAH1285" s="5"/>
      <c r="AAI1285" s="5"/>
      <c r="AAJ1285" s="5"/>
      <c r="AAK1285" s="5"/>
      <c r="AAL1285" s="5"/>
      <c r="AAM1285" s="5"/>
      <c r="AAN1285" s="5"/>
      <c r="AAO1285" s="5"/>
      <c r="AAP1285" s="5"/>
      <c r="AAQ1285" s="5"/>
      <c r="AAR1285" s="5"/>
      <c r="AAS1285" s="5"/>
      <c r="AAT1285" s="5"/>
      <c r="AAU1285" s="5"/>
      <c r="AAV1285" s="5"/>
      <c r="AAW1285" s="5"/>
      <c r="AAX1285" s="5"/>
      <c r="AAY1285" s="5"/>
      <c r="AAZ1285" s="5"/>
      <c r="ABA1285" s="5"/>
      <c r="ABB1285" s="5"/>
      <c r="ABC1285" s="5"/>
      <c r="ABD1285" s="5"/>
      <c r="ABE1285" s="5"/>
      <c r="ABF1285" s="5"/>
      <c r="ABG1285" s="5"/>
      <c r="ABH1285" s="5"/>
      <c r="ABI1285" s="5"/>
      <c r="ABJ1285" s="5"/>
      <c r="ABK1285" s="5"/>
      <c r="ABL1285" s="5"/>
      <c r="ABM1285" s="5"/>
      <c r="ABN1285" s="5"/>
      <c r="ABO1285" s="5"/>
      <c r="ABP1285" s="5"/>
      <c r="ABQ1285" s="5"/>
      <c r="ABR1285" s="5"/>
      <c r="ABS1285" s="5"/>
      <c r="ABT1285" s="5"/>
      <c r="ABU1285" s="5"/>
      <c r="ABV1285" s="5"/>
      <c r="ABW1285" s="5"/>
      <c r="ABX1285" s="5"/>
      <c r="ABY1285" s="5"/>
      <c r="ABZ1285" s="5"/>
      <c r="ACA1285" s="5"/>
      <c r="ACB1285" s="5"/>
      <c r="ACC1285" s="5"/>
      <c r="ACD1285" s="5"/>
      <c r="ACE1285" s="5"/>
      <c r="ACF1285" s="5"/>
      <c r="ACG1285" s="5"/>
      <c r="ACH1285" s="5"/>
      <c r="ACI1285" s="5"/>
      <c r="ACJ1285" s="5"/>
      <c r="ACK1285" s="5"/>
      <c r="ACL1285" s="5"/>
      <c r="ACM1285" s="5"/>
      <c r="ACN1285" s="5"/>
      <c r="ACO1285" s="5"/>
      <c r="ACP1285" s="5"/>
      <c r="ACQ1285" s="5"/>
      <c r="ACR1285" s="5"/>
      <c r="ACS1285" s="5"/>
      <c r="ACT1285" s="5"/>
      <c r="ACU1285" s="5"/>
      <c r="ACV1285" s="5"/>
      <c r="ACW1285" s="5"/>
      <c r="ACX1285" s="5"/>
      <c r="ACY1285" s="5"/>
      <c r="ACZ1285" s="5"/>
      <c r="ADA1285" s="5"/>
      <c r="ADB1285" s="5"/>
      <c r="ADC1285" s="5"/>
      <c r="ADD1285" s="5"/>
      <c r="ADE1285" s="5"/>
      <c r="ADF1285" s="5"/>
      <c r="ADG1285" s="5"/>
      <c r="ADH1285" s="5"/>
      <c r="ADI1285" s="5"/>
      <c r="ADJ1285" s="5"/>
      <c r="ADK1285" s="5"/>
      <c r="ADL1285" s="5"/>
      <c r="ADM1285" s="5"/>
      <c r="ADN1285" s="5"/>
      <c r="ADO1285" s="5"/>
      <c r="ADP1285" s="5"/>
      <c r="ADQ1285" s="5"/>
      <c r="ADR1285" s="5"/>
      <c r="ADS1285" s="5"/>
      <c r="ADT1285" s="5"/>
      <c r="ADU1285" s="5"/>
      <c r="ADV1285" s="5"/>
      <c r="ADW1285" s="5"/>
      <c r="ADX1285" s="5"/>
      <c r="ADY1285" s="5"/>
      <c r="ADZ1285" s="5"/>
      <c r="AEA1285" s="5"/>
      <c r="AEB1285" s="5"/>
      <c r="AEC1285" s="5"/>
      <c r="AED1285" s="5"/>
      <c r="AEE1285" s="5"/>
      <c r="AEF1285" s="5"/>
      <c r="AEG1285" s="5"/>
      <c r="AEH1285" s="5"/>
      <c r="AEI1285" s="5"/>
      <c r="AEJ1285" s="5"/>
      <c r="AEK1285" s="5"/>
      <c r="AEL1285" s="5"/>
      <c r="AEM1285" s="5"/>
      <c r="AEN1285" s="5"/>
      <c r="AEO1285" s="5"/>
      <c r="AEP1285" s="5"/>
      <c r="AEQ1285" s="5"/>
      <c r="AER1285" s="5"/>
      <c r="AES1285" s="5"/>
      <c r="AET1285" s="5"/>
      <c r="AEU1285" s="5"/>
      <c r="AEV1285" s="5"/>
      <c r="AEW1285" s="5"/>
      <c r="AEX1285" s="5"/>
      <c r="AEY1285" s="5"/>
      <c r="AEZ1285" s="5"/>
      <c r="AFA1285" s="5"/>
      <c r="AFB1285" s="5"/>
      <c r="AFC1285" s="5"/>
      <c r="AFD1285" s="5"/>
      <c r="AFE1285" s="5"/>
      <c r="AFF1285" s="5"/>
      <c r="AFG1285" s="5"/>
      <c r="AFH1285" s="5"/>
      <c r="AFI1285" s="5"/>
      <c r="AFJ1285" s="5"/>
      <c r="AFK1285" s="5"/>
      <c r="AFL1285" s="5"/>
      <c r="AFM1285" s="5"/>
      <c r="AFN1285" s="5"/>
      <c r="AFO1285" s="5"/>
      <c r="AFP1285" s="5"/>
      <c r="AFQ1285" s="5"/>
      <c r="AFR1285" s="5"/>
      <c r="AFS1285" s="5"/>
      <c r="AFT1285" s="5"/>
      <c r="AFU1285" s="5"/>
      <c r="AFV1285" s="5"/>
      <c r="AFW1285" s="5"/>
      <c r="AFX1285" s="5"/>
      <c r="AFY1285" s="5"/>
      <c r="AFZ1285" s="5"/>
      <c r="AGA1285" s="5"/>
      <c r="AGB1285" s="5"/>
      <c r="AGC1285" s="5"/>
      <c r="AGD1285" s="5"/>
      <c r="AGE1285" s="5"/>
      <c r="AGF1285" s="5"/>
      <c r="AGG1285" s="5"/>
      <c r="AGH1285" s="5"/>
      <c r="AGI1285" s="5"/>
      <c r="AGJ1285" s="5"/>
      <c r="AGK1285" s="5"/>
      <c r="AGL1285" s="5"/>
      <c r="AGM1285" s="5"/>
      <c r="AGN1285" s="5"/>
      <c r="AGO1285" s="5"/>
      <c r="AGP1285" s="5"/>
      <c r="AGQ1285" s="5"/>
      <c r="AGR1285" s="5"/>
      <c r="AGS1285" s="5"/>
      <c r="AGT1285" s="5"/>
      <c r="AGU1285" s="5"/>
      <c r="AGV1285" s="5"/>
      <c r="AGW1285" s="5"/>
      <c r="AGX1285" s="5"/>
      <c r="AGY1285" s="5"/>
      <c r="AGZ1285" s="5"/>
      <c r="AHA1285" s="5"/>
      <c r="AHB1285" s="5"/>
      <c r="AHC1285" s="5"/>
      <c r="AHD1285" s="5"/>
      <c r="AHE1285" s="5"/>
      <c r="AHF1285" s="5"/>
      <c r="AHG1285" s="5"/>
      <c r="AHH1285" s="5"/>
      <c r="AHI1285" s="5"/>
      <c r="AHJ1285" s="5"/>
      <c r="AHK1285" s="5"/>
      <c r="AHL1285" s="5"/>
      <c r="AHM1285" s="5"/>
      <c r="AHN1285" s="5"/>
      <c r="AHO1285" s="5"/>
      <c r="AHP1285" s="5"/>
      <c r="AHQ1285" s="5"/>
      <c r="AHR1285" s="5"/>
      <c r="AHS1285" s="5"/>
      <c r="AHT1285" s="5"/>
      <c r="AHU1285" s="5"/>
      <c r="AHV1285" s="5"/>
      <c r="AHW1285" s="5"/>
      <c r="AHX1285" s="5"/>
      <c r="AHY1285" s="5"/>
      <c r="AHZ1285" s="5"/>
      <c r="AIA1285" s="5"/>
      <c r="AIB1285" s="5"/>
      <c r="AIC1285" s="5"/>
      <c r="AID1285" s="5"/>
      <c r="AIE1285" s="5"/>
      <c r="AIF1285" s="5"/>
      <c r="AIG1285" s="5"/>
      <c r="AIH1285" s="5"/>
      <c r="AII1285" s="5"/>
      <c r="AIJ1285" s="5"/>
      <c r="AIK1285" s="5"/>
      <c r="AIL1285" s="5"/>
      <c r="AIM1285" s="5"/>
      <c r="AIN1285" s="5"/>
      <c r="AIO1285" s="5"/>
      <c r="AIP1285" s="5"/>
      <c r="AIQ1285" s="5"/>
      <c r="AIR1285" s="5"/>
      <c r="AIS1285" s="5"/>
      <c r="AIT1285" s="5"/>
      <c r="AIU1285" s="5"/>
      <c r="AIV1285" s="5"/>
      <c r="AIW1285" s="5"/>
      <c r="AIX1285" s="5"/>
      <c r="AIY1285" s="5"/>
      <c r="AIZ1285" s="5"/>
      <c r="AJA1285" s="5"/>
      <c r="AJB1285" s="5"/>
      <c r="AJC1285" s="5"/>
      <c r="AJD1285" s="5"/>
      <c r="AJE1285" s="5"/>
      <c r="AJF1285" s="5"/>
      <c r="AJG1285" s="5"/>
      <c r="AJH1285" s="5"/>
      <c r="AJI1285" s="5"/>
      <c r="AJJ1285" s="5"/>
      <c r="AJK1285" s="5"/>
      <c r="AJL1285" s="5"/>
      <c r="AJM1285" s="5"/>
      <c r="AJN1285" s="5"/>
      <c r="AJO1285" s="5"/>
      <c r="AJP1285" s="5"/>
      <c r="AJQ1285" s="5"/>
      <c r="AJR1285" s="5"/>
      <c r="AJS1285" s="5"/>
      <c r="AJT1285" s="5"/>
      <c r="AJU1285" s="5"/>
      <c r="AJV1285" s="5"/>
      <c r="AJW1285" s="5"/>
      <c r="AJX1285" s="5"/>
      <c r="AJY1285" s="5"/>
      <c r="AJZ1285" s="5"/>
      <c r="AKA1285" s="5"/>
      <c r="AKB1285" s="5"/>
      <c r="AKC1285" s="5"/>
      <c r="AKD1285" s="5"/>
      <c r="AKE1285" s="5"/>
      <c r="AKF1285" s="5"/>
      <c r="AKG1285" s="5"/>
      <c r="AKH1285" s="5"/>
      <c r="AKI1285" s="5"/>
      <c r="AKJ1285" s="5"/>
      <c r="AKK1285" s="5"/>
      <c r="AKL1285" s="5"/>
      <c r="AKM1285" s="5"/>
      <c r="AKN1285" s="5"/>
      <c r="AKO1285" s="5"/>
      <c r="AKP1285" s="5"/>
      <c r="AKQ1285" s="5"/>
      <c r="AKR1285" s="5"/>
      <c r="AKS1285" s="5"/>
      <c r="AKT1285" s="5"/>
      <c r="AKU1285" s="5"/>
      <c r="AKV1285" s="5"/>
      <c r="AKW1285" s="5"/>
      <c r="AKX1285" s="5"/>
      <c r="AKY1285" s="5"/>
      <c r="AKZ1285" s="5"/>
      <c r="ALA1285" s="5"/>
      <c r="ALB1285" s="5"/>
      <c r="ALC1285" s="5"/>
      <c r="ALD1285" s="5"/>
      <c r="ALE1285" s="5"/>
      <c r="ALF1285" s="5"/>
      <c r="ALG1285" s="5"/>
      <c r="ALH1285" s="5"/>
      <c r="ALI1285" s="5"/>
      <c r="ALJ1285" s="5"/>
      <c r="ALK1285" s="5"/>
      <c r="ALL1285" s="5"/>
      <c r="ALM1285" s="5"/>
      <c r="ALN1285" s="5"/>
      <c r="ALO1285" s="5"/>
      <c r="ALP1285" s="5"/>
      <c r="ALQ1285" s="5"/>
      <c r="ALR1285" s="5"/>
      <c r="ALS1285" s="5"/>
      <c r="ALT1285" s="5"/>
      <c r="ALU1285" s="5"/>
      <c r="ALV1285" s="5"/>
      <c r="ALW1285" s="5"/>
      <c r="ALX1285" s="5"/>
      <c r="ALY1285" s="5"/>
      <c r="ALZ1285" s="5"/>
      <c r="AMA1285" s="5"/>
      <c r="AMB1285" s="5"/>
      <c r="AMC1285" s="5"/>
      <c r="AMD1285" s="5"/>
      <c r="AME1285" s="5"/>
      <c r="AMF1285" s="5"/>
      <c r="AMG1285" s="5"/>
      <c r="AMH1285" s="5"/>
      <c r="AMI1285" s="5"/>
      <c r="AMJ1285" s="5"/>
      <c r="AMK1285" s="5"/>
      <c r="AML1285" s="5"/>
      <c r="AMM1285" s="5"/>
      <c r="AMN1285" s="5"/>
      <c r="AMO1285" s="5"/>
      <c r="AMP1285" s="5"/>
      <c r="AMQ1285" s="5"/>
      <c r="AMR1285" s="5"/>
      <c r="AMS1285" s="5"/>
      <c r="AMT1285" s="5"/>
      <c r="AMU1285" s="5"/>
      <c r="AMV1285" s="5"/>
      <c r="AMW1285" s="5"/>
      <c r="AMX1285" s="5"/>
      <c r="AMY1285" s="5"/>
      <c r="AMZ1285" s="5"/>
      <c r="ANA1285" s="5"/>
      <c r="ANB1285" s="5"/>
      <c r="ANC1285" s="5"/>
      <c r="AND1285" s="5"/>
      <c r="ANE1285" s="5"/>
      <c r="ANF1285" s="5"/>
      <c r="ANG1285" s="5"/>
      <c r="ANH1285" s="5"/>
      <c r="ANI1285" s="5"/>
      <c r="ANJ1285" s="5"/>
      <c r="ANK1285" s="5"/>
      <c r="ANL1285" s="5"/>
      <c r="ANM1285" s="5"/>
      <c r="ANN1285" s="5"/>
      <c r="ANO1285" s="5"/>
      <c r="ANP1285" s="5"/>
      <c r="ANQ1285" s="5"/>
      <c r="ANR1285" s="5"/>
      <c r="ANS1285" s="5"/>
      <c r="ANT1285" s="5"/>
      <c r="ANU1285" s="5"/>
      <c r="ANV1285" s="5"/>
      <c r="ANW1285" s="5"/>
      <c r="ANX1285" s="5"/>
      <c r="ANY1285" s="5"/>
      <c r="ANZ1285" s="5"/>
      <c r="AOA1285" s="5"/>
      <c r="AOB1285" s="5"/>
      <c r="AOC1285" s="5"/>
      <c r="AOD1285" s="5"/>
      <c r="AOE1285" s="5"/>
      <c r="AOF1285" s="5"/>
      <c r="AOG1285" s="5"/>
      <c r="AOH1285" s="5"/>
      <c r="AOI1285" s="5"/>
      <c r="AOJ1285" s="5"/>
      <c r="AOK1285" s="5"/>
      <c r="AOL1285" s="5"/>
      <c r="AOM1285" s="5"/>
      <c r="AON1285" s="5"/>
      <c r="AOO1285" s="5"/>
      <c r="AOP1285" s="5"/>
      <c r="AOQ1285" s="5"/>
      <c r="AOR1285" s="5"/>
      <c r="AOS1285" s="5"/>
      <c r="AOT1285" s="5"/>
      <c r="AOU1285" s="5"/>
      <c r="AOV1285" s="5"/>
      <c r="AOW1285" s="5"/>
      <c r="AOX1285" s="5"/>
      <c r="AOY1285" s="5"/>
      <c r="AOZ1285" s="5"/>
      <c r="APA1285" s="5"/>
      <c r="APB1285" s="5"/>
      <c r="APC1285" s="5"/>
      <c r="APD1285" s="5"/>
      <c r="APE1285" s="5"/>
      <c r="APF1285" s="5"/>
      <c r="APG1285" s="5"/>
      <c r="APH1285" s="5"/>
      <c r="API1285" s="5"/>
      <c r="APJ1285" s="5"/>
      <c r="APK1285" s="5"/>
      <c r="APL1285" s="5"/>
      <c r="APM1285" s="5"/>
      <c r="APN1285" s="5"/>
      <c r="APO1285" s="5"/>
      <c r="APP1285" s="5"/>
      <c r="APQ1285" s="5"/>
      <c r="APR1285" s="5"/>
      <c r="APS1285" s="5"/>
      <c r="APT1285" s="5"/>
      <c r="APU1285" s="5"/>
      <c r="APV1285" s="5"/>
      <c r="APW1285" s="5"/>
      <c r="APX1285" s="5"/>
      <c r="APY1285" s="5"/>
      <c r="APZ1285" s="5"/>
      <c r="AQA1285" s="5"/>
      <c r="AQB1285" s="5"/>
      <c r="AQC1285" s="5"/>
      <c r="AQD1285" s="5"/>
      <c r="AQE1285" s="5"/>
      <c r="AQF1285" s="5"/>
      <c r="AQG1285" s="5"/>
      <c r="AQH1285" s="5"/>
      <c r="AQI1285" s="5"/>
      <c r="AQJ1285" s="5"/>
      <c r="AQK1285" s="5"/>
      <c r="AQL1285" s="5"/>
      <c r="AQM1285" s="5"/>
      <c r="AQN1285" s="5"/>
      <c r="AQO1285" s="5"/>
      <c r="AQP1285" s="5"/>
      <c r="AQQ1285" s="5"/>
      <c r="AQR1285" s="5"/>
      <c r="AQS1285" s="5"/>
      <c r="AQT1285" s="5"/>
      <c r="AQU1285" s="5"/>
      <c r="AQV1285" s="5"/>
      <c r="AQW1285" s="5"/>
      <c r="AQX1285" s="5"/>
      <c r="AQY1285" s="5"/>
      <c r="AQZ1285" s="5"/>
      <c r="ARA1285" s="5"/>
      <c r="ARB1285" s="5"/>
      <c r="ARC1285" s="5"/>
      <c r="ARD1285" s="5"/>
      <c r="ARE1285" s="5"/>
      <c r="ARF1285" s="5"/>
      <c r="ARG1285" s="5"/>
      <c r="ARH1285" s="5"/>
      <c r="ARI1285" s="5"/>
      <c r="ARJ1285" s="5"/>
      <c r="ARK1285" s="5"/>
      <c r="ARL1285" s="5"/>
      <c r="ARM1285" s="5"/>
      <c r="ARN1285" s="5"/>
      <c r="ARO1285" s="5"/>
      <c r="ARP1285" s="5"/>
      <c r="ARQ1285" s="5"/>
      <c r="ARR1285" s="5"/>
      <c r="ARS1285" s="5"/>
      <c r="ART1285" s="5"/>
      <c r="ARU1285" s="5"/>
      <c r="ARV1285" s="5"/>
      <c r="ARW1285" s="5"/>
      <c r="ARX1285" s="5"/>
      <c r="ARY1285" s="5"/>
      <c r="ARZ1285" s="5"/>
      <c r="ASA1285" s="5"/>
      <c r="ASB1285" s="5"/>
      <c r="ASC1285" s="5"/>
      <c r="ASD1285" s="5"/>
      <c r="ASE1285" s="5"/>
      <c r="ASF1285" s="5"/>
      <c r="ASG1285" s="5"/>
      <c r="ASH1285" s="5"/>
      <c r="ASI1285" s="5"/>
      <c r="ASJ1285" s="5"/>
      <c r="ASK1285" s="5"/>
      <c r="ASL1285" s="5"/>
      <c r="ASM1285" s="5"/>
      <c r="ASN1285" s="5"/>
      <c r="ASO1285" s="5"/>
      <c r="ASP1285" s="5"/>
      <c r="ASQ1285" s="5"/>
      <c r="ASR1285" s="5"/>
      <c r="ASS1285" s="5"/>
      <c r="AST1285" s="5"/>
      <c r="ASU1285" s="5"/>
      <c r="ASV1285" s="5"/>
      <c r="ASW1285" s="5"/>
      <c r="ASX1285" s="5"/>
      <c r="ASY1285" s="5"/>
      <c r="ASZ1285" s="5"/>
      <c r="ATA1285" s="5"/>
      <c r="ATB1285" s="5"/>
      <c r="ATC1285" s="5"/>
      <c r="ATD1285" s="5"/>
      <c r="ATE1285" s="5"/>
      <c r="ATF1285" s="5"/>
      <c r="ATG1285" s="5"/>
      <c r="ATH1285" s="5"/>
      <c r="ATI1285" s="5"/>
      <c r="ATJ1285" s="5"/>
      <c r="ATK1285" s="5"/>
      <c r="ATL1285" s="5"/>
      <c r="ATM1285" s="5"/>
      <c r="ATN1285" s="5"/>
      <c r="ATO1285" s="5"/>
      <c r="ATP1285" s="5"/>
      <c r="ATQ1285" s="5"/>
      <c r="ATR1285" s="5"/>
      <c r="ATS1285" s="5"/>
      <c r="ATT1285" s="5"/>
      <c r="ATU1285" s="5"/>
      <c r="ATV1285" s="5"/>
      <c r="ATW1285" s="5"/>
      <c r="ATX1285" s="5"/>
    </row>
    <row r="1286" spans="1:1220" s="197" customFormat="1" ht="12.75" customHeight="1" x14ac:dyDescent="0.35">
      <c r="A1286" s="76" t="s">
        <v>242</v>
      </c>
      <c r="B1286" s="99" t="s">
        <v>109</v>
      </c>
      <c r="C1286" s="76" t="s">
        <v>3691</v>
      </c>
      <c r="D1286" s="142"/>
      <c r="E1286" s="76"/>
      <c r="F1286" s="5"/>
      <c r="G1286" s="5"/>
      <c r="H1286" s="5"/>
      <c r="I1286" s="5"/>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c r="DE1286" s="5"/>
      <c r="DF1286" s="5"/>
      <c r="DG1286" s="5"/>
      <c r="DH1286" s="5"/>
      <c r="DI1286" s="5"/>
      <c r="DJ1286" s="5"/>
      <c r="DK1286" s="5"/>
      <c r="DL1286" s="5"/>
      <c r="DM1286" s="5"/>
      <c r="DN1286" s="5"/>
      <c r="DO1286" s="5"/>
      <c r="DP1286" s="5"/>
      <c r="DQ1286" s="5"/>
      <c r="DR1286" s="5"/>
      <c r="DS1286" s="5"/>
      <c r="DT1286" s="5"/>
      <c r="DU1286" s="5"/>
      <c r="DV1286" s="5"/>
      <c r="DW1286" s="5"/>
      <c r="DX1286" s="5"/>
      <c r="DY1286" s="5"/>
      <c r="DZ1286" s="5"/>
      <c r="EA1286" s="5"/>
      <c r="EB1286" s="5"/>
      <c r="EC1286" s="5"/>
      <c r="ED1286" s="5"/>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s="5"/>
      <c r="FG1286" s="5"/>
      <c r="FH1286" s="5"/>
      <c r="FI1286" s="5"/>
      <c r="FJ1286" s="5"/>
      <c r="FK1286" s="5"/>
      <c r="FL1286" s="5"/>
      <c r="FM1286" s="5"/>
      <c r="FN1286" s="5"/>
      <c r="FO1286" s="5"/>
      <c r="FP1286" s="5"/>
      <c r="FQ1286" s="5"/>
      <c r="FR1286" s="5"/>
      <c r="FS1286" s="5"/>
      <c r="FT1286" s="5"/>
      <c r="FU1286" s="5"/>
      <c r="FV1286" s="5"/>
      <c r="FW1286" s="5"/>
      <c r="FX1286" s="5"/>
      <c r="FY1286" s="5"/>
      <c r="FZ1286" s="5"/>
      <c r="GA1286" s="5"/>
      <c r="GB1286" s="5"/>
      <c r="GC1286" s="5"/>
      <c r="GD1286" s="5"/>
      <c r="GE1286" s="5"/>
      <c r="GF1286" s="5"/>
      <c r="GG1286" s="5"/>
      <c r="GH1286" s="5"/>
      <c r="GI1286" s="5"/>
      <c r="GJ1286" s="5"/>
      <c r="GK1286" s="5"/>
      <c r="GL1286" s="5"/>
      <c r="GM1286" s="5"/>
      <c r="GN1286" s="5"/>
      <c r="GO1286" s="5"/>
      <c r="GP1286" s="5"/>
      <c r="GQ1286" s="5"/>
      <c r="GR1286" s="5"/>
      <c r="GS1286" s="5"/>
      <c r="GT1286" s="5"/>
      <c r="GU1286" s="5"/>
      <c r="GV1286" s="5"/>
      <c r="GW1286" s="5"/>
      <c r="GX1286" s="5"/>
      <c r="GY1286" s="5"/>
      <c r="GZ1286" s="5"/>
      <c r="HA1286" s="5"/>
      <c r="HB1286" s="5"/>
      <c r="HC1286" s="5"/>
      <c r="HD1286" s="5"/>
      <c r="HE1286" s="5"/>
      <c r="HF1286" s="5"/>
      <c r="HG1286" s="5"/>
      <c r="HH1286" s="5"/>
      <c r="HI1286" s="5"/>
      <c r="HJ1286" s="5"/>
      <c r="HK1286" s="5"/>
      <c r="HL1286" s="5"/>
      <c r="HM1286" s="5"/>
      <c r="HN1286" s="5"/>
      <c r="HO1286" s="5"/>
      <c r="HP1286" s="5"/>
      <c r="HQ1286" s="5"/>
      <c r="HR1286" s="5"/>
      <c r="HS1286" s="5"/>
      <c r="HT1286" s="5"/>
      <c r="HU1286" s="5"/>
      <c r="HV1286" s="5"/>
      <c r="HW1286" s="5"/>
      <c r="HX1286" s="5"/>
      <c r="HY1286" s="5"/>
      <c r="HZ1286" s="5"/>
      <c r="IA1286" s="5"/>
      <c r="IB1286" s="5"/>
      <c r="IC1286" s="5"/>
      <c r="ID1286" s="5"/>
      <c r="IE1286" s="5"/>
      <c r="IF1286" s="5"/>
      <c r="IG1286" s="5"/>
      <c r="IH1286" s="5"/>
      <c r="II1286" s="5"/>
      <c r="IJ1286" s="5"/>
      <c r="IK1286" s="5"/>
      <c r="IL1286" s="5"/>
      <c r="IM1286" s="5"/>
      <c r="IN1286" s="5"/>
      <c r="IO1286" s="5"/>
      <c r="IP1286" s="5"/>
      <c r="IQ1286" s="5"/>
      <c r="IR1286" s="5"/>
      <c r="IS1286" s="5"/>
      <c r="IT1286" s="5"/>
      <c r="IU1286" s="5"/>
      <c r="IV1286" s="5"/>
      <c r="IW1286" s="5"/>
      <c r="IX1286" s="5"/>
      <c r="IY1286" s="5"/>
      <c r="IZ1286" s="5"/>
      <c r="JA1286" s="5"/>
      <c r="JB1286" s="5"/>
      <c r="JC1286" s="5"/>
      <c r="JD1286" s="5"/>
      <c r="JE1286" s="5"/>
      <c r="JF1286" s="5"/>
      <c r="JG1286" s="5"/>
      <c r="JH1286" s="5"/>
      <c r="JI1286" s="5"/>
      <c r="JJ1286" s="5"/>
      <c r="JK1286" s="5"/>
      <c r="JL1286" s="5"/>
      <c r="JM1286" s="5"/>
      <c r="JN1286" s="5"/>
      <c r="JO1286" s="5"/>
      <c r="JP1286" s="5"/>
      <c r="JQ1286" s="5"/>
      <c r="JR1286" s="5"/>
      <c r="JS1286" s="5"/>
      <c r="JT1286" s="5"/>
      <c r="JU1286" s="5"/>
      <c r="JV1286" s="5"/>
      <c r="JW1286" s="5"/>
      <c r="JX1286" s="5"/>
      <c r="JY1286" s="5"/>
      <c r="JZ1286" s="5"/>
      <c r="KA1286" s="5"/>
      <c r="KB1286" s="5"/>
      <c r="KC1286" s="5"/>
      <c r="KD1286" s="5"/>
      <c r="KE1286" s="5"/>
      <c r="KF1286" s="5"/>
      <c r="KG1286" s="5"/>
      <c r="KH1286" s="5"/>
      <c r="KI1286" s="5"/>
      <c r="KJ1286" s="5"/>
      <c r="KK1286" s="5"/>
      <c r="KL1286" s="5"/>
      <c r="KM1286" s="5"/>
      <c r="KN1286" s="5"/>
      <c r="KO1286" s="5"/>
      <c r="KP1286" s="5"/>
      <c r="KQ1286" s="5"/>
      <c r="KR1286" s="5"/>
      <c r="KS1286" s="5"/>
      <c r="KT1286" s="5"/>
      <c r="KU1286" s="5"/>
      <c r="KV1286" s="5"/>
      <c r="KW1286" s="5"/>
      <c r="KX1286" s="5"/>
      <c r="KY1286" s="5"/>
      <c r="KZ1286" s="5"/>
      <c r="LA1286" s="5"/>
      <c r="LB1286" s="5"/>
      <c r="LC1286" s="5"/>
      <c r="LD1286" s="5"/>
      <c r="LE1286" s="5"/>
      <c r="LF1286" s="5"/>
      <c r="LG1286" s="5"/>
      <c r="LH1286" s="5"/>
      <c r="LI1286" s="5"/>
      <c r="LJ1286" s="5"/>
      <c r="LK1286" s="5"/>
      <c r="LL1286" s="5"/>
      <c r="LM1286" s="5"/>
      <c r="LN1286" s="5"/>
      <c r="LO1286" s="5"/>
      <c r="LP1286" s="5"/>
      <c r="LQ1286" s="5"/>
      <c r="LR1286" s="5"/>
      <c r="LS1286" s="5"/>
      <c r="LT1286" s="5"/>
      <c r="LU1286" s="5"/>
      <c r="LV1286" s="5"/>
      <c r="LW1286" s="5"/>
      <c r="LX1286" s="5"/>
      <c r="LY1286" s="5"/>
      <c r="LZ1286" s="5"/>
      <c r="MA1286" s="5"/>
      <c r="MB1286" s="5"/>
      <c r="MC1286" s="5"/>
      <c r="MD1286" s="5"/>
      <c r="ME1286" s="5"/>
      <c r="MF1286" s="5"/>
      <c r="MG1286" s="5"/>
      <c r="MH1286" s="5"/>
      <c r="MI1286" s="5"/>
      <c r="MJ1286" s="5"/>
      <c r="MK1286" s="5"/>
      <c r="ML1286" s="5"/>
      <c r="MM1286" s="5"/>
      <c r="MN1286" s="5"/>
      <c r="MO1286" s="5"/>
      <c r="MP1286" s="5"/>
      <c r="MQ1286" s="5"/>
      <c r="MR1286" s="5"/>
      <c r="MS1286" s="5"/>
      <c r="MT1286" s="5"/>
      <c r="MU1286" s="5"/>
      <c r="MV1286" s="5"/>
      <c r="MW1286" s="5"/>
      <c r="MX1286" s="5"/>
      <c r="MY1286" s="5"/>
      <c r="MZ1286" s="5"/>
      <c r="NA1286" s="5"/>
      <c r="NB1286" s="5"/>
      <c r="NC1286" s="5"/>
      <c r="ND1286" s="5"/>
      <c r="NE1286" s="5"/>
      <c r="NF1286" s="5"/>
      <c r="NG1286" s="5"/>
      <c r="NH1286" s="5"/>
      <c r="NI1286" s="5"/>
      <c r="NJ1286" s="5"/>
      <c r="NK1286" s="5"/>
      <c r="NL1286" s="5"/>
      <c r="NM1286" s="5"/>
      <c r="NN1286" s="5"/>
      <c r="NO1286" s="5"/>
      <c r="NP1286" s="5"/>
      <c r="NQ1286" s="5"/>
      <c r="NR1286" s="5"/>
      <c r="NS1286" s="5"/>
      <c r="NT1286" s="5"/>
      <c r="NU1286" s="5"/>
      <c r="NV1286" s="5"/>
      <c r="NW1286" s="5"/>
      <c r="NX1286" s="5"/>
      <c r="NY1286" s="5"/>
      <c r="NZ1286" s="5"/>
      <c r="OA1286" s="5"/>
      <c r="OB1286" s="5"/>
      <c r="OC1286" s="5"/>
      <c r="OD1286" s="5"/>
      <c r="OE1286" s="5"/>
      <c r="OF1286" s="5"/>
      <c r="OG1286" s="5"/>
      <c r="OH1286" s="5"/>
      <c r="OI1286" s="5"/>
      <c r="OJ1286" s="5"/>
      <c r="OK1286" s="5"/>
      <c r="OL1286" s="5"/>
      <c r="OM1286" s="5"/>
      <c r="ON1286" s="5"/>
      <c r="OO1286" s="5"/>
      <c r="OP1286" s="5"/>
      <c r="OQ1286" s="5"/>
      <c r="OR1286" s="5"/>
      <c r="OS1286" s="5"/>
      <c r="OT1286" s="5"/>
      <c r="OU1286" s="5"/>
      <c r="OV1286" s="5"/>
      <c r="OW1286" s="5"/>
      <c r="OX1286" s="5"/>
      <c r="OY1286" s="5"/>
      <c r="OZ1286" s="5"/>
      <c r="PA1286" s="5"/>
      <c r="PB1286" s="5"/>
      <c r="PC1286" s="5"/>
      <c r="PD1286" s="5"/>
      <c r="PE1286" s="5"/>
      <c r="PF1286" s="5"/>
      <c r="PG1286" s="5"/>
      <c r="PH1286" s="5"/>
      <c r="PI1286" s="5"/>
      <c r="PJ1286" s="5"/>
      <c r="PK1286" s="5"/>
      <c r="PL1286" s="5"/>
      <c r="PM1286" s="5"/>
      <c r="PN1286" s="5"/>
      <c r="PO1286" s="5"/>
      <c r="PP1286" s="5"/>
      <c r="PQ1286" s="5"/>
      <c r="PR1286" s="5"/>
      <c r="PS1286" s="5"/>
      <c r="PT1286" s="5"/>
      <c r="PU1286" s="5"/>
      <c r="PV1286" s="5"/>
      <c r="PW1286" s="5"/>
      <c r="PX1286" s="5"/>
      <c r="PY1286" s="5"/>
      <c r="PZ1286" s="5"/>
      <c r="QA1286" s="5"/>
      <c r="QB1286" s="5"/>
      <c r="QC1286" s="5"/>
      <c r="QD1286" s="5"/>
      <c r="QE1286" s="5"/>
      <c r="QF1286" s="5"/>
      <c r="QG1286" s="5"/>
      <c r="QH1286" s="5"/>
      <c r="QI1286" s="5"/>
      <c r="QJ1286" s="5"/>
      <c r="QK1286" s="5"/>
      <c r="QL1286" s="5"/>
      <c r="QM1286" s="5"/>
      <c r="QN1286" s="5"/>
      <c r="QO1286" s="5"/>
      <c r="QP1286" s="5"/>
      <c r="QQ1286" s="5"/>
      <c r="QR1286" s="5"/>
      <c r="QS1286" s="5"/>
      <c r="QT1286" s="5"/>
      <c r="QU1286" s="5"/>
      <c r="QV1286" s="5"/>
      <c r="QW1286" s="5"/>
      <c r="QX1286" s="5"/>
      <c r="QY1286" s="5"/>
      <c r="QZ1286" s="5"/>
      <c r="RA1286" s="5"/>
      <c r="RB1286" s="5"/>
      <c r="RC1286" s="5"/>
      <c r="RD1286" s="5"/>
      <c r="RE1286" s="5"/>
      <c r="RF1286" s="5"/>
      <c r="RG1286" s="5"/>
      <c r="RH1286" s="5"/>
      <c r="RI1286" s="5"/>
      <c r="RJ1286" s="5"/>
      <c r="RK1286" s="5"/>
      <c r="RL1286" s="5"/>
      <c r="RM1286" s="5"/>
      <c r="RN1286" s="5"/>
      <c r="RO1286" s="5"/>
      <c r="RP1286" s="5"/>
      <c r="RQ1286" s="5"/>
      <c r="RR1286" s="5"/>
      <c r="RS1286" s="5"/>
      <c r="RT1286" s="5"/>
      <c r="RU1286" s="5"/>
      <c r="RV1286" s="5"/>
      <c r="RW1286" s="5"/>
      <c r="RX1286" s="5"/>
      <c r="RY1286" s="5"/>
      <c r="RZ1286" s="5"/>
      <c r="SA1286" s="5"/>
      <c r="SB1286" s="5"/>
      <c r="SC1286" s="5"/>
      <c r="SD1286" s="5"/>
      <c r="SE1286" s="5"/>
      <c r="SF1286" s="5"/>
      <c r="SG1286" s="5"/>
      <c r="SH1286" s="5"/>
      <c r="SI1286" s="5"/>
      <c r="SJ1286" s="5"/>
      <c r="SK1286" s="5"/>
      <c r="SL1286" s="5"/>
      <c r="SM1286" s="5"/>
      <c r="SN1286" s="5"/>
      <c r="SO1286" s="5"/>
      <c r="SP1286" s="5"/>
      <c r="SQ1286" s="5"/>
      <c r="SR1286" s="5"/>
      <c r="SS1286" s="5"/>
      <c r="ST1286" s="5"/>
      <c r="SU1286" s="5"/>
      <c r="SV1286" s="5"/>
      <c r="SW1286" s="5"/>
      <c r="SX1286" s="5"/>
      <c r="SY1286" s="5"/>
      <c r="SZ1286" s="5"/>
      <c r="TA1286" s="5"/>
      <c r="TB1286" s="5"/>
      <c r="TC1286" s="5"/>
      <c r="TD1286" s="5"/>
      <c r="TE1286" s="5"/>
      <c r="TF1286" s="5"/>
      <c r="TG1286" s="5"/>
      <c r="TH1286" s="5"/>
      <c r="TI1286" s="5"/>
      <c r="TJ1286" s="5"/>
      <c r="TK1286" s="5"/>
      <c r="TL1286" s="5"/>
      <c r="TM1286" s="5"/>
      <c r="TN1286" s="5"/>
      <c r="TO1286" s="5"/>
      <c r="TP1286" s="5"/>
      <c r="TQ1286" s="5"/>
      <c r="TR1286" s="5"/>
      <c r="TS1286" s="5"/>
      <c r="TT1286" s="5"/>
      <c r="TU1286" s="5"/>
      <c r="TV1286" s="5"/>
      <c r="TW1286" s="5"/>
      <c r="TX1286" s="5"/>
      <c r="TY1286" s="5"/>
      <c r="TZ1286" s="5"/>
      <c r="UA1286" s="5"/>
      <c r="UB1286" s="5"/>
      <c r="UC1286" s="5"/>
      <c r="UD1286" s="5"/>
      <c r="UE1286" s="5"/>
      <c r="UF1286" s="5"/>
      <c r="UG1286" s="5"/>
      <c r="UH1286" s="5"/>
      <c r="UI1286" s="5"/>
      <c r="UJ1286" s="5"/>
      <c r="UK1286" s="5"/>
      <c r="UL1286" s="5"/>
      <c r="UM1286" s="5"/>
      <c r="UN1286" s="5"/>
      <c r="UO1286" s="5"/>
      <c r="UP1286" s="5"/>
      <c r="UQ1286" s="5"/>
      <c r="UR1286" s="5"/>
      <c r="US1286" s="5"/>
      <c r="UT1286" s="5"/>
      <c r="UU1286" s="5"/>
      <c r="UV1286" s="5"/>
      <c r="UW1286" s="5"/>
      <c r="UX1286" s="5"/>
      <c r="UY1286" s="5"/>
      <c r="UZ1286" s="5"/>
      <c r="VA1286" s="5"/>
      <c r="VB1286" s="5"/>
      <c r="VC1286" s="5"/>
      <c r="VD1286" s="5"/>
      <c r="VE1286" s="5"/>
      <c r="VF1286" s="5"/>
      <c r="VG1286" s="5"/>
      <c r="VH1286" s="5"/>
      <c r="VI1286" s="5"/>
      <c r="VJ1286" s="5"/>
      <c r="VK1286" s="5"/>
      <c r="VL1286" s="5"/>
      <c r="VM1286" s="5"/>
      <c r="VN1286" s="5"/>
      <c r="VO1286" s="5"/>
      <c r="VP1286" s="5"/>
      <c r="VQ1286" s="5"/>
      <c r="VR1286" s="5"/>
      <c r="VS1286" s="5"/>
      <c r="VT1286" s="5"/>
      <c r="VU1286" s="5"/>
      <c r="VV1286" s="5"/>
      <c r="VW1286" s="5"/>
      <c r="VX1286" s="5"/>
      <c r="VY1286" s="5"/>
      <c r="VZ1286" s="5"/>
      <c r="WA1286" s="5"/>
      <c r="WB1286" s="5"/>
      <c r="WC1286" s="5"/>
      <c r="WD1286" s="5"/>
      <c r="WE1286" s="5"/>
      <c r="WF1286" s="5"/>
      <c r="WG1286" s="5"/>
      <c r="WH1286" s="5"/>
      <c r="WI1286" s="5"/>
      <c r="WJ1286" s="5"/>
      <c r="WK1286" s="5"/>
      <c r="WL1286" s="5"/>
      <c r="WM1286" s="5"/>
      <c r="WN1286" s="5"/>
      <c r="WO1286" s="5"/>
      <c r="WP1286" s="5"/>
      <c r="WQ1286" s="5"/>
      <c r="WR1286" s="5"/>
      <c r="WS1286" s="5"/>
      <c r="WT1286" s="5"/>
      <c r="WU1286" s="5"/>
      <c r="WV1286" s="5"/>
      <c r="WW1286" s="5"/>
      <c r="WX1286" s="5"/>
      <c r="WY1286" s="5"/>
      <c r="WZ1286" s="5"/>
      <c r="XA1286" s="5"/>
      <c r="XB1286" s="5"/>
      <c r="XC1286" s="5"/>
      <c r="XD1286" s="5"/>
      <c r="XE1286" s="5"/>
      <c r="XF1286" s="5"/>
      <c r="XG1286" s="5"/>
      <c r="XH1286" s="5"/>
      <c r="XI1286" s="5"/>
      <c r="XJ1286" s="5"/>
      <c r="XK1286" s="5"/>
      <c r="XL1286" s="5"/>
      <c r="XM1286" s="5"/>
      <c r="XN1286" s="5"/>
      <c r="XO1286" s="5"/>
      <c r="XP1286" s="5"/>
      <c r="XQ1286" s="5"/>
      <c r="XR1286" s="5"/>
      <c r="XS1286" s="5"/>
      <c r="XT1286" s="5"/>
      <c r="XU1286" s="5"/>
      <c r="XV1286" s="5"/>
      <c r="XW1286" s="5"/>
      <c r="XX1286" s="5"/>
      <c r="XY1286" s="5"/>
      <c r="XZ1286" s="5"/>
      <c r="YA1286" s="5"/>
      <c r="YB1286" s="5"/>
      <c r="YC1286" s="5"/>
      <c r="YD1286" s="5"/>
      <c r="YE1286" s="5"/>
      <c r="YF1286" s="5"/>
      <c r="YG1286" s="5"/>
      <c r="YH1286" s="5"/>
      <c r="YI1286" s="5"/>
      <c r="YJ1286" s="5"/>
      <c r="YK1286" s="5"/>
      <c r="YL1286" s="5"/>
      <c r="YM1286" s="5"/>
      <c r="YN1286" s="5"/>
      <c r="YO1286" s="5"/>
      <c r="YP1286" s="5"/>
      <c r="YQ1286" s="5"/>
      <c r="YR1286" s="5"/>
      <c r="YS1286" s="5"/>
      <c r="YT1286" s="5"/>
      <c r="YU1286" s="5"/>
      <c r="YV1286" s="5"/>
      <c r="YW1286" s="5"/>
      <c r="YX1286" s="5"/>
      <c r="YY1286" s="5"/>
      <c r="YZ1286" s="5"/>
      <c r="ZA1286" s="5"/>
      <c r="ZB1286" s="5"/>
      <c r="ZC1286" s="5"/>
      <c r="ZD1286" s="5"/>
      <c r="ZE1286" s="5"/>
      <c r="ZF1286" s="5"/>
      <c r="ZG1286" s="5"/>
      <c r="ZH1286" s="5"/>
      <c r="ZI1286" s="5"/>
      <c r="ZJ1286" s="5"/>
      <c r="ZK1286" s="5"/>
      <c r="ZL1286" s="5"/>
      <c r="ZM1286" s="5"/>
      <c r="ZN1286" s="5"/>
      <c r="ZO1286" s="5"/>
      <c r="ZP1286" s="5"/>
      <c r="ZQ1286" s="5"/>
      <c r="ZR1286" s="5"/>
      <c r="ZS1286" s="5"/>
      <c r="ZT1286" s="5"/>
      <c r="ZU1286" s="5"/>
      <c r="ZV1286" s="5"/>
      <c r="ZW1286" s="5"/>
      <c r="ZX1286" s="5"/>
      <c r="ZY1286" s="5"/>
      <c r="ZZ1286" s="5"/>
      <c r="AAA1286" s="5"/>
      <c r="AAB1286" s="5"/>
      <c r="AAC1286" s="5"/>
      <c r="AAD1286" s="5"/>
      <c r="AAE1286" s="5"/>
      <c r="AAF1286" s="5"/>
      <c r="AAG1286" s="5"/>
      <c r="AAH1286" s="5"/>
      <c r="AAI1286" s="5"/>
      <c r="AAJ1286" s="5"/>
      <c r="AAK1286" s="5"/>
      <c r="AAL1286" s="5"/>
      <c r="AAM1286" s="5"/>
      <c r="AAN1286" s="5"/>
      <c r="AAO1286" s="5"/>
      <c r="AAP1286" s="5"/>
      <c r="AAQ1286" s="5"/>
      <c r="AAR1286" s="5"/>
      <c r="AAS1286" s="5"/>
      <c r="AAT1286" s="5"/>
      <c r="AAU1286" s="5"/>
      <c r="AAV1286" s="5"/>
      <c r="AAW1286" s="5"/>
      <c r="AAX1286" s="5"/>
      <c r="AAY1286" s="5"/>
      <c r="AAZ1286" s="5"/>
      <c r="ABA1286" s="5"/>
      <c r="ABB1286" s="5"/>
      <c r="ABC1286" s="5"/>
      <c r="ABD1286" s="5"/>
      <c r="ABE1286" s="5"/>
      <c r="ABF1286" s="5"/>
      <c r="ABG1286" s="5"/>
      <c r="ABH1286" s="5"/>
      <c r="ABI1286" s="5"/>
      <c r="ABJ1286" s="5"/>
      <c r="ABK1286" s="5"/>
      <c r="ABL1286" s="5"/>
      <c r="ABM1286" s="5"/>
      <c r="ABN1286" s="5"/>
      <c r="ABO1286" s="5"/>
      <c r="ABP1286" s="5"/>
      <c r="ABQ1286" s="5"/>
      <c r="ABR1286" s="5"/>
      <c r="ABS1286" s="5"/>
      <c r="ABT1286" s="5"/>
      <c r="ABU1286" s="5"/>
      <c r="ABV1286" s="5"/>
      <c r="ABW1286" s="5"/>
      <c r="ABX1286" s="5"/>
      <c r="ABY1286" s="5"/>
      <c r="ABZ1286" s="5"/>
      <c r="ACA1286" s="5"/>
      <c r="ACB1286" s="5"/>
      <c r="ACC1286" s="5"/>
      <c r="ACD1286" s="5"/>
      <c r="ACE1286" s="5"/>
      <c r="ACF1286" s="5"/>
      <c r="ACG1286" s="5"/>
      <c r="ACH1286" s="5"/>
      <c r="ACI1286" s="5"/>
      <c r="ACJ1286" s="5"/>
      <c r="ACK1286" s="5"/>
      <c r="ACL1286" s="5"/>
      <c r="ACM1286" s="5"/>
      <c r="ACN1286" s="5"/>
      <c r="ACO1286" s="5"/>
      <c r="ACP1286" s="5"/>
      <c r="ACQ1286" s="5"/>
      <c r="ACR1286" s="5"/>
      <c r="ACS1286" s="5"/>
      <c r="ACT1286" s="5"/>
      <c r="ACU1286" s="5"/>
      <c r="ACV1286" s="5"/>
      <c r="ACW1286" s="5"/>
      <c r="ACX1286" s="5"/>
      <c r="ACY1286" s="5"/>
      <c r="ACZ1286" s="5"/>
      <c r="ADA1286" s="5"/>
      <c r="ADB1286" s="5"/>
      <c r="ADC1286" s="5"/>
      <c r="ADD1286" s="5"/>
      <c r="ADE1286" s="5"/>
      <c r="ADF1286" s="5"/>
      <c r="ADG1286" s="5"/>
      <c r="ADH1286" s="5"/>
      <c r="ADI1286" s="5"/>
      <c r="ADJ1286" s="5"/>
      <c r="ADK1286" s="5"/>
      <c r="ADL1286" s="5"/>
      <c r="ADM1286" s="5"/>
      <c r="ADN1286" s="5"/>
      <c r="ADO1286" s="5"/>
      <c r="ADP1286" s="5"/>
      <c r="ADQ1286" s="5"/>
      <c r="ADR1286" s="5"/>
      <c r="ADS1286" s="5"/>
      <c r="ADT1286" s="5"/>
      <c r="ADU1286" s="5"/>
      <c r="ADV1286" s="5"/>
      <c r="ADW1286" s="5"/>
      <c r="ADX1286" s="5"/>
      <c r="ADY1286" s="5"/>
      <c r="ADZ1286" s="5"/>
      <c r="AEA1286" s="5"/>
      <c r="AEB1286" s="5"/>
      <c r="AEC1286" s="5"/>
      <c r="AED1286" s="5"/>
      <c r="AEE1286" s="5"/>
      <c r="AEF1286" s="5"/>
      <c r="AEG1286" s="5"/>
      <c r="AEH1286" s="5"/>
      <c r="AEI1286" s="5"/>
      <c r="AEJ1286" s="5"/>
      <c r="AEK1286" s="5"/>
      <c r="AEL1286" s="5"/>
      <c r="AEM1286" s="5"/>
      <c r="AEN1286" s="5"/>
      <c r="AEO1286" s="5"/>
      <c r="AEP1286" s="5"/>
      <c r="AEQ1286" s="5"/>
      <c r="AER1286" s="5"/>
      <c r="AES1286" s="5"/>
      <c r="AET1286" s="5"/>
      <c r="AEU1286" s="5"/>
      <c r="AEV1286" s="5"/>
      <c r="AEW1286" s="5"/>
      <c r="AEX1286" s="5"/>
      <c r="AEY1286" s="5"/>
      <c r="AEZ1286" s="5"/>
      <c r="AFA1286" s="5"/>
      <c r="AFB1286" s="5"/>
      <c r="AFC1286" s="5"/>
      <c r="AFD1286" s="5"/>
      <c r="AFE1286" s="5"/>
      <c r="AFF1286" s="5"/>
      <c r="AFG1286" s="5"/>
      <c r="AFH1286" s="5"/>
      <c r="AFI1286" s="5"/>
      <c r="AFJ1286" s="5"/>
      <c r="AFK1286" s="5"/>
      <c r="AFL1286" s="5"/>
      <c r="AFM1286" s="5"/>
      <c r="AFN1286" s="5"/>
      <c r="AFO1286" s="5"/>
      <c r="AFP1286" s="5"/>
      <c r="AFQ1286" s="5"/>
      <c r="AFR1286" s="5"/>
      <c r="AFS1286" s="5"/>
      <c r="AFT1286" s="5"/>
      <c r="AFU1286" s="5"/>
      <c r="AFV1286" s="5"/>
      <c r="AFW1286" s="5"/>
      <c r="AFX1286" s="5"/>
      <c r="AFY1286" s="5"/>
      <c r="AFZ1286" s="5"/>
      <c r="AGA1286" s="5"/>
      <c r="AGB1286" s="5"/>
      <c r="AGC1286" s="5"/>
      <c r="AGD1286" s="5"/>
      <c r="AGE1286" s="5"/>
      <c r="AGF1286" s="5"/>
      <c r="AGG1286" s="5"/>
      <c r="AGH1286" s="5"/>
      <c r="AGI1286" s="5"/>
      <c r="AGJ1286" s="5"/>
      <c r="AGK1286" s="5"/>
      <c r="AGL1286" s="5"/>
      <c r="AGM1286" s="5"/>
      <c r="AGN1286" s="5"/>
      <c r="AGO1286" s="5"/>
      <c r="AGP1286" s="5"/>
      <c r="AGQ1286" s="5"/>
      <c r="AGR1286" s="5"/>
      <c r="AGS1286" s="5"/>
      <c r="AGT1286" s="5"/>
      <c r="AGU1286" s="5"/>
      <c r="AGV1286" s="5"/>
      <c r="AGW1286" s="5"/>
      <c r="AGX1286" s="5"/>
      <c r="AGY1286" s="5"/>
      <c r="AGZ1286" s="5"/>
      <c r="AHA1286" s="5"/>
      <c r="AHB1286" s="5"/>
      <c r="AHC1286" s="5"/>
      <c r="AHD1286" s="5"/>
      <c r="AHE1286" s="5"/>
      <c r="AHF1286" s="5"/>
      <c r="AHG1286" s="5"/>
      <c r="AHH1286" s="5"/>
      <c r="AHI1286" s="5"/>
      <c r="AHJ1286" s="5"/>
      <c r="AHK1286" s="5"/>
      <c r="AHL1286" s="5"/>
      <c r="AHM1286" s="5"/>
      <c r="AHN1286" s="5"/>
      <c r="AHO1286" s="5"/>
      <c r="AHP1286" s="5"/>
      <c r="AHQ1286" s="5"/>
      <c r="AHR1286" s="5"/>
      <c r="AHS1286" s="5"/>
      <c r="AHT1286" s="5"/>
      <c r="AHU1286" s="5"/>
      <c r="AHV1286" s="5"/>
      <c r="AHW1286" s="5"/>
      <c r="AHX1286" s="5"/>
      <c r="AHY1286" s="5"/>
      <c r="AHZ1286" s="5"/>
      <c r="AIA1286" s="5"/>
      <c r="AIB1286" s="5"/>
      <c r="AIC1286" s="5"/>
      <c r="AID1286" s="5"/>
      <c r="AIE1286" s="5"/>
      <c r="AIF1286" s="5"/>
      <c r="AIG1286" s="5"/>
      <c r="AIH1286" s="5"/>
      <c r="AII1286" s="5"/>
      <c r="AIJ1286" s="5"/>
      <c r="AIK1286" s="5"/>
      <c r="AIL1286" s="5"/>
      <c r="AIM1286" s="5"/>
      <c r="AIN1286" s="5"/>
      <c r="AIO1286" s="5"/>
      <c r="AIP1286" s="5"/>
      <c r="AIQ1286" s="5"/>
      <c r="AIR1286" s="5"/>
      <c r="AIS1286" s="5"/>
      <c r="AIT1286" s="5"/>
      <c r="AIU1286" s="5"/>
      <c r="AIV1286" s="5"/>
      <c r="AIW1286" s="5"/>
      <c r="AIX1286" s="5"/>
      <c r="AIY1286" s="5"/>
      <c r="AIZ1286" s="5"/>
      <c r="AJA1286" s="5"/>
      <c r="AJB1286" s="5"/>
      <c r="AJC1286" s="5"/>
      <c r="AJD1286" s="5"/>
      <c r="AJE1286" s="5"/>
      <c r="AJF1286" s="5"/>
      <c r="AJG1286" s="5"/>
      <c r="AJH1286" s="5"/>
      <c r="AJI1286" s="5"/>
      <c r="AJJ1286" s="5"/>
      <c r="AJK1286" s="5"/>
      <c r="AJL1286" s="5"/>
      <c r="AJM1286" s="5"/>
      <c r="AJN1286" s="5"/>
      <c r="AJO1286" s="5"/>
      <c r="AJP1286" s="5"/>
      <c r="AJQ1286" s="5"/>
      <c r="AJR1286" s="5"/>
      <c r="AJS1286" s="5"/>
      <c r="AJT1286" s="5"/>
      <c r="AJU1286" s="5"/>
      <c r="AJV1286" s="5"/>
      <c r="AJW1286" s="5"/>
      <c r="AJX1286" s="5"/>
      <c r="AJY1286" s="5"/>
      <c r="AJZ1286" s="5"/>
      <c r="AKA1286" s="5"/>
      <c r="AKB1286" s="5"/>
      <c r="AKC1286" s="5"/>
      <c r="AKD1286" s="5"/>
      <c r="AKE1286" s="5"/>
      <c r="AKF1286" s="5"/>
      <c r="AKG1286" s="5"/>
      <c r="AKH1286" s="5"/>
      <c r="AKI1286" s="5"/>
      <c r="AKJ1286" s="5"/>
      <c r="AKK1286" s="5"/>
      <c r="AKL1286" s="5"/>
      <c r="AKM1286" s="5"/>
      <c r="AKN1286" s="5"/>
      <c r="AKO1286" s="5"/>
      <c r="AKP1286" s="5"/>
      <c r="AKQ1286" s="5"/>
      <c r="AKR1286" s="5"/>
      <c r="AKS1286" s="5"/>
      <c r="AKT1286" s="5"/>
      <c r="AKU1286" s="5"/>
      <c r="AKV1286" s="5"/>
      <c r="AKW1286" s="5"/>
      <c r="AKX1286" s="5"/>
      <c r="AKY1286" s="5"/>
      <c r="AKZ1286" s="5"/>
      <c r="ALA1286" s="5"/>
      <c r="ALB1286" s="5"/>
      <c r="ALC1286" s="5"/>
      <c r="ALD1286" s="5"/>
      <c r="ALE1286" s="5"/>
      <c r="ALF1286" s="5"/>
      <c r="ALG1286" s="5"/>
      <c r="ALH1286" s="5"/>
      <c r="ALI1286" s="5"/>
      <c r="ALJ1286" s="5"/>
      <c r="ALK1286" s="5"/>
      <c r="ALL1286" s="5"/>
      <c r="ALM1286" s="5"/>
      <c r="ALN1286" s="5"/>
      <c r="ALO1286" s="5"/>
      <c r="ALP1286" s="5"/>
      <c r="ALQ1286" s="5"/>
      <c r="ALR1286" s="5"/>
      <c r="ALS1286" s="5"/>
      <c r="ALT1286" s="5"/>
      <c r="ALU1286" s="5"/>
      <c r="ALV1286" s="5"/>
      <c r="ALW1286" s="5"/>
      <c r="ALX1286" s="5"/>
      <c r="ALY1286" s="5"/>
      <c r="ALZ1286" s="5"/>
      <c r="AMA1286" s="5"/>
      <c r="AMB1286" s="5"/>
      <c r="AMC1286" s="5"/>
      <c r="AMD1286" s="5"/>
      <c r="AME1286" s="5"/>
      <c r="AMF1286" s="5"/>
      <c r="AMG1286" s="5"/>
      <c r="AMH1286" s="5"/>
      <c r="AMI1286" s="5"/>
      <c r="AMJ1286" s="5"/>
      <c r="AMK1286" s="5"/>
      <c r="AML1286" s="5"/>
      <c r="AMM1286" s="5"/>
      <c r="AMN1286" s="5"/>
      <c r="AMO1286" s="5"/>
      <c r="AMP1286" s="5"/>
      <c r="AMQ1286" s="5"/>
      <c r="AMR1286" s="5"/>
      <c r="AMS1286" s="5"/>
      <c r="AMT1286" s="5"/>
      <c r="AMU1286" s="5"/>
      <c r="AMV1286" s="5"/>
      <c r="AMW1286" s="5"/>
      <c r="AMX1286" s="5"/>
      <c r="AMY1286" s="5"/>
      <c r="AMZ1286" s="5"/>
      <c r="ANA1286" s="5"/>
      <c r="ANB1286" s="5"/>
      <c r="ANC1286" s="5"/>
      <c r="AND1286" s="5"/>
      <c r="ANE1286" s="5"/>
      <c r="ANF1286" s="5"/>
      <c r="ANG1286" s="5"/>
      <c r="ANH1286" s="5"/>
      <c r="ANI1286" s="5"/>
      <c r="ANJ1286" s="5"/>
      <c r="ANK1286" s="5"/>
      <c r="ANL1286" s="5"/>
      <c r="ANM1286" s="5"/>
      <c r="ANN1286" s="5"/>
      <c r="ANO1286" s="5"/>
      <c r="ANP1286" s="5"/>
      <c r="ANQ1286" s="5"/>
      <c r="ANR1286" s="5"/>
      <c r="ANS1286" s="5"/>
      <c r="ANT1286" s="5"/>
      <c r="ANU1286" s="5"/>
      <c r="ANV1286" s="5"/>
      <c r="ANW1286" s="5"/>
      <c r="ANX1286" s="5"/>
      <c r="ANY1286" s="5"/>
      <c r="ANZ1286" s="5"/>
      <c r="AOA1286" s="5"/>
      <c r="AOB1286" s="5"/>
      <c r="AOC1286" s="5"/>
      <c r="AOD1286" s="5"/>
      <c r="AOE1286" s="5"/>
      <c r="AOF1286" s="5"/>
      <c r="AOG1286" s="5"/>
      <c r="AOH1286" s="5"/>
      <c r="AOI1286" s="5"/>
      <c r="AOJ1286" s="5"/>
      <c r="AOK1286" s="5"/>
      <c r="AOL1286" s="5"/>
      <c r="AOM1286" s="5"/>
      <c r="AON1286" s="5"/>
      <c r="AOO1286" s="5"/>
      <c r="AOP1286" s="5"/>
      <c r="AOQ1286" s="5"/>
      <c r="AOR1286" s="5"/>
      <c r="AOS1286" s="5"/>
      <c r="AOT1286" s="5"/>
      <c r="AOU1286" s="5"/>
      <c r="AOV1286" s="5"/>
      <c r="AOW1286" s="5"/>
      <c r="AOX1286" s="5"/>
      <c r="AOY1286" s="5"/>
      <c r="AOZ1286" s="5"/>
      <c r="APA1286" s="5"/>
      <c r="APB1286" s="5"/>
      <c r="APC1286" s="5"/>
      <c r="APD1286" s="5"/>
      <c r="APE1286" s="5"/>
      <c r="APF1286" s="5"/>
      <c r="APG1286" s="5"/>
      <c r="APH1286" s="5"/>
      <c r="API1286" s="5"/>
      <c r="APJ1286" s="5"/>
      <c r="APK1286" s="5"/>
      <c r="APL1286" s="5"/>
      <c r="APM1286" s="5"/>
      <c r="APN1286" s="5"/>
      <c r="APO1286" s="5"/>
      <c r="APP1286" s="5"/>
      <c r="APQ1286" s="5"/>
      <c r="APR1286" s="5"/>
      <c r="APS1286" s="5"/>
      <c r="APT1286" s="5"/>
      <c r="APU1286" s="5"/>
      <c r="APV1286" s="5"/>
      <c r="APW1286" s="5"/>
      <c r="APX1286" s="5"/>
      <c r="APY1286" s="5"/>
      <c r="APZ1286" s="5"/>
      <c r="AQA1286" s="5"/>
      <c r="AQB1286" s="5"/>
      <c r="AQC1286" s="5"/>
      <c r="AQD1286" s="5"/>
      <c r="AQE1286" s="5"/>
      <c r="AQF1286" s="5"/>
      <c r="AQG1286" s="5"/>
      <c r="AQH1286" s="5"/>
      <c r="AQI1286" s="5"/>
      <c r="AQJ1286" s="5"/>
      <c r="AQK1286" s="5"/>
      <c r="AQL1286" s="5"/>
      <c r="AQM1286" s="5"/>
      <c r="AQN1286" s="5"/>
      <c r="AQO1286" s="5"/>
      <c r="AQP1286" s="5"/>
      <c r="AQQ1286" s="5"/>
      <c r="AQR1286" s="5"/>
      <c r="AQS1286" s="5"/>
      <c r="AQT1286" s="5"/>
      <c r="AQU1286" s="5"/>
      <c r="AQV1286" s="5"/>
      <c r="AQW1286" s="5"/>
      <c r="AQX1286" s="5"/>
      <c r="AQY1286" s="5"/>
      <c r="AQZ1286" s="5"/>
      <c r="ARA1286" s="5"/>
      <c r="ARB1286" s="5"/>
      <c r="ARC1286" s="5"/>
      <c r="ARD1286" s="5"/>
      <c r="ARE1286" s="5"/>
      <c r="ARF1286" s="5"/>
      <c r="ARG1286" s="5"/>
      <c r="ARH1286" s="5"/>
      <c r="ARI1286" s="5"/>
      <c r="ARJ1286" s="5"/>
      <c r="ARK1286" s="5"/>
      <c r="ARL1286" s="5"/>
      <c r="ARM1286" s="5"/>
      <c r="ARN1286" s="5"/>
      <c r="ARO1286" s="5"/>
      <c r="ARP1286" s="5"/>
      <c r="ARQ1286" s="5"/>
      <c r="ARR1286" s="5"/>
      <c r="ARS1286" s="5"/>
      <c r="ART1286" s="5"/>
      <c r="ARU1286" s="5"/>
      <c r="ARV1286" s="5"/>
      <c r="ARW1286" s="5"/>
      <c r="ARX1286" s="5"/>
      <c r="ARY1286" s="5"/>
      <c r="ARZ1286" s="5"/>
      <c r="ASA1286" s="5"/>
      <c r="ASB1286" s="5"/>
      <c r="ASC1286" s="5"/>
      <c r="ASD1286" s="5"/>
      <c r="ASE1286" s="5"/>
      <c r="ASF1286" s="5"/>
      <c r="ASG1286" s="5"/>
      <c r="ASH1286" s="5"/>
      <c r="ASI1286" s="5"/>
      <c r="ASJ1286" s="5"/>
      <c r="ASK1286" s="5"/>
      <c r="ASL1286" s="5"/>
      <c r="ASM1286" s="5"/>
      <c r="ASN1286" s="5"/>
      <c r="ASO1286" s="5"/>
      <c r="ASP1286" s="5"/>
      <c r="ASQ1286" s="5"/>
      <c r="ASR1286" s="5"/>
      <c r="ASS1286" s="5"/>
      <c r="AST1286" s="5"/>
      <c r="ASU1286" s="5"/>
      <c r="ASV1286" s="5"/>
      <c r="ASW1286" s="5"/>
      <c r="ASX1286" s="5"/>
      <c r="ASY1286" s="5"/>
      <c r="ASZ1286" s="5"/>
      <c r="ATA1286" s="5"/>
      <c r="ATB1286" s="5"/>
      <c r="ATC1286" s="5"/>
      <c r="ATD1286" s="5"/>
      <c r="ATE1286" s="5"/>
      <c r="ATF1286" s="5"/>
      <c r="ATG1286" s="5"/>
      <c r="ATH1286" s="5"/>
      <c r="ATI1286" s="5"/>
      <c r="ATJ1286" s="5"/>
      <c r="ATK1286" s="5"/>
      <c r="ATL1286" s="5"/>
      <c r="ATM1286" s="5"/>
      <c r="ATN1286" s="5"/>
      <c r="ATO1286" s="5"/>
      <c r="ATP1286" s="5"/>
      <c r="ATQ1286" s="5"/>
      <c r="ATR1286" s="5"/>
      <c r="ATS1286" s="5"/>
      <c r="ATT1286" s="5"/>
      <c r="ATU1286" s="5"/>
      <c r="ATV1286" s="5"/>
      <c r="ATW1286" s="5"/>
      <c r="ATX1286" s="5"/>
    </row>
    <row r="1287" spans="1:1220" ht="12.75" customHeight="1" x14ac:dyDescent="0.35">
      <c r="A1287" s="76" t="s">
        <v>1126</v>
      </c>
      <c r="B1287" s="99" t="s">
        <v>3692</v>
      </c>
      <c r="C1287" s="76" t="s">
        <v>3693</v>
      </c>
      <c r="D1287" s="76" t="s">
        <v>3694</v>
      </c>
      <c r="E1287" s="76" t="str">
        <f>"The person responsible for receiving "&amp; D1287 &amp; " communication"</f>
        <v>The person responsible for receiving 21st Century Community Learning Program communication</v>
      </c>
    </row>
    <row r="1288" spans="1:1220" ht="12.75" customHeight="1" x14ac:dyDescent="0.35">
      <c r="A1288" s="76" t="s">
        <v>1126</v>
      </c>
      <c r="B1288" s="99" t="s">
        <v>3695</v>
      </c>
      <c r="C1288" s="76" t="s">
        <v>3696</v>
      </c>
      <c r="D1288" s="76" t="s">
        <v>3697</v>
      </c>
      <c r="E1288" s="76" t="str">
        <f t="shared" ref="E1288:E1338" si="0">"The person responsible for receiving "&amp; D1288 &amp; " communication"</f>
        <v>The person responsible for receiving Advanced Opportunity Program communication</v>
      </c>
    </row>
    <row r="1289" spans="1:1220" ht="12.75" customHeight="1" x14ac:dyDescent="0.35">
      <c r="A1289" s="76" t="s">
        <v>1126</v>
      </c>
      <c r="B1289" s="99" t="s">
        <v>3698</v>
      </c>
      <c r="C1289" s="76" t="s">
        <v>3699</v>
      </c>
      <c r="D1289" s="76" t="s">
        <v>3700</v>
      </c>
      <c r="E1289" s="76" t="str">
        <f t="shared" si="0"/>
        <v>The person responsible for receiving Advanced Placement (AP) Program communication</v>
      </c>
    </row>
    <row r="1290" spans="1:1220" ht="12.75" customHeight="1" x14ac:dyDescent="0.35">
      <c r="A1290" s="76" t="s">
        <v>1126</v>
      </c>
      <c r="B1290" s="99" t="s">
        <v>3701</v>
      </c>
      <c r="C1290" s="76" t="s">
        <v>3702</v>
      </c>
      <c r="D1290" s="76" t="s">
        <v>3702</v>
      </c>
      <c r="E1290" s="76" t="str">
        <f t="shared" si="0"/>
        <v>The person responsible for receiving Assistant Principal communication</v>
      </c>
    </row>
    <row r="1291" spans="1:1220" ht="12.75" customHeight="1" x14ac:dyDescent="0.35">
      <c r="A1291" s="76" t="s">
        <v>1126</v>
      </c>
      <c r="B1291" s="99" t="s">
        <v>3703</v>
      </c>
      <c r="C1291" s="76" t="s">
        <v>3704</v>
      </c>
      <c r="D1291" s="76" t="s">
        <v>3704</v>
      </c>
      <c r="E1291" s="76" t="str">
        <f t="shared" si="0"/>
        <v>The person responsible for receiving Business Manager communication</v>
      </c>
    </row>
    <row r="1292" spans="1:1220" ht="12.75" customHeight="1" x14ac:dyDescent="0.35">
      <c r="A1292" s="76" t="s">
        <v>1126</v>
      </c>
      <c r="B1292" s="99" t="s">
        <v>3705</v>
      </c>
      <c r="C1292" s="76" t="s">
        <v>3706</v>
      </c>
      <c r="D1292" s="76" t="s">
        <v>3707</v>
      </c>
      <c r="E1292" s="76" t="str">
        <f t="shared" si="0"/>
        <v>The person responsible for receiving Career and Technical Education  communication</v>
      </c>
    </row>
    <row r="1293" spans="1:1220" ht="12.75" customHeight="1" x14ac:dyDescent="0.35">
      <c r="A1293" s="76" t="s">
        <v>1126</v>
      </c>
      <c r="B1293" s="99" t="s">
        <v>3708</v>
      </c>
      <c r="C1293" s="76" t="s">
        <v>3709</v>
      </c>
      <c r="D1293" s="76" t="s">
        <v>3709</v>
      </c>
      <c r="E1293" s="76" t="str">
        <f t="shared" si="0"/>
        <v>The person responsible for receiving Charter School Administrator communication</v>
      </c>
    </row>
    <row r="1294" spans="1:1220" ht="12.75" customHeight="1" x14ac:dyDescent="0.35">
      <c r="A1294" s="76" t="s">
        <v>1126</v>
      </c>
      <c r="B1294" s="99" t="s">
        <v>3710</v>
      </c>
      <c r="C1294" s="76" t="s">
        <v>3711</v>
      </c>
      <c r="D1294" s="76" t="s">
        <v>3711</v>
      </c>
      <c r="E1294" s="76" t="str">
        <f t="shared" si="0"/>
        <v>The person responsible for receiving Clerk of the Board communication</v>
      </c>
    </row>
    <row r="1295" spans="1:1220" ht="12.75" customHeight="1" x14ac:dyDescent="0.35">
      <c r="A1295" s="76" t="s">
        <v>1126</v>
      </c>
      <c r="B1295" s="99" t="s">
        <v>3712</v>
      </c>
      <c r="C1295" s="76" t="s">
        <v>3713</v>
      </c>
      <c r="D1295" s="76" t="s">
        <v>3714</v>
      </c>
      <c r="E1295" s="76" t="str">
        <f t="shared" si="0"/>
        <v>The person responsible for receiving College Entrance Exam communication</v>
      </c>
    </row>
    <row r="1296" spans="1:1220" ht="12.75" customHeight="1" x14ac:dyDescent="0.35">
      <c r="A1296" s="76" t="s">
        <v>1126</v>
      </c>
      <c r="B1296" s="99" t="s">
        <v>3715</v>
      </c>
      <c r="C1296" s="76" t="s">
        <v>3716</v>
      </c>
      <c r="D1296" s="76" t="s">
        <v>3717</v>
      </c>
      <c r="E1296" s="76" t="str">
        <f t="shared" si="0"/>
        <v>The person responsible for receiving Computer Technology communication</v>
      </c>
    </row>
    <row r="1297" spans="1:5" ht="12.75" customHeight="1" x14ac:dyDescent="0.35">
      <c r="A1297" s="76" t="s">
        <v>1126</v>
      </c>
      <c r="B1297" s="99" t="s">
        <v>3718</v>
      </c>
      <c r="C1297" s="76" t="s">
        <v>3719</v>
      </c>
      <c r="D1297" s="76" t="s">
        <v>3720</v>
      </c>
      <c r="E1297" s="76" t="str">
        <f t="shared" si="0"/>
        <v>The person responsible for receiving Consolidated Grants communication</v>
      </c>
    </row>
    <row r="1298" spans="1:5" ht="12.75" customHeight="1" x14ac:dyDescent="0.35">
      <c r="A1298" s="76" t="s">
        <v>1126</v>
      </c>
      <c r="B1298" s="99" t="s">
        <v>3721</v>
      </c>
      <c r="C1298" s="76" t="s">
        <v>3722</v>
      </c>
      <c r="D1298" s="76" t="s">
        <v>3723</v>
      </c>
      <c r="E1298" s="76" t="str">
        <f t="shared" si="0"/>
        <v>The person responsible for receiving Curriculum/Instruction  communication</v>
      </c>
    </row>
    <row r="1299" spans="1:5" ht="12.75" customHeight="1" x14ac:dyDescent="0.35">
      <c r="A1299" s="76" t="s">
        <v>1126</v>
      </c>
      <c r="B1299" s="99" t="s">
        <v>3724</v>
      </c>
      <c r="C1299" s="76" t="s">
        <v>3725</v>
      </c>
      <c r="D1299" s="76" t="s">
        <v>3726</v>
      </c>
      <c r="E1299" s="76" t="str">
        <f t="shared" si="0"/>
        <v>The person responsible for receiving District Testing communication</v>
      </c>
    </row>
    <row r="1300" spans="1:5" ht="12.75" customHeight="1" x14ac:dyDescent="0.35">
      <c r="A1300" s="76" t="s">
        <v>1126</v>
      </c>
      <c r="B1300" s="99" t="s">
        <v>3727</v>
      </c>
      <c r="C1300" s="76" t="s">
        <v>3728</v>
      </c>
      <c r="D1300" s="76" t="s">
        <v>3729</v>
      </c>
      <c r="E1300" s="76" t="str">
        <f t="shared" si="0"/>
        <v>The person responsible for receiving Drivers Education communication</v>
      </c>
    </row>
    <row r="1301" spans="1:5" ht="12.75" customHeight="1" x14ac:dyDescent="0.35">
      <c r="A1301" s="76" t="s">
        <v>1126</v>
      </c>
      <c r="B1301" s="99" t="s">
        <v>3730</v>
      </c>
      <c r="C1301" s="76" t="s">
        <v>3731</v>
      </c>
      <c r="D1301" s="76" t="s">
        <v>3732</v>
      </c>
      <c r="E1301" s="76" t="str">
        <f t="shared" si="0"/>
        <v>The person responsible for receiving English Language Proficiency Assessment communication</v>
      </c>
    </row>
    <row r="1302" spans="1:5" ht="12.75" customHeight="1" x14ac:dyDescent="0.35">
      <c r="A1302" s="76" t="s">
        <v>1126</v>
      </c>
      <c r="B1302" s="99" t="s">
        <v>3733</v>
      </c>
      <c r="C1302" s="76" t="s">
        <v>3734</v>
      </c>
      <c r="D1302" s="76" t="s">
        <v>3734</v>
      </c>
      <c r="E1302" s="76" t="str">
        <f t="shared" si="0"/>
        <v>The person responsible for receiving Food Service Director communication</v>
      </c>
    </row>
    <row r="1303" spans="1:5" ht="12.75" customHeight="1" x14ac:dyDescent="0.35">
      <c r="A1303" s="76" t="s">
        <v>1126</v>
      </c>
      <c r="B1303" s="99" t="s">
        <v>3735</v>
      </c>
      <c r="C1303" s="76" t="s">
        <v>3736</v>
      </c>
      <c r="D1303" s="76" t="s">
        <v>3736</v>
      </c>
      <c r="E1303" s="76" t="str">
        <f t="shared" si="0"/>
        <v>The person responsible for receiving GEARUP Coordinator communication</v>
      </c>
    </row>
    <row r="1304" spans="1:5" ht="12.75" customHeight="1" x14ac:dyDescent="0.35">
      <c r="A1304" s="76" t="s">
        <v>1126</v>
      </c>
      <c r="B1304" s="99" t="s">
        <v>3737</v>
      </c>
      <c r="C1304" s="76" t="s">
        <v>3738</v>
      </c>
      <c r="D1304" s="76" t="s">
        <v>3739</v>
      </c>
      <c r="E1304" s="76" t="str">
        <f t="shared" si="0"/>
        <v>The person responsible for receiving Gifted and Talented communication</v>
      </c>
    </row>
    <row r="1305" spans="1:5" ht="12.75" customHeight="1" x14ac:dyDescent="0.35">
      <c r="A1305" s="76" t="s">
        <v>1126</v>
      </c>
      <c r="B1305" s="99" t="s">
        <v>1715</v>
      </c>
      <c r="C1305" s="76" t="s">
        <v>3740</v>
      </c>
      <c r="D1305" s="76" t="s">
        <v>3740</v>
      </c>
      <c r="E1305" s="76" t="str">
        <f t="shared" si="0"/>
        <v>The person responsible for receiving Human Resources/Personnel communication</v>
      </c>
    </row>
    <row r="1306" spans="1:5" ht="12.75" customHeight="1" x14ac:dyDescent="0.35">
      <c r="A1306" s="76" t="s">
        <v>1126</v>
      </c>
      <c r="B1306" s="99" t="s">
        <v>3741</v>
      </c>
      <c r="C1306" s="76" t="s">
        <v>3742</v>
      </c>
      <c r="D1306" s="76" t="s">
        <v>3742</v>
      </c>
      <c r="E1306" s="76" t="str">
        <f t="shared" si="0"/>
        <v>The person responsible for receiving Idaho Reading Indicator communication</v>
      </c>
    </row>
    <row r="1307" spans="1:5" ht="12.75" customHeight="1" x14ac:dyDescent="0.35">
      <c r="A1307" s="76" t="s">
        <v>1126</v>
      </c>
      <c r="B1307" s="99" t="s">
        <v>3743</v>
      </c>
      <c r="C1307" s="76" t="s">
        <v>3744</v>
      </c>
      <c r="D1307" s="76" t="s">
        <v>3744</v>
      </c>
      <c r="E1307" s="76" t="str">
        <f t="shared" si="0"/>
        <v>The person responsible for receiving Idaho Standards Achievement Test communication</v>
      </c>
    </row>
    <row r="1308" spans="1:5" ht="12.75" customHeight="1" x14ac:dyDescent="0.35">
      <c r="A1308" s="76" t="s">
        <v>1126</v>
      </c>
      <c r="B1308" s="99" t="s">
        <v>3745</v>
      </c>
      <c r="C1308" s="76" t="s">
        <v>3746</v>
      </c>
      <c r="D1308" s="76" t="s">
        <v>3747</v>
      </c>
      <c r="E1308" s="76" t="str">
        <f t="shared" si="0"/>
        <v>The person responsible for receiving ISEE Data Reporting communication</v>
      </c>
    </row>
    <row r="1309" spans="1:5" ht="12.75" customHeight="1" x14ac:dyDescent="0.35">
      <c r="A1309" s="76" t="s">
        <v>1126</v>
      </c>
      <c r="B1309" s="99" t="s">
        <v>3748</v>
      </c>
      <c r="C1309" s="76" t="s">
        <v>3749</v>
      </c>
      <c r="D1309" s="76" t="s">
        <v>3749</v>
      </c>
      <c r="E1309" s="76" t="str">
        <f t="shared" si="0"/>
        <v>The person responsible for receiving Mathematics Coordinator communication</v>
      </c>
    </row>
    <row r="1310" spans="1:5" ht="12.75" customHeight="1" x14ac:dyDescent="0.35">
      <c r="A1310" s="76" t="s">
        <v>1126</v>
      </c>
      <c r="B1310" s="99" t="s">
        <v>3750</v>
      </c>
      <c r="C1310" s="76" t="s">
        <v>3751</v>
      </c>
      <c r="D1310" s="76" t="s">
        <v>3752</v>
      </c>
      <c r="E1310" s="76" t="str">
        <f t="shared" si="0"/>
        <v>The person responsible for receiving National Assessment of Educational Progress communication</v>
      </c>
    </row>
    <row r="1311" spans="1:5" ht="12.75" customHeight="1" x14ac:dyDescent="0.35">
      <c r="A1311" s="76" t="s">
        <v>1126</v>
      </c>
      <c r="B1311" s="99" t="s">
        <v>1852</v>
      </c>
      <c r="C1311" s="76" t="s">
        <v>3753</v>
      </c>
      <c r="D1311" s="76" t="s">
        <v>3754</v>
      </c>
      <c r="E1311" s="76" t="str">
        <f t="shared" si="0"/>
        <v>The person responsible for receiving Operations and Maintenance communication</v>
      </c>
    </row>
    <row r="1312" spans="1:5" ht="12.75" customHeight="1" x14ac:dyDescent="0.35">
      <c r="A1312" s="76" t="s">
        <v>1126</v>
      </c>
      <c r="B1312" s="99" t="s">
        <v>3755</v>
      </c>
      <c r="C1312" s="76" t="s">
        <v>2062</v>
      </c>
      <c r="D1312" s="76" t="s">
        <v>2062</v>
      </c>
      <c r="E1312" s="76" t="str">
        <f t="shared" si="0"/>
        <v>The person responsible for receiving Other communication</v>
      </c>
    </row>
    <row r="1313" spans="1:5" ht="12.75" customHeight="1" x14ac:dyDescent="0.35">
      <c r="A1313" s="76" t="s">
        <v>1126</v>
      </c>
      <c r="B1313" s="99" t="s">
        <v>3756</v>
      </c>
      <c r="C1313" s="76" t="s">
        <v>3757</v>
      </c>
      <c r="D1313" s="76" t="s">
        <v>3757</v>
      </c>
      <c r="E1313" s="76" t="str">
        <f t="shared" si="0"/>
        <v>The person responsible for receiving Principal communication</v>
      </c>
    </row>
    <row r="1314" spans="1:5" ht="12.75" customHeight="1" x14ac:dyDescent="0.35">
      <c r="A1314" s="76" t="s">
        <v>1126</v>
      </c>
      <c r="B1314" s="99" t="s">
        <v>3758</v>
      </c>
      <c r="C1314" s="76" t="s">
        <v>3759</v>
      </c>
      <c r="D1314" s="76" t="s">
        <v>3760</v>
      </c>
      <c r="E1314" s="76" t="str">
        <f t="shared" si="0"/>
        <v>The person responsible for receiving Public Information/Community Relations communication</v>
      </c>
    </row>
    <row r="1315" spans="1:5" ht="12.75" customHeight="1" x14ac:dyDescent="0.35">
      <c r="A1315" s="76" t="s">
        <v>1126</v>
      </c>
      <c r="B1315" s="99" t="s">
        <v>3761</v>
      </c>
      <c r="C1315" s="76" t="s">
        <v>3762</v>
      </c>
      <c r="D1315" s="76" t="s">
        <v>3763</v>
      </c>
      <c r="E1315" s="76" t="str">
        <f t="shared" si="0"/>
        <v>The person responsible for receiving Response to Intervention communication</v>
      </c>
    </row>
    <row r="1316" spans="1:5" ht="12.75" customHeight="1" x14ac:dyDescent="0.35">
      <c r="A1316" s="76" t="s">
        <v>1126</v>
      </c>
      <c r="B1316" s="99" t="s">
        <v>3764</v>
      </c>
      <c r="C1316" s="76" t="s">
        <v>3765</v>
      </c>
      <c r="D1316" s="76" t="s">
        <v>3766</v>
      </c>
      <c r="E1316" s="76" t="str">
        <f t="shared" si="0"/>
        <v>The person responsible for receiving Safe &amp; Drug Free Schools communication</v>
      </c>
    </row>
    <row r="1317" spans="1:5" ht="12.75" customHeight="1" x14ac:dyDescent="0.35">
      <c r="A1317" s="76" t="s">
        <v>1126</v>
      </c>
      <c r="B1317" s="99" t="s">
        <v>3767</v>
      </c>
      <c r="C1317" s="76" t="s">
        <v>3768</v>
      </c>
      <c r="D1317" s="76" t="s">
        <v>3769</v>
      </c>
      <c r="E1317" s="76" t="str">
        <f t="shared" si="0"/>
        <v>The person responsible for receiving Scholarships communication</v>
      </c>
    </row>
    <row r="1318" spans="1:5" ht="12.75" customHeight="1" x14ac:dyDescent="0.35">
      <c r="A1318" s="76" t="s">
        <v>1126</v>
      </c>
      <c r="B1318" s="99" t="s">
        <v>3770</v>
      </c>
      <c r="C1318" s="76" t="s">
        <v>3771</v>
      </c>
      <c r="D1318" s="76" t="s">
        <v>3771</v>
      </c>
      <c r="E1318" s="76" t="str">
        <f t="shared" si="0"/>
        <v>The person responsible for receiving School Counselor communication</v>
      </c>
    </row>
    <row r="1319" spans="1:5" ht="12.75" customHeight="1" x14ac:dyDescent="0.35">
      <c r="A1319" s="76" t="s">
        <v>1126</v>
      </c>
      <c r="B1319" s="99" t="s">
        <v>3772</v>
      </c>
      <c r="C1319" s="76" t="s">
        <v>3773</v>
      </c>
      <c r="D1319" s="76" t="s">
        <v>3773</v>
      </c>
      <c r="E1319" s="76" t="str">
        <f t="shared" si="0"/>
        <v>The person responsible for receiving School Nurse communication</v>
      </c>
    </row>
    <row r="1320" spans="1:5" ht="12.75" customHeight="1" x14ac:dyDescent="0.35">
      <c r="A1320" s="76" t="s">
        <v>1126</v>
      </c>
      <c r="B1320" s="99" t="s">
        <v>3774</v>
      </c>
      <c r="C1320" s="76" t="s">
        <v>3775</v>
      </c>
      <c r="D1320" s="76" t="s">
        <v>3776</v>
      </c>
      <c r="E1320" s="76" t="str">
        <f t="shared" si="0"/>
        <v>The person responsible for receiving Special Education  communication</v>
      </c>
    </row>
    <row r="1321" spans="1:5" ht="12.75" customHeight="1" x14ac:dyDescent="0.35">
      <c r="A1321" s="76" t="s">
        <v>1126</v>
      </c>
      <c r="B1321" s="99" t="s">
        <v>3777</v>
      </c>
      <c r="C1321" s="76" t="s">
        <v>3778</v>
      </c>
      <c r="D1321" s="76" t="s">
        <v>3779</v>
      </c>
      <c r="E1321" s="76" t="str">
        <f t="shared" si="0"/>
        <v>The person responsible for receiving Staff Professional Development communication</v>
      </c>
    </row>
    <row r="1322" spans="1:5" ht="12.75" customHeight="1" x14ac:dyDescent="0.35">
      <c r="A1322" s="76" t="s">
        <v>1126</v>
      </c>
      <c r="B1322" s="99" t="s">
        <v>3780</v>
      </c>
      <c r="C1322" s="76" t="s">
        <v>3781</v>
      </c>
      <c r="D1322" s="76" t="s">
        <v>3781</v>
      </c>
      <c r="E1322" s="76" t="str">
        <f t="shared" si="0"/>
        <v>The person responsible for receiving Superintendent communication</v>
      </c>
    </row>
    <row r="1323" spans="1:5" ht="12.75" customHeight="1" x14ac:dyDescent="0.35">
      <c r="A1323" s="76" t="s">
        <v>1126</v>
      </c>
      <c r="B1323" s="99" t="s">
        <v>3782</v>
      </c>
      <c r="C1323" s="76" t="s">
        <v>3783</v>
      </c>
      <c r="D1323" s="76" t="s">
        <v>3783</v>
      </c>
      <c r="E1323" s="76" t="str">
        <f t="shared" si="0"/>
        <v>The person responsible for receiving Superintendent Deputy (Assistant) communication</v>
      </c>
    </row>
    <row r="1324" spans="1:5" ht="12.75" customHeight="1" x14ac:dyDescent="0.35">
      <c r="A1324" s="76" t="s">
        <v>1126</v>
      </c>
      <c r="B1324" s="99" t="s">
        <v>3784</v>
      </c>
      <c r="C1324" s="76" t="s">
        <v>3785</v>
      </c>
      <c r="D1324" s="76" t="s">
        <v>3786</v>
      </c>
      <c r="E1324" s="76" t="str">
        <f t="shared" si="0"/>
        <v>The person responsible for receiving Technology communication</v>
      </c>
    </row>
    <row r="1325" spans="1:5" ht="12.75" customHeight="1" x14ac:dyDescent="0.35">
      <c r="A1325" s="76" t="s">
        <v>1126</v>
      </c>
      <c r="B1325" s="99" t="s">
        <v>3787</v>
      </c>
      <c r="C1325" s="76" t="s">
        <v>3788</v>
      </c>
      <c r="D1325" s="76" t="s">
        <v>3789</v>
      </c>
      <c r="E1325" s="76" t="str">
        <f t="shared" si="0"/>
        <v>The person responsible for receiving Title I-A Improving Basic Programs communication</v>
      </c>
    </row>
    <row r="1326" spans="1:5" ht="12.75" customHeight="1" x14ac:dyDescent="0.35">
      <c r="A1326" s="76" t="s">
        <v>1126</v>
      </c>
      <c r="B1326" s="99" t="s">
        <v>3790</v>
      </c>
      <c r="C1326" s="76" t="s">
        <v>3791</v>
      </c>
      <c r="D1326" s="76" t="s">
        <v>3792</v>
      </c>
      <c r="E1326" s="76" t="str">
        <f t="shared" si="0"/>
        <v>The person responsible for receiving Title I-C Migrant Education communication</v>
      </c>
    </row>
    <row r="1327" spans="1:5" ht="12.75" customHeight="1" x14ac:dyDescent="0.35">
      <c r="A1327" s="76" t="s">
        <v>1126</v>
      </c>
      <c r="B1327" s="99" t="s">
        <v>3793</v>
      </c>
      <c r="C1327" s="76" t="s">
        <v>3794</v>
      </c>
      <c r="D1327" s="76" t="s">
        <v>3794</v>
      </c>
      <c r="E1327" s="76" t="str">
        <f t="shared" si="0"/>
        <v>The person responsible for receiving Title I-C Migrant Education Family Liaison/Recruiter communication</v>
      </c>
    </row>
    <row r="1328" spans="1:5" ht="12.75" customHeight="1" x14ac:dyDescent="0.35">
      <c r="A1328" s="76" t="s">
        <v>1126</v>
      </c>
      <c r="B1328" s="99" t="s">
        <v>3795</v>
      </c>
      <c r="C1328" s="76" t="s">
        <v>3796</v>
      </c>
      <c r="D1328" s="76" t="s">
        <v>3797</v>
      </c>
      <c r="E1328" s="76" t="str">
        <f t="shared" si="0"/>
        <v>The person responsible for receiving Title I-C Migrant Education Graduation communication</v>
      </c>
    </row>
    <row r="1329" spans="1:5" ht="12.75" customHeight="1" x14ac:dyDescent="0.35">
      <c r="A1329" s="76" t="s">
        <v>1126</v>
      </c>
      <c r="B1329" s="99" t="s">
        <v>3798</v>
      </c>
      <c r="C1329" s="76" t="s">
        <v>3799</v>
      </c>
      <c r="D1329" s="76" t="s">
        <v>3800</v>
      </c>
      <c r="E1329" s="76" t="str">
        <f t="shared" si="0"/>
        <v>The person responsible for receiving Title I-D Neglected/Delinquent Education communication</v>
      </c>
    </row>
    <row r="1330" spans="1:5" ht="12.75" customHeight="1" x14ac:dyDescent="0.35">
      <c r="A1330" s="76" t="s">
        <v>1126</v>
      </c>
      <c r="B1330" s="99" t="s">
        <v>3801</v>
      </c>
      <c r="C1330" s="76" t="s">
        <v>3802</v>
      </c>
      <c r="D1330" s="76" t="s">
        <v>3803</v>
      </c>
      <c r="E1330" s="76" t="str">
        <f t="shared" si="0"/>
        <v>The person responsible for receiving Title II-A Supporting Effective Instruction communication</v>
      </c>
    </row>
    <row r="1331" spans="1:5" ht="12.75" customHeight="1" x14ac:dyDescent="0.35">
      <c r="A1331" s="76" t="s">
        <v>1126</v>
      </c>
      <c r="B1331" s="99" t="s">
        <v>3804</v>
      </c>
      <c r="C1331" s="76" t="s">
        <v>3805</v>
      </c>
      <c r="D1331" s="76" t="s">
        <v>3805</v>
      </c>
      <c r="E1331" s="76" t="str">
        <f t="shared" si="0"/>
        <v>The person responsible for receiving State EL &amp; Title III Language Instruction for English Learners communication</v>
      </c>
    </row>
    <row r="1332" spans="1:5" ht="12.75" customHeight="1" x14ac:dyDescent="0.35">
      <c r="A1332" s="76" t="s">
        <v>1126</v>
      </c>
      <c r="B1332" s="99" t="s">
        <v>3806</v>
      </c>
      <c r="C1332" s="76" t="s">
        <v>3807</v>
      </c>
      <c r="D1332" s="76" t="s">
        <v>3808</v>
      </c>
      <c r="E1332" s="76" t="str">
        <f t="shared" si="0"/>
        <v>The person responsible for receiving Title IV-A Student Support and Academic Enrichment communication</v>
      </c>
    </row>
    <row r="1333" spans="1:5" ht="12.75" customHeight="1" x14ac:dyDescent="0.35">
      <c r="A1333" s="76" t="s">
        <v>1126</v>
      </c>
      <c r="B1333" s="99" t="s">
        <v>3809</v>
      </c>
      <c r="C1333" s="76" t="s">
        <v>3810</v>
      </c>
      <c r="D1333" s="76" t="s">
        <v>3811</v>
      </c>
      <c r="E1333" s="76" t="str">
        <f t="shared" si="0"/>
        <v>The person responsible for receiving Title IV-B Rural Education Program communication</v>
      </c>
    </row>
    <row r="1334" spans="1:5" ht="12.75" customHeight="1" x14ac:dyDescent="0.35">
      <c r="A1334" s="76" t="s">
        <v>1126</v>
      </c>
      <c r="B1334" s="99">
        <v>504</v>
      </c>
      <c r="C1334" s="76" t="s">
        <v>3812</v>
      </c>
      <c r="D1334" s="76" t="s">
        <v>3813</v>
      </c>
      <c r="E1334" s="76" t="str">
        <f t="shared" si="0"/>
        <v>The person responsible for receiving Title IX - 504 communication</v>
      </c>
    </row>
    <row r="1335" spans="1:5" ht="12.75" customHeight="1" x14ac:dyDescent="0.35">
      <c r="A1335" s="76" t="s">
        <v>1126</v>
      </c>
      <c r="B1335" s="99" t="s">
        <v>3814</v>
      </c>
      <c r="C1335" s="76" t="s">
        <v>3815</v>
      </c>
      <c r="D1335" s="76" t="s">
        <v>3816</v>
      </c>
      <c r="E1335" s="76" t="str">
        <f t="shared" si="0"/>
        <v>The person responsible for receiving Title IX communication</v>
      </c>
    </row>
    <row r="1336" spans="1:5" ht="12.75" customHeight="1" x14ac:dyDescent="0.35">
      <c r="A1336" s="76" t="s">
        <v>1126</v>
      </c>
      <c r="B1336" s="99" t="s">
        <v>3817</v>
      </c>
      <c r="C1336" s="76" t="s">
        <v>3818</v>
      </c>
      <c r="D1336" s="76" t="s">
        <v>3819</v>
      </c>
      <c r="E1336" s="76" t="str">
        <f t="shared" si="0"/>
        <v>The person responsible for receiving Title IX-A  Mckinney-Vento Homeless Education communication</v>
      </c>
    </row>
    <row r="1337" spans="1:5" ht="12.75" customHeight="1" x14ac:dyDescent="0.35">
      <c r="A1337" s="76" t="s">
        <v>1126</v>
      </c>
      <c r="B1337" s="99" t="s">
        <v>3820</v>
      </c>
      <c r="C1337" s="76" t="s">
        <v>3821</v>
      </c>
      <c r="D1337" s="76" t="s">
        <v>3822</v>
      </c>
      <c r="E1337" s="76" t="str">
        <f t="shared" si="0"/>
        <v>The person responsible for receiving Title IX-A  Mckinney-Vento communication</v>
      </c>
    </row>
    <row r="1338" spans="1:5" ht="12.75" customHeight="1" x14ac:dyDescent="0.35">
      <c r="A1338" s="76" t="s">
        <v>1126</v>
      </c>
      <c r="B1338" s="99" t="s">
        <v>3823</v>
      </c>
      <c r="C1338" s="76" t="s">
        <v>3824</v>
      </c>
      <c r="D1338" s="76" t="s">
        <v>330</v>
      </c>
      <c r="E1338" s="76" t="str">
        <f t="shared" si="0"/>
        <v>The person responsible for receiving Transportation communication</v>
      </c>
    </row>
    <row r="1339" spans="1:5" ht="12.75" customHeight="1" x14ac:dyDescent="0.35">
      <c r="A1339" s="76" t="s">
        <v>567</v>
      </c>
      <c r="B1339" s="99" t="s">
        <v>2143</v>
      </c>
      <c r="C1339" s="76" t="s">
        <v>2222</v>
      </c>
      <c r="D1339" s="142" t="s">
        <v>3825</v>
      </c>
      <c r="E1339" s="76" t="s">
        <v>3826</v>
      </c>
    </row>
    <row r="1340" spans="1:5" ht="12.75" customHeight="1" x14ac:dyDescent="0.35">
      <c r="A1340" s="76" t="s">
        <v>567</v>
      </c>
      <c r="B1340" s="99" t="s">
        <v>2147</v>
      </c>
      <c r="C1340" s="76" t="s">
        <v>2226</v>
      </c>
      <c r="D1340" s="142" t="s">
        <v>3827</v>
      </c>
      <c r="E1340" s="76" t="s">
        <v>3828</v>
      </c>
    </row>
    <row r="1341" spans="1:5" ht="12.75" customHeight="1" x14ac:dyDescent="0.35">
      <c r="A1341" s="76" t="s">
        <v>567</v>
      </c>
      <c r="B1341" s="99" t="s">
        <v>2150</v>
      </c>
      <c r="C1341" s="76" t="s">
        <v>2207</v>
      </c>
      <c r="D1341" s="142" t="s">
        <v>3829</v>
      </c>
      <c r="E1341" s="76" t="s">
        <v>3830</v>
      </c>
    </row>
    <row r="1342" spans="1:5" ht="12.75" customHeight="1" x14ac:dyDescent="0.35">
      <c r="A1342" s="76" t="s">
        <v>567</v>
      </c>
      <c r="B1342" s="99" t="s">
        <v>2153</v>
      </c>
      <c r="C1342" s="76" t="s">
        <v>2537</v>
      </c>
      <c r="D1342" s="142" t="s">
        <v>3831</v>
      </c>
      <c r="E1342" s="76" t="s">
        <v>3832</v>
      </c>
    </row>
    <row r="1343" spans="1:5" ht="12.75" customHeight="1" x14ac:dyDescent="0.35">
      <c r="A1343" s="76" t="s">
        <v>567</v>
      </c>
      <c r="B1343" s="99" t="s">
        <v>2156</v>
      </c>
      <c r="C1343" s="76" t="s">
        <v>2539</v>
      </c>
      <c r="D1343" s="142" t="s">
        <v>3833</v>
      </c>
      <c r="E1343" s="76" t="s">
        <v>3834</v>
      </c>
    </row>
    <row r="1344" spans="1:5" ht="12.75" customHeight="1" x14ac:dyDescent="0.35">
      <c r="A1344" s="76" t="s">
        <v>567</v>
      </c>
      <c r="B1344" s="99" t="s">
        <v>2159</v>
      </c>
      <c r="C1344" s="76" t="s">
        <v>3835</v>
      </c>
      <c r="D1344" s="142" t="s">
        <v>3836</v>
      </c>
      <c r="E1344" s="76" t="s">
        <v>3837</v>
      </c>
    </row>
    <row r="1345" spans="1:5" ht="12.75" customHeight="1" x14ac:dyDescent="0.35">
      <c r="A1345" s="76" t="s">
        <v>567</v>
      </c>
      <c r="B1345" s="99" t="s">
        <v>2162</v>
      </c>
      <c r="C1345" s="76" t="s">
        <v>2256</v>
      </c>
      <c r="D1345" s="142" t="s">
        <v>3838</v>
      </c>
      <c r="E1345" s="76" t="s">
        <v>3839</v>
      </c>
    </row>
    <row r="1346" spans="1:5" ht="12.75" customHeight="1" x14ac:dyDescent="0.35">
      <c r="A1346" s="76" t="s">
        <v>567</v>
      </c>
      <c r="B1346" s="99" t="s">
        <v>2511</v>
      </c>
      <c r="C1346" s="76" t="s">
        <v>3840</v>
      </c>
      <c r="D1346" s="142" t="s">
        <v>3841</v>
      </c>
      <c r="E1346" s="76" t="s">
        <v>3842</v>
      </c>
    </row>
    <row r="1347" spans="1:5" ht="12.75" customHeight="1" x14ac:dyDescent="0.35">
      <c r="A1347" s="76" t="s">
        <v>567</v>
      </c>
      <c r="B1347" s="99" t="s">
        <v>147</v>
      </c>
      <c r="C1347" s="76" t="s">
        <v>3843</v>
      </c>
      <c r="D1347" s="142" t="s">
        <v>3844</v>
      </c>
      <c r="E1347" s="76" t="s">
        <v>3845</v>
      </c>
    </row>
    <row r="1348" spans="1:5" ht="12.75" customHeight="1" x14ac:dyDescent="0.35">
      <c r="A1348" s="76" t="s">
        <v>567</v>
      </c>
      <c r="B1348" s="99" t="s">
        <v>157</v>
      </c>
      <c r="C1348" s="76" t="s">
        <v>2544</v>
      </c>
      <c r="D1348" s="142" t="s">
        <v>3846</v>
      </c>
      <c r="E1348" s="76" t="s">
        <v>3847</v>
      </c>
    </row>
    <row r="1349" spans="1:5" ht="12.75" customHeight="1" x14ac:dyDescent="0.35">
      <c r="A1349" s="76" t="s">
        <v>559</v>
      </c>
      <c r="B1349" s="99" t="s">
        <v>1412</v>
      </c>
      <c r="C1349" s="76" t="s">
        <v>2094</v>
      </c>
      <c r="D1349" s="142"/>
    </row>
    <row r="1350" spans="1:5" ht="12.75" customHeight="1" x14ac:dyDescent="0.35">
      <c r="A1350" s="76" t="s">
        <v>559</v>
      </c>
      <c r="B1350" s="99" t="s">
        <v>1404</v>
      </c>
      <c r="C1350" s="76" t="s">
        <v>2096</v>
      </c>
      <c r="D1350" s="142"/>
    </row>
    <row r="1351" spans="1:5" ht="12.75" customHeight="1" x14ac:dyDescent="0.35">
      <c r="A1351" s="208" t="s">
        <v>559</v>
      </c>
      <c r="B1351" s="99" t="s">
        <v>2098</v>
      </c>
      <c r="C1351" s="76" t="s">
        <v>3848</v>
      </c>
      <c r="D1351" s="209" t="s">
        <v>3849</v>
      </c>
      <c r="E1351" s="76" t="s">
        <v>3850</v>
      </c>
    </row>
    <row r="1352" spans="1:5" s="198" customFormat="1" ht="12.75" customHeight="1" collapsed="1" x14ac:dyDescent="0.35">
      <c r="A1352" s="113" t="s">
        <v>1217</v>
      </c>
      <c r="B1352" s="257"/>
      <c r="C1352" s="113" t="s">
        <v>3851</v>
      </c>
      <c r="D1352" s="113" t="s">
        <v>3851</v>
      </c>
      <c r="E1352" s="113"/>
    </row>
    <row r="1353" spans="1:5" s="69" customFormat="1" ht="12.75" customHeight="1" x14ac:dyDescent="0.35">
      <c r="A1353" s="76" t="s">
        <v>1181</v>
      </c>
      <c r="B1353" s="99" t="s">
        <v>2760</v>
      </c>
      <c r="C1353" s="76" t="s">
        <v>3852</v>
      </c>
      <c r="D1353" s="141"/>
      <c r="E1353" s="77"/>
    </row>
    <row r="1354" spans="1:5" s="69" customFormat="1" ht="12.75" customHeight="1" x14ac:dyDescent="0.35">
      <c r="A1354" s="76" t="s">
        <v>1181</v>
      </c>
      <c r="B1354" s="99" t="s">
        <v>3853</v>
      </c>
      <c r="C1354" s="76" t="s">
        <v>3854</v>
      </c>
      <c r="D1354" s="141"/>
      <c r="E1354" s="77"/>
    </row>
    <row r="1355" spans="1:5" s="69" customFormat="1" ht="12.75" customHeight="1" x14ac:dyDescent="0.35">
      <c r="A1355" s="76" t="s">
        <v>1181</v>
      </c>
      <c r="B1355" s="99" t="s">
        <v>3855</v>
      </c>
      <c r="C1355" s="76" t="s">
        <v>3856</v>
      </c>
      <c r="D1355" s="141"/>
      <c r="E1355" s="77"/>
    </row>
    <row r="1356" spans="1:5" ht="12.75" customHeight="1" x14ac:dyDescent="0.35">
      <c r="A1356" s="76" t="s">
        <v>544</v>
      </c>
      <c r="B1356" s="99" t="s">
        <v>3857</v>
      </c>
      <c r="C1356" s="76" t="s">
        <v>3858</v>
      </c>
      <c r="D1356" s="142" t="s">
        <v>3859</v>
      </c>
      <c r="E1356" s="76" t="s">
        <v>3860</v>
      </c>
    </row>
    <row r="1357" spans="1:5" ht="12.75" customHeight="1" x14ac:dyDescent="0.35">
      <c r="A1357" s="76" t="s">
        <v>544</v>
      </c>
      <c r="B1357" s="99" t="s">
        <v>3861</v>
      </c>
      <c r="C1357" s="76" t="s">
        <v>3862</v>
      </c>
      <c r="D1357" s="142" t="s">
        <v>3863</v>
      </c>
    </row>
    <row r="1358" spans="1:5" ht="12.75" customHeight="1" x14ac:dyDescent="0.35">
      <c r="A1358" s="76" t="s">
        <v>544</v>
      </c>
      <c r="B1358" s="99" t="s">
        <v>1896</v>
      </c>
      <c r="C1358" s="76" t="s">
        <v>3864</v>
      </c>
      <c r="D1358" s="142" t="s">
        <v>3865</v>
      </c>
      <c r="E1358" s="76" t="s">
        <v>3866</v>
      </c>
    </row>
    <row r="1359" spans="1:5" ht="12.75" customHeight="1" x14ac:dyDescent="0.35">
      <c r="A1359" s="76" t="s">
        <v>544</v>
      </c>
      <c r="B1359" s="99" t="s">
        <v>1898</v>
      </c>
      <c r="C1359" s="76" t="s">
        <v>548</v>
      </c>
      <c r="D1359" s="142" t="s">
        <v>3867</v>
      </c>
      <c r="E1359" s="76" t="s">
        <v>3868</v>
      </c>
    </row>
    <row r="1360" spans="1:5" ht="12.75" customHeight="1" x14ac:dyDescent="0.35">
      <c r="A1360" s="76" t="s">
        <v>544</v>
      </c>
      <c r="B1360" s="99" t="s">
        <v>1912</v>
      </c>
      <c r="C1360" s="76" t="s">
        <v>3869</v>
      </c>
      <c r="D1360" s="142" t="s">
        <v>3870</v>
      </c>
    </row>
    <row r="1361" spans="1:5" ht="12.75" customHeight="1" x14ac:dyDescent="0.35">
      <c r="A1361" s="76" t="s">
        <v>544</v>
      </c>
      <c r="B1361" s="99" t="s">
        <v>1919</v>
      </c>
      <c r="C1361" s="76" t="s">
        <v>3871</v>
      </c>
      <c r="D1361" s="142" t="s">
        <v>3872</v>
      </c>
    </row>
    <row r="1362" spans="1:5" ht="12.75" customHeight="1" x14ac:dyDescent="0.35">
      <c r="A1362" s="76" t="s">
        <v>544</v>
      </c>
      <c r="B1362" s="99" t="s">
        <v>1883</v>
      </c>
      <c r="C1362" s="76" t="s">
        <v>3873</v>
      </c>
      <c r="D1362" s="142" t="s">
        <v>3874</v>
      </c>
      <c r="E1362" s="76" t="s">
        <v>3860</v>
      </c>
    </row>
    <row r="1363" spans="1:5" ht="12.75" customHeight="1" x14ac:dyDescent="0.35">
      <c r="A1363" s="76" t="s">
        <v>544</v>
      </c>
      <c r="B1363" s="99" t="s">
        <v>3875</v>
      </c>
      <c r="C1363" s="76" t="s">
        <v>3876</v>
      </c>
      <c r="D1363" s="142" t="s">
        <v>3877</v>
      </c>
      <c r="E1363" s="76" t="s">
        <v>3878</v>
      </c>
    </row>
    <row r="1364" spans="1:5" ht="12.75" customHeight="1" x14ac:dyDescent="0.35">
      <c r="A1364" s="76" t="s">
        <v>1218</v>
      </c>
      <c r="B1364" s="99" t="s">
        <v>123</v>
      </c>
      <c r="C1364" s="76" t="s">
        <v>2072</v>
      </c>
      <c r="D1364" s="142" t="s">
        <v>3879</v>
      </c>
      <c r="E1364" s="76" t="s">
        <v>3880</v>
      </c>
    </row>
    <row r="1365" spans="1:5" ht="12.75" customHeight="1" x14ac:dyDescent="0.35">
      <c r="A1365" s="76" t="s">
        <v>1218</v>
      </c>
      <c r="B1365" s="99" t="s">
        <v>3881</v>
      </c>
      <c r="C1365" s="76" t="s">
        <v>3882</v>
      </c>
      <c r="D1365" s="142" t="s">
        <v>3883</v>
      </c>
      <c r="E1365" s="76" t="s">
        <v>3884</v>
      </c>
    </row>
    <row r="1366" spans="1:5" ht="12.75" customHeight="1" x14ac:dyDescent="0.35">
      <c r="A1366" s="76" t="s">
        <v>1218</v>
      </c>
      <c r="B1366" s="99" t="s">
        <v>2265</v>
      </c>
      <c r="C1366" s="76" t="s">
        <v>3885</v>
      </c>
      <c r="D1366" s="142" t="s">
        <v>3886</v>
      </c>
      <c r="E1366" s="76" t="s">
        <v>3887</v>
      </c>
    </row>
    <row r="1367" spans="1:5" ht="12.75" customHeight="1" x14ac:dyDescent="0.35">
      <c r="A1367" s="208" t="s">
        <v>500</v>
      </c>
      <c r="B1367" s="99" t="s">
        <v>2143</v>
      </c>
      <c r="C1367" s="76" t="s">
        <v>3888</v>
      </c>
      <c r="D1367" s="209" t="s">
        <v>3889</v>
      </c>
      <c r="E1367" s="208" t="s">
        <v>3890</v>
      </c>
    </row>
    <row r="1368" spans="1:5" ht="12.75" customHeight="1" x14ac:dyDescent="0.35">
      <c r="A1368" s="208" t="s">
        <v>500</v>
      </c>
      <c r="B1368" s="99" t="s">
        <v>2147</v>
      </c>
      <c r="C1368" s="76" t="s">
        <v>3891</v>
      </c>
      <c r="D1368" s="209" t="s">
        <v>3892</v>
      </c>
      <c r="E1368" s="208" t="s">
        <v>3890</v>
      </c>
    </row>
    <row r="1369" spans="1:5" ht="12.75" customHeight="1" x14ac:dyDescent="0.35">
      <c r="A1369" s="208" t="s">
        <v>500</v>
      </c>
      <c r="B1369" s="99" t="s">
        <v>2503</v>
      </c>
      <c r="C1369" s="76" t="s">
        <v>3893</v>
      </c>
      <c r="D1369" s="209" t="s">
        <v>3894</v>
      </c>
      <c r="E1369" s="208" t="s">
        <v>3890</v>
      </c>
    </row>
    <row r="1370" spans="1:5" ht="12.75" customHeight="1" x14ac:dyDescent="0.35">
      <c r="A1370" s="208" t="s">
        <v>500</v>
      </c>
      <c r="B1370" s="99" t="s">
        <v>153</v>
      </c>
      <c r="C1370" s="76" t="s">
        <v>3895</v>
      </c>
      <c r="D1370" s="209" t="s">
        <v>3896</v>
      </c>
      <c r="E1370" s="208" t="s">
        <v>3890</v>
      </c>
    </row>
    <row r="1371" spans="1:5" ht="12.75" customHeight="1" x14ac:dyDescent="0.35">
      <c r="A1371" s="208" t="s">
        <v>500</v>
      </c>
      <c r="B1371" s="99" t="s">
        <v>157</v>
      </c>
      <c r="C1371" s="76" t="s">
        <v>3897</v>
      </c>
      <c r="D1371" s="209" t="s">
        <v>3898</v>
      </c>
      <c r="E1371" s="208" t="s">
        <v>3890</v>
      </c>
    </row>
    <row r="1372" spans="1:5" ht="12.75" customHeight="1" x14ac:dyDescent="0.35">
      <c r="A1372" s="208" t="s">
        <v>500</v>
      </c>
      <c r="B1372" s="99" t="s">
        <v>163</v>
      </c>
      <c r="C1372" s="76" t="s">
        <v>3899</v>
      </c>
      <c r="D1372" s="209" t="s">
        <v>3900</v>
      </c>
      <c r="E1372" s="208" t="s">
        <v>3890</v>
      </c>
    </row>
    <row r="1373" spans="1:5" ht="12.75" customHeight="1" x14ac:dyDescent="0.35">
      <c r="A1373" s="208" t="s">
        <v>500</v>
      </c>
      <c r="B1373" s="99" t="s">
        <v>167</v>
      </c>
      <c r="C1373" s="76" t="s">
        <v>3901</v>
      </c>
      <c r="D1373" s="209" t="s">
        <v>3902</v>
      </c>
      <c r="E1373" s="208" t="s">
        <v>3890</v>
      </c>
    </row>
    <row r="1374" spans="1:5" ht="12.75" customHeight="1" x14ac:dyDescent="0.35">
      <c r="A1374" s="208" t="s">
        <v>500</v>
      </c>
      <c r="B1374" s="99" t="s">
        <v>171</v>
      </c>
      <c r="C1374" s="76" t="s">
        <v>3903</v>
      </c>
      <c r="D1374" s="209" t="s">
        <v>3904</v>
      </c>
      <c r="E1374" s="208" t="s">
        <v>3890</v>
      </c>
    </row>
    <row r="1375" spans="1:5" ht="12.75" customHeight="1" x14ac:dyDescent="0.35">
      <c r="A1375" s="208" t="s">
        <v>500</v>
      </c>
      <c r="B1375" s="99" t="s">
        <v>231</v>
      </c>
      <c r="C1375" s="76" t="s">
        <v>3905</v>
      </c>
      <c r="D1375" s="209" t="s">
        <v>3906</v>
      </c>
      <c r="E1375" s="208" t="s">
        <v>3890</v>
      </c>
    </row>
    <row r="1376" spans="1:5" ht="12.75" customHeight="1" x14ac:dyDescent="0.35">
      <c r="A1376" s="208" t="s">
        <v>500</v>
      </c>
      <c r="B1376" s="99" t="s">
        <v>265</v>
      </c>
      <c r="C1376" s="76" t="s">
        <v>3907</v>
      </c>
      <c r="D1376" s="209" t="s">
        <v>3908</v>
      </c>
      <c r="E1376" s="208" t="s">
        <v>3890</v>
      </c>
    </row>
    <row r="1377" spans="1:5" ht="12.75" customHeight="1" x14ac:dyDescent="0.35">
      <c r="A1377" s="208" t="s">
        <v>500</v>
      </c>
      <c r="B1377" s="99" t="s">
        <v>377</v>
      </c>
      <c r="C1377" s="76" t="s">
        <v>3909</v>
      </c>
      <c r="D1377" s="209" t="s">
        <v>3910</v>
      </c>
    </row>
    <row r="1378" spans="1:5" ht="12.75" customHeight="1" x14ac:dyDescent="0.35">
      <c r="A1378" s="208" t="s">
        <v>500</v>
      </c>
      <c r="B1378" s="99" t="s">
        <v>381</v>
      </c>
      <c r="C1378" s="76" t="s">
        <v>3911</v>
      </c>
      <c r="D1378" s="209" t="s">
        <v>3912</v>
      </c>
    </row>
    <row r="1379" spans="1:5" ht="12.75" customHeight="1" x14ac:dyDescent="0.35">
      <c r="A1379" s="208" t="s">
        <v>500</v>
      </c>
      <c r="B1379" s="99" t="s">
        <v>385</v>
      </c>
      <c r="C1379" s="76" t="s">
        <v>3913</v>
      </c>
      <c r="D1379" s="209" t="s">
        <v>3914</v>
      </c>
    </row>
    <row r="1380" spans="1:5" ht="12.75" customHeight="1" x14ac:dyDescent="0.35">
      <c r="A1380" s="208" t="s">
        <v>500</v>
      </c>
      <c r="B1380" s="99" t="s">
        <v>389</v>
      </c>
      <c r="C1380" s="76" t="s">
        <v>3915</v>
      </c>
      <c r="D1380" s="209" t="s">
        <v>3916</v>
      </c>
    </row>
    <row r="1381" spans="1:5" ht="12.75" customHeight="1" x14ac:dyDescent="0.35">
      <c r="A1381" s="208" t="s">
        <v>500</v>
      </c>
      <c r="B1381" s="99" t="s">
        <v>394</v>
      </c>
      <c r="C1381" s="76" t="s">
        <v>3687</v>
      </c>
      <c r="D1381" s="209" t="s">
        <v>3917</v>
      </c>
      <c r="E1381" s="208" t="s">
        <v>3918</v>
      </c>
    </row>
    <row r="1382" spans="1:5" ht="12.75" customHeight="1" x14ac:dyDescent="0.35">
      <c r="A1382" s="208" t="s">
        <v>500</v>
      </c>
      <c r="B1382" s="99" t="s">
        <v>398</v>
      </c>
      <c r="C1382" s="76" t="s">
        <v>3919</v>
      </c>
      <c r="D1382" s="209" t="s">
        <v>3920</v>
      </c>
      <c r="E1382" s="76" t="s">
        <v>3921</v>
      </c>
    </row>
    <row r="1383" spans="1:5" ht="12.75" customHeight="1" x14ac:dyDescent="0.35">
      <c r="A1383" s="208" t="s">
        <v>500</v>
      </c>
      <c r="B1383" s="99" t="s">
        <v>740</v>
      </c>
      <c r="C1383" s="76" t="s">
        <v>3922</v>
      </c>
      <c r="D1383" s="209" t="s">
        <v>3923</v>
      </c>
      <c r="E1383" s="76" t="s">
        <v>3921</v>
      </c>
    </row>
    <row r="1384" spans="1:5" ht="12.75" customHeight="1" x14ac:dyDescent="0.35">
      <c r="A1384" s="208" t="s">
        <v>500</v>
      </c>
      <c r="B1384" s="99" t="s">
        <v>744</v>
      </c>
      <c r="C1384" s="76" t="s">
        <v>3924</v>
      </c>
      <c r="D1384" s="209" t="s">
        <v>3925</v>
      </c>
      <c r="E1384" s="76" t="s">
        <v>3921</v>
      </c>
    </row>
    <row r="1385" spans="1:5" ht="12.75" customHeight="1" x14ac:dyDescent="0.35">
      <c r="A1385" s="208" t="s">
        <v>500</v>
      </c>
      <c r="B1385" s="99" t="s">
        <v>748</v>
      </c>
      <c r="C1385" s="76" t="s">
        <v>3926</v>
      </c>
      <c r="D1385" s="209" t="s">
        <v>3927</v>
      </c>
      <c r="E1385" s="76" t="s">
        <v>3921</v>
      </c>
    </row>
    <row r="1386" spans="1:5" s="198" customFormat="1" ht="12.75" customHeight="1" collapsed="1" x14ac:dyDescent="0.35">
      <c r="A1386" s="113" t="s">
        <v>1038</v>
      </c>
      <c r="B1386" s="257"/>
      <c r="C1386" s="113" t="s">
        <v>2014</v>
      </c>
      <c r="D1386" s="143" t="s">
        <v>2015</v>
      </c>
      <c r="E1386" s="113"/>
    </row>
    <row r="1387" spans="1:5" ht="12.75" customHeight="1" x14ac:dyDescent="0.35">
      <c r="A1387" s="76" t="s">
        <v>1029</v>
      </c>
      <c r="B1387" s="99" t="s">
        <v>2143</v>
      </c>
      <c r="C1387" s="76" t="s">
        <v>3928</v>
      </c>
    </row>
    <row r="1388" spans="1:5" ht="12.75" customHeight="1" x14ac:dyDescent="0.35">
      <c r="A1388" s="76" t="s">
        <v>1029</v>
      </c>
      <c r="B1388" s="99" t="s">
        <v>2147</v>
      </c>
      <c r="C1388" s="76" t="s">
        <v>3929</v>
      </c>
    </row>
    <row r="1389" spans="1:5" ht="12.75" customHeight="1" x14ac:dyDescent="0.35">
      <c r="A1389" s="76" t="s">
        <v>1029</v>
      </c>
      <c r="B1389" s="99" t="s">
        <v>2503</v>
      </c>
      <c r="C1389" s="76" t="s">
        <v>3930</v>
      </c>
      <c r="D1389" s="142"/>
    </row>
    <row r="1390" spans="1:5" ht="12.75" customHeight="1" x14ac:dyDescent="0.35">
      <c r="A1390" s="76" t="s">
        <v>1029</v>
      </c>
      <c r="B1390" s="99" t="s">
        <v>2150</v>
      </c>
      <c r="C1390" s="76" t="s">
        <v>3931</v>
      </c>
      <c r="D1390" s="142"/>
    </row>
    <row r="1391" spans="1:5" ht="12.75" customHeight="1" x14ac:dyDescent="0.35">
      <c r="A1391" s="76" t="s">
        <v>1029</v>
      </c>
      <c r="B1391" s="99" t="s">
        <v>2153</v>
      </c>
      <c r="C1391" s="76" t="s">
        <v>3932</v>
      </c>
    </row>
    <row r="1392" spans="1:5" ht="12.75" customHeight="1" x14ac:dyDescent="0.35">
      <c r="A1392" s="76" t="s">
        <v>1029</v>
      </c>
      <c r="B1392" s="99" t="s">
        <v>2156</v>
      </c>
      <c r="C1392" s="76" t="s">
        <v>3933</v>
      </c>
      <c r="D1392" s="142"/>
    </row>
    <row r="1393" spans="1:1220" ht="12.75" customHeight="1" x14ac:dyDescent="0.35">
      <c r="A1393" s="76" t="s">
        <v>1029</v>
      </c>
      <c r="B1393" s="99" t="s">
        <v>2159</v>
      </c>
      <c r="C1393" s="76" t="s">
        <v>3934</v>
      </c>
      <c r="D1393" s="142"/>
    </row>
    <row r="1394" spans="1:1220" ht="12.75" customHeight="1" x14ac:dyDescent="0.35">
      <c r="A1394" s="76" t="s">
        <v>1029</v>
      </c>
      <c r="B1394" s="99" t="s">
        <v>2162</v>
      </c>
      <c r="C1394" s="76" t="s">
        <v>3935</v>
      </c>
      <c r="D1394" s="142"/>
    </row>
    <row r="1395" spans="1:1220" ht="12.75" customHeight="1" x14ac:dyDescent="0.35">
      <c r="A1395" s="76" t="s">
        <v>1029</v>
      </c>
      <c r="B1395" s="99" t="s">
        <v>2511</v>
      </c>
      <c r="C1395" s="76" t="s">
        <v>3936</v>
      </c>
      <c r="D1395" s="142"/>
    </row>
    <row r="1396" spans="1:1220" ht="12.75" customHeight="1" x14ac:dyDescent="0.35">
      <c r="A1396" s="76" t="s">
        <v>1029</v>
      </c>
      <c r="B1396" s="99" t="s">
        <v>147</v>
      </c>
      <c r="C1396" s="76" t="s">
        <v>3937</v>
      </c>
      <c r="D1396" s="142"/>
    </row>
    <row r="1397" spans="1:1220" ht="12.75" customHeight="1" x14ac:dyDescent="0.35">
      <c r="A1397" s="76" t="s">
        <v>1029</v>
      </c>
      <c r="B1397" s="99" t="s">
        <v>153</v>
      </c>
      <c r="C1397" s="76" t="s">
        <v>3938</v>
      </c>
      <c r="D1397" s="142"/>
    </row>
    <row r="1398" spans="1:1220" ht="12.75" customHeight="1" x14ac:dyDescent="0.35">
      <c r="A1398" s="76" t="s">
        <v>1029</v>
      </c>
      <c r="B1398" s="99" t="s">
        <v>157</v>
      </c>
      <c r="C1398" s="76" t="s">
        <v>3939</v>
      </c>
      <c r="D1398" s="142"/>
    </row>
    <row r="1399" spans="1:1220" ht="12.75" customHeight="1" x14ac:dyDescent="0.35">
      <c r="A1399" s="76" t="s">
        <v>1029</v>
      </c>
      <c r="B1399" s="99" t="s">
        <v>163</v>
      </c>
      <c r="C1399" s="76" t="s">
        <v>3940</v>
      </c>
      <c r="D1399" s="142"/>
    </row>
    <row r="1400" spans="1:1220" ht="12.75" customHeight="1" x14ac:dyDescent="0.35">
      <c r="A1400" s="76" t="s">
        <v>1029</v>
      </c>
      <c r="B1400" s="99" t="s">
        <v>167</v>
      </c>
      <c r="C1400" s="76" t="s">
        <v>3941</v>
      </c>
      <c r="D1400" s="142"/>
    </row>
    <row r="1401" spans="1:1220" s="9" customFormat="1" ht="12.75" customHeight="1" x14ac:dyDescent="0.35">
      <c r="A1401" s="76" t="s">
        <v>1029</v>
      </c>
      <c r="B1401" s="99" t="s">
        <v>171</v>
      </c>
      <c r="C1401" s="76" t="s">
        <v>3942</v>
      </c>
      <c r="D1401" s="142"/>
      <c r="E1401" s="76"/>
      <c r="F1401" s="5"/>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c r="BN1401" s="5"/>
      <c r="BO1401" s="5"/>
      <c r="BP1401" s="5"/>
      <c r="BQ1401" s="5"/>
      <c r="BR1401" s="5"/>
      <c r="BS1401" s="5"/>
      <c r="BT1401" s="5"/>
      <c r="BU1401" s="5"/>
      <c r="BV1401" s="5"/>
      <c r="BW1401" s="5"/>
      <c r="BX1401" s="5"/>
      <c r="BY1401" s="5"/>
      <c r="BZ1401" s="5"/>
      <c r="CA1401" s="5"/>
      <c r="CB1401" s="5"/>
      <c r="CC1401" s="5"/>
      <c r="CD1401" s="5"/>
      <c r="CE1401" s="5"/>
      <c r="CF1401" s="5"/>
      <c r="CG1401" s="5"/>
      <c r="CH1401" s="5"/>
      <c r="CI1401" s="5"/>
      <c r="CJ1401" s="5"/>
      <c r="CK1401" s="5"/>
      <c r="CL1401" s="5"/>
      <c r="CM1401" s="5"/>
      <c r="CN1401" s="5"/>
      <c r="CO1401" s="5"/>
      <c r="CP1401" s="5"/>
      <c r="CQ1401" s="5"/>
      <c r="CR1401" s="5"/>
      <c r="CS1401" s="5"/>
      <c r="CT1401" s="5"/>
      <c r="CU1401" s="5"/>
      <c r="CV1401" s="5"/>
      <c r="CW1401" s="5"/>
      <c r="CX1401" s="5"/>
      <c r="CY1401" s="5"/>
      <c r="CZ1401" s="5"/>
      <c r="DA1401" s="5"/>
      <c r="DB1401" s="5"/>
      <c r="DC1401" s="5"/>
      <c r="DD1401" s="5"/>
      <c r="DE1401" s="5"/>
      <c r="DF1401" s="5"/>
      <c r="DG1401" s="5"/>
      <c r="DH1401" s="5"/>
      <c r="DI1401" s="5"/>
      <c r="DJ1401" s="5"/>
      <c r="DK1401" s="5"/>
      <c r="DL1401" s="5"/>
      <c r="DM1401" s="5"/>
      <c r="DN1401" s="5"/>
      <c r="DO1401" s="5"/>
      <c r="DP1401" s="5"/>
      <c r="DQ1401" s="5"/>
      <c r="DR1401" s="5"/>
      <c r="DS1401" s="5"/>
      <c r="DT1401" s="5"/>
      <c r="DU1401" s="5"/>
      <c r="DV1401" s="5"/>
      <c r="DW1401" s="5"/>
      <c r="DX1401" s="5"/>
      <c r="DY1401" s="5"/>
      <c r="DZ1401" s="5"/>
      <c r="EA1401" s="5"/>
      <c r="EB1401" s="5"/>
      <c r="EC1401" s="5"/>
      <c r="ED1401" s="5"/>
      <c r="EE1401" s="5"/>
      <c r="EF1401" s="5"/>
      <c r="EG1401" s="5"/>
      <c r="EH1401" s="5"/>
      <c r="EI1401" s="5"/>
      <c r="EJ1401" s="5"/>
      <c r="EK1401" s="5"/>
      <c r="EL1401" s="5"/>
      <c r="EM1401" s="5"/>
      <c r="EN1401" s="5"/>
      <c r="EO1401" s="5"/>
      <c r="EP1401" s="5"/>
      <c r="EQ1401" s="5"/>
      <c r="ER1401" s="5"/>
      <c r="ES1401" s="5"/>
      <c r="ET1401" s="5"/>
      <c r="EU1401" s="5"/>
      <c r="EV1401" s="5"/>
      <c r="EW1401" s="5"/>
      <c r="EX1401" s="5"/>
      <c r="EY1401" s="5"/>
      <c r="EZ1401" s="5"/>
      <c r="FA1401" s="5"/>
      <c r="FB1401" s="5"/>
      <c r="FC1401" s="5"/>
      <c r="FD1401" s="5"/>
      <c r="FE1401" s="5"/>
      <c r="FF1401" s="5"/>
      <c r="FG1401" s="5"/>
      <c r="FH1401" s="5"/>
      <c r="FI1401" s="5"/>
      <c r="FJ1401" s="5"/>
      <c r="FK1401" s="5"/>
      <c r="FL1401" s="5"/>
      <c r="FM1401" s="5"/>
      <c r="FN1401" s="5"/>
      <c r="FO1401" s="5"/>
      <c r="FP1401" s="5"/>
      <c r="FQ1401" s="5"/>
      <c r="FR1401" s="5"/>
      <c r="FS1401" s="5"/>
      <c r="FT1401" s="5"/>
      <c r="FU1401" s="5"/>
      <c r="FV1401" s="5"/>
      <c r="FW1401" s="5"/>
      <c r="FX1401" s="5"/>
      <c r="FY1401" s="5"/>
      <c r="FZ1401" s="5"/>
      <c r="GA1401" s="5"/>
      <c r="GB1401" s="5"/>
      <c r="GC1401" s="5"/>
      <c r="GD1401" s="5"/>
      <c r="GE1401" s="5"/>
      <c r="GF1401" s="5"/>
      <c r="GG1401" s="5"/>
      <c r="GH1401" s="5"/>
      <c r="GI1401" s="5"/>
      <c r="GJ1401" s="5"/>
      <c r="GK1401" s="5"/>
      <c r="GL1401" s="5"/>
      <c r="GM1401" s="5"/>
      <c r="GN1401" s="5"/>
      <c r="GO1401" s="5"/>
      <c r="GP1401" s="5"/>
      <c r="GQ1401" s="5"/>
      <c r="GR1401" s="5"/>
      <c r="GS1401" s="5"/>
      <c r="GT1401" s="5"/>
      <c r="GU1401" s="5"/>
      <c r="GV1401" s="5"/>
      <c r="GW1401" s="5"/>
      <c r="GX1401" s="5"/>
      <c r="GY1401" s="5"/>
      <c r="GZ1401" s="5"/>
      <c r="HA1401" s="5"/>
      <c r="HB1401" s="5"/>
      <c r="HC1401" s="5"/>
      <c r="HD1401" s="5"/>
      <c r="HE1401" s="5"/>
      <c r="HF1401" s="5"/>
      <c r="HG1401" s="5"/>
      <c r="HH1401" s="5"/>
      <c r="HI1401" s="5"/>
      <c r="HJ1401" s="5"/>
      <c r="HK1401" s="5"/>
      <c r="HL1401" s="5"/>
      <c r="HM1401" s="5"/>
      <c r="HN1401" s="5"/>
      <c r="HO1401" s="5"/>
      <c r="HP1401" s="5"/>
      <c r="HQ1401" s="5"/>
      <c r="HR1401" s="5"/>
      <c r="HS1401" s="5"/>
      <c r="HT1401" s="5"/>
      <c r="HU1401" s="5"/>
      <c r="HV1401" s="5"/>
      <c r="HW1401" s="5"/>
      <c r="HX1401" s="5"/>
      <c r="HY1401" s="5"/>
      <c r="HZ1401" s="5"/>
      <c r="IA1401" s="5"/>
      <c r="IB1401" s="5"/>
      <c r="IC1401" s="5"/>
      <c r="ID1401" s="5"/>
      <c r="IE1401" s="5"/>
      <c r="IF1401" s="5"/>
      <c r="IG1401" s="5"/>
      <c r="IH1401" s="5"/>
      <c r="II1401" s="5"/>
      <c r="IJ1401" s="5"/>
      <c r="IK1401" s="5"/>
      <c r="IL1401" s="5"/>
      <c r="IM1401" s="5"/>
      <c r="IN1401" s="5"/>
      <c r="IO1401" s="5"/>
      <c r="IP1401" s="5"/>
      <c r="IQ1401" s="5"/>
      <c r="IR1401" s="5"/>
      <c r="IS1401" s="5"/>
      <c r="IT1401" s="5"/>
      <c r="IU1401" s="5"/>
      <c r="IV1401" s="5"/>
      <c r="IW1401" s="5"/>
      <c r="IX1401" s="5"/>
      <c r="IY1401" s="5"/>
      <c r="IZ1401" s="5"/>
      <c r="JA1401" s="5"/>
      <c r="JB1401" s="5"/>
      <c r="JC1401" s="5"/>
      <c r="JD1401" s="5"/>
      <c r="JE1401" s="5"/>
      <c r="JF1401" s="5"/>
      <c r="JG1401" s="5"/>
      <c r="JH1401" s="5"/>
      <c r="JI1401" s="5"/>
      <c r="JJ1401" s="5"/>
      <c r="JK1401" s="5"/>
      <c r="JL1401" s="5"/>
      <c r="JM1401" s="5"/>
      <c r="JN1401" s="5"/>
      <c r="JO1401" s="5"/>
      <c r="JP1401" s="5"/>
      <c r="JQ1401" s="5"/>
      <c r="JR1401" s="5"/>
      <c r="JS1401" s="5"/>
      <c r="JT1401" s="5"/>
      <c r="JU1401" s="5"/>
      <c r="JV1401" s="5"/>
      <c r="JW1401" s="5"/>
      <c r="JX1401" s="5"/>
      <c r="JY1401" s="5"/>
      <c r="JZ1401" s="5"/>
      <c r="KA1401" s="5"/>
      <c r="KB1401" s="5"/>
      <c r="KC1401" s="5"/>
      <c r="KD1401" s="5"/>
      <c r="KE1401" s="5"/>
      <c r="KF1401" s="5"/>
      <c r="KG1401" s="5"/>
      <c r="KH1401" s="5"/>
      <c r="KI1401" s="5"/>
      <c r="KJ1401" s="5"/>
      <c r="KK1401" s="5"/>
      <c r="KL1401" s="5"/>
      <c r="KM1401" s="5"/>
      <c r="KN1401" s="5"/>
      <c r="KO1401" s="5"/>
      <c r="KP1401" s="5"/>
      <c r="KQ1401" s="5"/>
      <c r="KR1401" s="5"/>
      <c r="KS1401" s="5"/>
      <c r="KT1401" s="5"/>
      <c r="KU1401" s="5"/>
      <c r="KV1401" s="5"/>
      <c r="KW1401" s="5"/>
      <c r="KX1401" s="5"/>
      <c r="KY1401" s="5"/>
      <c r="KZ1401" s="5"/>
      <c r="LA1401" s="5"/>
      <c r="LB1401" s="5"/>
      <c r="LC1401" s="5"/>
      <c r="LD1401" s="5"/>
      <c r="LE1401" s="5"/>
      <c r="LF1401" s="5"/>
      <c r="LG1401" s="5"/>
      <c r="LH1401" s="5"/>
      <c r="LI1401" s="5"/>
      <c r="LJ1401" s="5"/>
      <c r="LK1401" s="5"/>
      <c r="LL1401" s="5"/>
      <c r="LM1401" s="5"/>
      <c r="LN1401" s="5"/>
      <c r="LO1401" s="5"/>
      <c r="LP1401" s="5"/>
      <c r="LQ1401" s="5"/>
      <c r="LR1401" s="5"/>
      <c r="LS1401" s="5"/>
      <c r="LT1401" s="5"/>
      <c r="LU1401" s="5"/>
      <c r="LV1401" s="5"/>
      <c r="LW1401" s="5"/>
      <c r="LX1401" s="5"/>
      <c r="LY1401" s="5"/>
      <c r="LZ1401" s="5"/>
      <c r="MA1401" s="5"/>
      <c r="MB1401" s="5"/>
      <c r="MC1401" s="5"/>
      <c r="MD1401" s="5"/>
      <c r="ME1401" s="5"/>
      <c r="MF1401" s="5"/>
      <c r="MG1401" s="5"/>
      <c r="MH1401" s="5"/>
      <c r="MI1401" s="5"/>
      <c r="MJ1401" s="5"/>
      <c r="MK1401" s="5"/>
      <c r="ML1401" s="5"/>
      <c r="MM1401" s="5"/>
      <c r="MN1401" s="5"/>
      <c r="MO1401" s="5"/>
      <c r="MP1401" s="5"/>
      <c r="MQ1401" s="5"/>
      <c r="MR1401" s="5"/>
      <c r="MS1401" s="5"/>
      <c r="MT1401" s="5"/>
      <c r="MU1401" s="5"/>
      <c r="MV1401" s="5"/>
      <c r="MW1401" s="5"/>
      <c r="MX1401" s="5"/>
      <c r="MY1401" s="5"/>
      <c r="MZ1401" s="5"/>
      <c r="NA1401" s="5"/>
      <c r="NB1401" s="5"/>
      <c r="NC1401" s="5"/>
      <c r="ND1401" s="5"/>
      <c r="NE1401" s="5"/>
      <c r="NF1401" s="5"/>
      <c r="NG1401" s="5"/>
      <c r="NH1401" s="5"/>
      <c r="NI1401" s="5"/>
      <c r="NJ1401" s="5"/>
      <c r="NK1401" s="5"/>
      <c r="NL1401" s="5"/>
      <c r="NM1401" s="5"/>
      <c r="NN1401" s="5"/>
      <c r="NO1401" s="5"/>
      <c r="NP1401" s="5"/>
      <c r="NQ1401" s="5"/>
      <c r="NR1401" s="5"/>
      <c r="NS1401" s="5"/>
      <c r="NT1401" s="5"/>
      <c r="NU1401" s="5"/>
      <c r="NV1401" s="5"/>
      <c r="NW1401" s="5"/>
      <c r="NX1401" s="5"/>
      <c r="NY1401" s="5"/>
      <c r="NZ1401" s="5"/>
      <c r="OA1401" s="5"/>
      <c r="OB1401" s="5"/>
      <c r="OC1401" s="5"/>
      <c r="OD1401" s="5"/>
      <c r="OE1401" s="5"/>
      <c r="OF1401" s="5"/>
      <c r="OG1401" s="5"/>
      <c r="OH1401" s="5"/>
      <c r="OI1401" s="5"/>
      <c r="OJ1401" s="5"/>
      <c r="OK1401" s="5"/>
      <c r="OL1401" s="5"/>
      <c r="OM1401" s="5"/>
      <c r="ON1401" s="5"/>
      <c r="OO1401" s="5"/>
      <c r="OP1401" s="5"/>
      <c r="OQ1401" s="5"/>
      <c r="OR1401" s="5"/>
      <c r="OS1401" s="5"/>
      <c r="OT1401" s="5"/>
      <c r="OU1401" s="5"/>
      <c r="OV1401" s="5"/>
      <c r="OW1401" s="5"/>
      <c r="OX1401" s="5"/>
      <c r="OY1401" s="5"/>
      <c r="OZ1401" s="5"/>
      <c r="PA1401" s="5"/>
      <c r="PB1401" s="5"/>
      <c r="PC1401" s="5"/>
      <c r="PD1401" s="5"/>
      <c r="PE1401" s="5"/>
      <c r="PF1401" s="5"/>
      <c r="PG1401" s="5"/>
      <c r="PH1401" s="5"/>
      <c r="PI1401" s="5"/>
      <c r="PJ1401" s="5"/>
      <c r="PK1401" s="5"/>
      <c r="PL1401" s="5"/>
      <c r="PM1401" s="5"/>
      <c r="PN1401" s="5"/>
      <c r="PO1401" s="5"/>
      <c r="PP1401" s="5"/>
      <c r="PQ1401" s="5"/>
      <c r="PR1401" s="5"/>
      <c r="PS1401" s="5"/>
      <c r="PT1401" s="5"/>
      <c r="PU1401" s="5"/>
      <c r="PV1401" s="5"/>
      <c r="PW1401" s="5"/>
      <c r="PX1401" s="5"/>
      <c r="PY1401" s="5"/>
      <c r="PZ1401" s="5"/>
      <c r="QA1401" s="5"/>
      <c r="QB1401" s="5"/>
      <c r="QC1401" s="5"/>
      <c r="QD1401" s="5"/>
      <c r="QE1401" s="5"/>
      <c r="QF1401" s="5"/>
      <c r="QG1401" s="5"/>
      <c r="QH1401" s="5"/>
      <c r="QI1401" s="5"/>
      <c r="QJ1401" s="5"/>
      <c r="QK1401" s="5"/>
      <c r="QL1401" s="5"/>
      <c r="QM1401" s="5"/>
      <c r="QN1401" s="5"/>
      <c r="QO1401" s="5"/>
      <c r="QP1401" s="5"/>
      <c r="QQ1401" s="5"/>
      <c r="QR1401" s="5"/>
      <c r="QS1401" s="5"/>
      <c r="QT1401" s="5"/>
      <c r="QU1401" s="5"/>
      <c r="QV1401" s="5"/>
      <c r="QW1401" s="5"/>
      <c r="QX1401" s="5"/>
      <c r="QY1401" s="5"/>
      <c r="QZ1401" s="5"/>
      <c r="RA1401" s="5"/>
      <c r="RB1401" s="5"/>
      <c r="RC1401" s="5"/>
      <c r="RD1401" s="5"/>
      <c r="RE1401" s="5"/>
      <c r="RF1401" s="5"/>
      <c r="RG1401" s="5"/>
      <c r="RH1401" s="5"/>
      <c r="RI1401" s="5"/>
      <c r="RJ1401" s="5"/>
      <c r="RK1401" s="5"/>
      <c r="RL1401" s="5"/>
      <c r="RM1401" s="5"/>
      <c r="RN1401" s="5"/>
      <c r="RO1401" s="5"/>
      <c r="RP1401" s="5"/>
      <c r="RQ1401" s="5"/>
      <c r="RR1401" s="5"/>
      <c r="RS1401" s="5"/>
      <c r="RT1401" s="5"/>
      <c r="RU1401" s="5"/>
      <c r="RV1401" s="5"/>
      <c r="RW1401" s="5"/>
      <c r="RX1401" s="5"/>
      <c r="RY1401" s="5"/>
      <c r="RZ1401" s="5"/>
      <c r="SA1401" s="5"/>
      <c r="SB1401" s="5"/>
      <c r="SC1401" s="5"/>
      <c r="SD1401" s="5"/>
      <c r="SE1401" s="5"/>
      <c r="SF1401" s="5"/>
      <c r="SG1401" s="5"/>
      <c r="SH1401" s="5"/>
      <c r="SI1401" s="5"/>
      <c r="SJ1401" s="5"/>
      <c r="SK1401" s="5"/>
      <c r="SL1401" s="5"/>
      <c r="SM1401" s="5"/>
      <c r="SN1401" s="5"/>
      <c r="SO1401" s="5"/>
      <c r="SP1401" s="5"/>
      <c r="SQ1401" s="5"/>
      <c r="SR1401" s="5"/>
      <c r="SS1401" s="5"/>
      <c r="ST1401" s="5"/>
      <c r="SU1401" s="5"/>
      <c r="SV1401" s="5"/>
      <c r="SW1401" s="5"/>
      <c r="SX1401" s="5"/>
      <c r="SY1401" s="5"/>
      <c r="SZ1401" s="5"/>
      <c r="TA1401" s="5"/>
      <c r="TB1401" s="5"/>
      <c r="TC1401" s="5"/>
      <c r="TD1401" s="5"/>
      <c r="TE1401" s="5"/>
      <c r="TF1401" s="5"/>
      <c r="TG1401" s="5"/>
      <c r="TH1401" s="5"/>
      <c r="TI1401" s="5"/>
      <c r="TJ1401" s="5"/>
      <c r="TK1401" s="5"/>
      <c r="TL1401" s="5"/>
      <c r="TM1401" s="5"/>
      <c r="TN1401" s="5"/>
      <c r="TO1401" s="5"/>
      <c r="TP1401" s="5"/>
      <c r="TQ1401" s="5"/>
      <c r="TR1401" s="5"/>
      <c r="TS1401" s="5"/>
      <c r="TT1401" s="5"/>
      <c r="TU1401" s="5"/>
      <c r="TV1401" s="5"/>
      <c r="TW1401" s="5"/>
      <c r="TX1401" s="5"/>
      <c r="TY1401" s="5"/>
      <c r="TZ1401" s="5"/>
      <c r="UA1401" s="5"/>
      <c r="UB1401" s="5"/>
      <c r="UC1401" s="5"/>
      <c r="UD1401" s="5"/>
      <c r="UE1401" s="5"/>
      <c r="UF1401" s="5"/>
      <c r="UG1401" s="5"/>
      <c r="UH1401" s="5"/>
      <c r="UI1401" s="5"/>
      <c r="UJ1401" s="5"/>
      <c r="UK1401" s="5"/>
      <c r="UL1401" s="5"/>
      <c r="UM1401" s="5"/>
      <c r="UN1401" s="5"/>
      <c r="UO1401" s="5"/>
      <c r="UP1401" s="5"/>
      <c r="UQ1401" s="5"/>
      <c r="UR1401" s="5"/>
      <c r="US1401" s="5"/>
      <c r="UT1401" s="5"/>
      <c r="UU1401" s="5"/>
      <c r="UV1401" s="5"/>
      <c r="UW1401" s="5"/>
      <c r="UX1401" s="5"/>
      <c r="UY1401" s="5"/>
      <c r="UZ1401" s="5"/>
      <c r="VA1401" s="5"/>
      <c r="VB1401" s="5"/>
      <c r="VC1401" s="5"/>
      <c r="VD1401" s="5"/>
      <c r="VE1401" s="5"/>
      <c r="VF1401" s="5"/>
      <c r="VG1401" s="5"/>
      <c r="VH1401" s="5"/>
      <c r="VI1401" s="5"/>
      <c r="VJ1401" s="5"/>
      <c r="VK1401" s="5"/>
      <c r="VL1401" s="5"/>
      <c r="VM1401" s="5"/>
      <c r="VN1401" s="5"/>
      <c r="VO1401" s="5"/>
      <c r="VP1401" s="5"/>
      <c r="VQ1401" s="5"/>
      <c r="VR1401" s="5"/>
      <c r="VS1401" s="5"/>
      <c r="VT1401" s="5"/>
      <c r="VU1401" s="5"/>
      <c r="VV1401" s="5"/>
      <c r="VW1401" s="5"/>
      <c r="VX1401" s="5"/>
      <c r="VY1401" s="5"/>
      <c r="VZ1401" s="5"/>
      <c r="WA1401" s="5"/>
      <c r="WB1401" s="5"/>
      <c r="WC1401" s="5"/>
      <c r="WD1401" s="5"/>
      <c r="WE1401" s="5"/>
      <c r="WF1401" s="5"/>
      <c r="WG1401" s="5"/>
      <c r="WH1401" s="5"/>
      <c r="WI1401" s="5"/>
      <c r="WJ1401" s="5"/>
      <c r="WK1401" s="5"/>
      <c r="WL1401" s="5"/>
      <c r="WM1401" s="5"/>
      <c r="WN1401" s="5"/>
      <c r="WO1401" s="5"/>
      <c r="WP1401" s="5"/>
      <c r="WQ1401" s="5"/>
      <c r="WR1401" s="5"/>
      <c r="WS1401" s="5"/>
      <c r="WT1401" s="5"/>
      <c r="WU1401" s="5"/>
      <c r="WV1401" s="5"/>
      <c r="WW1401" s="5"/>
      <c r="WX1401" s="5"/>
      <c r="WY1401" s="5"/>
      <c r="WZ1401" s="5"/>
      <c r="XA1401" s="5"/>
      <c r="XB1401" s="5"/>
      <c r="XC1401" s="5"/>
      <c r="XD1401" s="5"/>
      <c r="XE1401" s="5"/>
      <c r="XF1401" s="5"/>
      <c r="XG1401" s="5"/>
      <c r="XH1401" s="5"/>
      <c r="XI1401" s="5"/>
      <c r="XJ1401" s="5"/>
      <c r="XK1401" s="5"/>
      <c r="XL1401" s="5"/>
      <c r="XM1401" s="5"/>
      <c r="XN1401" s="5"/>
      <c r="XO1401" s="5"/>
      <c r="XP1401" s="5"/>
      <c r="XQ1401" s="5"/>
      <c r="XR1401" s="5"/>
      <c r="XS1401" s="5"/>
      <c r="XT1401" s="5"/>
      <c r="XU1401" s="5"/>
      <c r="XV1401" s="5"/>
      <c r="XW1401" s="5"/>
      <c r="XX1401" s="5"/>
      <c r="XY1401" s="5"/>
      <c r="XZ1401" s="5"/>
      <c r="YA1401" s="5"/>
      <c r="YB1401" s="5"/>
      <c r="YC1401" s="5"/>
      <c r="YD1401" s="5"/>
      <c r="YE1401" s="5"/>
      <c r="YF1401" s="5"/>
      <c r="YG1401" s="5"/>
      <c r="YH1401" s="5"/>
      <c r="YI1401" s="5"/>
      <c r="YJ1401" s="5"/>
      <c r="YK1401" s="5"/>
      <c r="YL1401" s="5"/>
      <c r="YM1401" s="5"/>
      <c r="YN1401" s="5"/>
      <c r="YO1401" s="5"/>
      <c r="YP1401" s="5"/>
      <c r="YQ1401" s="5"/>
      <c r="YR1401" s="5"/>
      <c r="YS1401" s="5"/>
      <c r="YT1401" s="5"/>
      <c r="YU1401" s="5"/>
      <c r="YV1401" s="5"/>
      <c r="YW1401" s="5"/>
      <c r="YX1401" s="5"/>
      <c r="YY1401" s="5"/>
      <c r="YZ1401" s="5"/>
      <c r="ZA1401" s="5"/>
      <c r="ZB1401" s="5"/>
      <c r="ZC1401" s="5"/>
      <c r="ZD1401" s="5"/>
      <c r="ZE1401" s="5"/>
      <c r="ZF1401" s="5"/>
      <c r="ZG1401" s="5"/>
      <c r="ZH1401" s="5"/>
      <c r="ZI1401" s="5"/>
      <c r="ZJ1401" s="5"/>
      <c r="ZK1401" s="5"/>
      <c r="ZL1401" s="5"/>
      <c r="ZM1401" s="5"/>
      <c r="ZN1401" s="5"/>
      <c r="ZO1401" s="5"/>
      <c r="ZP1401" s="5"/>
      <c r="ZQ1401" s="5"/>
      <c r="ZR1401" s="5"/>
      <c r="ZS1401" s="5"/>
      <c r="ZT1401" s="5"/>
      <c r="ZU1401" s="5"/>
      <c r="ZV1401" s="5"/>
      <c r="ZW1401" s="5"/>
      <c r="ZX1401" s="5"/>
      <c r="ZY1401" s="5"/>
      <c r="ZZ1401" s="5"/>
      <c r="AAA1401" s="5"/>
      <c r="AAB1401" s="5"/>
      <c r="AAC1401" s="5"/>
      <c r="AAD1401" s="5"/>
      <c r="AAE1401" s="5"/>
      <c r="AAF1401" s="5"/>
      <c r="AAG1401" s="5"/>
      <c r="AAH1401" s="5"/>
      <c r="AAI1401" s="5"/>
      <c r="AAJ1401" s="5"/>
      <c r="AAK1401" s="5"/>
      <c r="AAL1401" s="5"/>
      <c r="AAM1401" s="5"/>
      <c r="AAN1401" s="5"/>
      <c r="AAO1401" s="5"/>
      <c r="AAP1401" s="5"/>
      <c r="AAQ1401" s="5"/>
      <c r="AAR1401" s="5"/>
      <c r="AAS1401" s="5"/>
      <c r="AAT1401" s="5"/>
      <c r="AAU1401" s="5"/>
      <c r="AAV1401" s="5"/>
      <c r="AAW1401" s="5"/>
      <c r="AAX1401" s="5"/>
      <c r="AAY1401" s="5"/>
      <c r="AAZ1401" s="5"/>
      <c r="ABA1401" s="5"/>
      <c r="ABB1401" s="5"/>
      <c r="ABC1401" s="5"/>
      <c r="ABD1401" s="5"/>
      <c r="ABE1401" s="5"/>
      <c r="ABF1401" s="5"/>
      <c r="ABG1401" s="5"/>
      <c r="ABH1401" s="5"/>
      <c r="ABI1401" s="5"/>
      <c r="ABJ1401" s="5"/>
      <c r="ABK1401" s="5"/>
      <c r="ABL1401" s="5"/>
      <c r="ABM1401" s="5"/>
      <c r="ABN1401" s="5"/>
      <c r="ABO1401" s="5"/>
      <c r="ABP1401" s="5"/>
      <c r="ABQ1401" s="5"/>
      <c r="ABR1401" s="5"/>
      <c r="ABS1401" s="5"/>
      <c r="ABT1401" s="5"/>
      <c r="ABU1401" s="5"/>
      <c r="ABV1401" s="5"/>
      <c r="ABW1401" s="5"/>
      <c r="ABX1401" s="5"/>
      <c r="ABY1401" s="5"/>
      <c r="ABZ1401" s="5"/>
      <c r="ACA1401" s="5"/>
      <c r="ACB1401" s="5"/>
      <c r="ACC1401" s="5"/>
      <c r="ACD1401" s="5"/>
      <c r="ACE1401" s="5"/>
      <c r="ACF1401" s="5"/>
      <c r="ACG1401" s="5"/>
      <c r="ACH1401" s="5"/>
      <c r="ACI1401" s="5"/>
      <c r="ACJ1401" s="5"/>
      <c r="ACK1401" s="5"/>
      <c r="ACL1401" s="5"/>
      <c r="ACM1401" s="5"/>
      <c r="ACN1401" s="5"/>
      <c r="ACO1401" s="5"/>
      <c r="ACP1401" s="5"/>
      <c r="ACQ1401" s="5"/>
      <c r="ACR1401" s="5"/>
      <c r="ACS1401" s="5"/>
      <c r="ACT1401" s="5"/>
      <c r="ACU1401" s="5"/>
      <c r="ACV1401" s="5"/>
      <c r="ACW1401" s="5"/>
      <c r="ACX1401" s="5"/>
      <c r="ACY1401" s="5"/>
      <c r="ACZ1401" s="5"/>
      <c r="ADA1401" s="5"/>
      <c r="ADB1401" s="5"/>
      <c r="ADC1401" s="5"/>
      <c r="ADD1401" s="5"/>
      <c r="ADE1401" s="5"/>
      <c r="ADF1401" s="5"/>
      <c r="ADG1401" s="5"/>
      <c r="ADH1401" s="5"/>
      <c r="ADI1401" s="5"/>
      <c r="ADJ1401" s="5"/>
      <c r="ADK1401" s="5"/>
      <c r="ADL1401" s="5"/>
      <c r="ADM1401" s="5"/>
      <c r="ADN1401" s="5"/>
      <c r="ADO1401" s="5"/>
      <c r="ADP1401" s="5"/>
      <c r="ADQ1401" s="5"/>
      <c r="ADR1401" s="5"/>
      <c r="ADS1401" s="5"/>
      <c r="ADT1401" s="5"/>
      <c r="ADU1401" s="5"/>
      <c r="ADV1401" s="5"/>
      <c r="ADW1401" s="5"/>
      <c r="ADX1401" s="5"/>
      <c r="ADY1401" s="5"/>
      <c r="ADZ1401" s="5"/>
      <c r="AEA1401" s="5"/>
      <c r="AEB1401" s="5"/>
      <c r="AEC1401" s="5"/>
      <c r="AED1401" s="5"/>
      <c r="AEE1401" s="5"/>
      <c r="AEF1401" s="5"/>
      <c r="AEG1401" s="5"/>
      <c r="AEH1401" s="5"/>
      <c r="AEI1401" s="5"/>
      <c r="AEJ1401" s="5"/>
      <c r="AEK1401" s="5"/>
      <c r="AEL1401" s="5"/>
      <c r="AEM1401" s="5"/>
      <c r="AEN1401" s="5"/>
      <c r="AEO1401" s="5"/>
      <c r="AEP1401" s="5"/>
      <c r="AEQ1401" s="5"/>
      <c r="AER1401" s="5"/>
      <c r="AES1401" s="5"/>
      <c r="AET1401" s="5"/>
      <c r="AEU1401" s="5"/>
      <c r="AEV1401" s="5"/>
      <c r="AEW1401" s="5"/>
      <c r="AEX1401" s="5"/>
      <c r="AEY1401" s="5"/>
      <c r="AEZ1401" s="5"/>
      <c r="AFA1401" s="5"/>
      <c r="AFB1401" s="5"/>
      <c r="AFC1401" s="5"/>
      <c r="AFD1401" s="5"/>
      <c r="AFE1401" s="5"/>
      <c r="AFF1401" s="5"/>
      <c r="AFG1401" s="5"/>
      <c r="AFH1401" s="5"/>
      <c r="AFI1401" s="5"/>
      <c r="AFJ1401" s="5"/>
      <c r="AFK1401" s="5"/>
      <c r="AFL1401" s="5"/>
      <c r="AFM1401" s="5"/>
      <c r="AFN1401" s="5"/>
      <c r="AFO1401" s="5"/>
      <c r="AFP1401" s="5"/>
      <c r="AFQ1401" s="5"/>
      <c r="AFR1401" s="5"/>
      <c r="AFS1401" s="5"/>
      <c r="AFT1401" s="5"/>
      <c r="AFU1401" s="5"/>
      <c r="AFV1401" s="5"/>
      <c r="AFW1401" s="5"/>
      <c r="AFX1401" s="5"/>
      <c r="AFY1401" s="5"/>
      <c r="AFZ1401" s="5"/>
      <c r="AGA1401" s="5"/>
      <c r="AGB1401" s="5"/>
      <c r="AGC1401" s="5"/>
      <c r="AGD1401" s="5"/>
      <c r="AGE1401" s="5"/>
      <c r="AGF1401" s="5"/>
      <c r="AGG1401" s="5"/>
      <c r="AGH1401" s="5"/>
      <c r="AGI1401" s="5"/>
      <c r="AGJ1401" s="5"/>
      <c r="AGK1401" s="5"/>
      <c r="AGL1401" s="5"/>
      <c r="AGM1401" s="5"/>
      <c r="AGN1401" s="5"/>
      <c r="AGO1401" s="5"/>
      <c r="AGP1401" s="5"/>
      <c r="AGQ1401" s="5"/>
      <c r="AGR1401" s="5"/>
      <c r="AGS1401" s="5"/>
      <c r="AGT1401" s="5"/>
      <c r="AGU1401" s="5"/>
      <c r="AGV1401" s="5"/>
      <c r="AGW1401" s="5"/>
      <c r="AGX1401" s="5"/>
      <c r="AGY1401" s="5"/>
      <c r="AGZ1401" s="5"/>
      <c r="AHA1401" s="5"/>
      <c r="AHB1401" s="5"/>
      <c r="AHC1401" s="5"/>
      <c r="AHD1401" s="5"/>
      <c r="AHE1401" s="5"/>
      <c r="AHF1401" s="5"/>
      <c r="AHG1401" s="5"/>
      <c r="AHH1401" s="5"/>
      <c r="AHI1401" s="5"/>
      <c r="AHJ1401" s="5"/>
      <c r="AHK1401" s="5"/>
      <c r="AHL1401" s="5"/>
      <c r="AHM1401" s="5"/>
      <c r="AHN1401" s="5"/>
      <c r="AHO1401" s="5"/>
      <c r="AHP1401" s="5"/>
      <c r="AHQ1401" s="5"/>
      <c r="AHR1401" s="5"/>
      <c r="AHS1401" s="5"/>
      <c r="AHT1401" s="5"/>
      <c r="AHU1401" s="5"/>
      <c r="AHV1401" s="5"/>
      <c r="AHW1401" s="5"/>
      <c r="AHX1401" s="5"/>
      <c r="AHY1401" s="5"/>
      <c r="AHZ1401" s="5"/>
      <c r="AIA1401" s="5"/>
      <c r="AIB1401" s="5"/>
      <c r="AIC1401" s="5"/>
      <c r="AID1401" s="5"/>
      <c r="AIE1401" s="5"/>
      <c r="AIF1401" s="5"/>
      <c r="AIG1401" s="5"/>
      <c r="AIH1401" s="5"/>
      <c r="AII1401" s="5"/>
      <c r="AIJ1401" s="5"/>
      <c r="AIK1401" s="5"/>
      <c r="AIL1401" s="5"/>
      <c r="AIM1401" s="5"/>
      <c r="AIN1401" s="5"/>
      <c r="AIO1401" s="5"/>
      <c r="AIP1401" s="5"/>
      <c r="AIQ1401" s="5"/>
      <c r="AIR1401" s="5"/>
      <c r="AIS1401" s="5"/>
      <c r="AIT1401" s="5"/>
      <c r="AIU1401" s="5"/>
      <c r="AIV1401" s="5"/>
      <c r="AIW1401" s="5"/>
      <c r="AIX1401" s="5"/>
      <c r="AIY1401" s="5"/>
      <c r="AIZ1401" s="5"/>
      <c r="AJA1401" s="5"/>
      <c r="AJB1401" s="5"/>
      <c r="AJC1401" s="5"/>
      <c r="AJD1401" s="5"/>
      <c r="AJE1401" s="5"/>
      <c r="AJF1401" s="5"/>
      <c r="AJG1401" s="5"/>
      <c r="AJH1401" s="5"/>
      <c r="AJI1401" s="5"/>
      <c r="AJJ1401" s="5"/>
      <c r="AJK1401" s="5"/>
      <c r="AJL1401" s="5"/>
      <c r="AJM1401" s="5"/>
      <c r="AJN1401" s="5"/>
      <c r="AJO1401" s="5"/>
      <c r="AJP1401" s="5"/>
      <c r="AJQ1401" s="5"/>
      <c r="AJR1401" s="5"/>
      <c r="AJS1401" s="5"/>
      <c r="AJT1401" s="5"/>
      <c r="AJU1401" s="5"/>
      <c r="AJV1401" s="5"/>
      <c r="AJW1401" s="5"/>
      <c r="AJX1401" s="5"/>
      <c r="AJY1401" s="5"/>
      <c r="AJZ1401" s="5"/>
      <c r="AKA1401" s="5"/>
      <c r="AKB1401" s="5"/>
      <c r="AKC1401" s="5"/>
      <c r="AKD1401" s="5"/>
      <c r="AKE1401" s="5"/>
      <c r="AKF1401" s="5"/>
      <c r="AKG1401" s="5"/>
      <c r="AKH1401" s="5"/>
      <c r="AKI1401" s="5"/>
      <c r="AKJ1401" s="5"/>
      <c r="AKK1401" s="5"/>
      <c r="AKL1401" s="5"/>
      <c r="AKM1401" s="5"/>
      <c r="AKN1401" s="5"/>
      <c r="AKO1401" s="5"/>
      <c r="AKP1401" s="5"/>
      <c r="AKQ1401" s="5"/>
      <c r="AKR1401" s="5"/>
      <c r="AKS1401" s="5"/>
      <c r="AKT1401" s="5"/>
      <c r="AKU1401" s="5"/>
      <c r="AKV1401" s="5"/>
      <c r="AKW1401" s="5"/>
      <c r="AKX1401" s="5"/>
      <c r="AKY1401" s="5"/>
      <c r="AKZ1401" s="5"/>
      <c r="ALA1401" s="5"/>
      <c r="ALB1401" s="5"/>
      <c r="ALC1401" s="5"/>
      <c r="ALD1401" s="5"/>
      <c r="ALE1401" s="5"/>
      <c r="ALF1401" s="5"/>
      <c r="ALG1401" s="5"/>
      <c r="ALH1401" s="5"/>
      <c r="ALI1401" s="5"/>
      <c r="ALJ1401" s="5"/>
      <c r="ALK1401" s="5"/>
      <c r="ALL1401" s="5"/>
      <c r="ALM1401" s="5"/>
      <c r="ALN1401" s="5"/>
      <c r="ALO1401" s="5"/>
      <c r="ALP1401" s="5"/>
      <c r="ALQ1401" s="5"/>
      <c r="ALR1401" s="5"/>
      <c r="ALS1401" s="5"/>
      <c r="ALT1401" s="5"/>
      <c r="ALU1401" s="5"/>
      <c r="ALV1401" s="5"/>
      <c r="ALW1401" s="5"/>
      <c r="ALX1401" s="5"/>
      <c r="ALY1401" s="5"/>
      <c r="ALZ1401" s="5"/>
      <c r="AMA1401" s="5"/>
      <c r="AMB1401" s="5"/>
      <c r="AMC1401" s="5"/>
      <c r="AMD1401" s="5"/>
      <c r="AME1401" s="5"/>
      <c r="AMF1401" s="5"/>
      <c r="AMG1401" s="5"/>
      <c r="AMH1401" s="5"/>
      <c r="AMI1401" s="5"/>
      <c r="AMJ1401" s="5"/>
      <c r="AMK1401" s="5"/>
      <c r="AML1401" s="5"/>
      <c r="AMM1401" s="5"/>
      <c r="AMN1401" s="5"/>
      <c r="AMO1401" s="5"/>
      <c r="AMP1401" s="5"/>
      <c r="AMQ1401" s="5"/>
      <c r="AMR1401" s="5"/>
      <c r="AMS1401" s="5"/>
      <c r="AMT1401" s="5"/>
      <c r="AMU1401" s="5"/>
      <c r="AMV1401" s="5"/>
      <c r="AMW1401" s="5"/>
      <c r="AMX1401" s="5"/>
      <c r="AMY1401" s="5"/>
      <c r="AMZ1401" s="5"/>
      <c r="ANA1401" s="5"/>
      <c r="ANB1401" s="5"/>
      <c r="ANC1401" s="5"/>
      <c r="AND1401" s="5"/>
      <c r="ANE1401" s="5"/>
      <c r="ANF1401" s="5"/>
      <c r="ANG1401" s="5"/>
      <c r="ANH1401" s="5"/>
      <c r="ANI1401" s="5"/>
      <c r="ANJ1401" s="5"/>
      <c r="ANK1401" s="5"/>
      <c r="ANL1401" s="5"/>
      <c r="ANM1401" s="5"/>
      <c r="ANN1401" s="5"/>
      <c r="ANO1401" s="5"/>
      <c r="ANP1401" s="5"/>
      <c r="ANQ1401" s="5"/>
      <c r="ANR1401" s="5"/>
      <c r="ANS1401" s="5"/>
      <c r="ANT1401" s="5"/>
      <c r="ANU1401" s="5"/>
      <c r="ANV1401" s="5"/>
      <c r="ANW1401" s="5"/>
      <c r="ANX1401" s="5"/>
      <c r="ANY1401" s="5"/>
      <c r="ANZ1401" s="5"/>
      <c r="AOA1401" s="5"/>
      <c r="AOB1401" s="5"/>
      <c r="AOC1401" s="5"/>
      <c r="AOD1401" s="5"/>
      <c r="AOE1401" s="5"/>
      <c r="AOF1401" s="5"/>
      <c r="AOG1401" s="5"/>
      <c r="AOH1401" s="5"/>
      <c r="AOI1401" s="5"/>
      <c r="AOJ1401" s="5"/>
      <c r="AOK1401" s="5"/>
      <c r="AOL1401" s="5"/>
      <c r="AOM1401" s="5"/>
      <c r="AON1401" s="5"/>
      <c r="AOO1401" s="5"/>
      <c r="AOP1401" s="5"/>
      <c r="AOQ1401" s="5"/>
      <c r="AOR1401" s="5"/>
      <c r="AOS1401" s="5"/>
      <c r="AOT1401" s="5"/>
      <c r="AOU1401" s="5"/>
      <c r="AOV1401" s="5"/>
      <c r="AOW1401" s="5"/>
      <c r="AOX1401" s="5"/>
      <c r="AOY1401" s="5"/>
      <c r="AOZ1401" s="5"/>
      <c r="APA1401" s="5"/>
      <c r="APB1401" s="5"/>
      <c r="APC1401" s="5"/>
      <c r="APD1401" s="5"/>
      <c r="APE1401" s="5"/>
      <c r="APF1401" s="5"/>
      <c r="APG1401" s="5"/>
      <c r="APH1401" s="5"/>
      <c r="API1401" s="5"/>
      <c r="APJ1401" s="5"/>
      <c r="APK1401" s="5"/>
      <c r="APL1401" s="5"/>
      <c r="APM1401" s="5"/>
      <c r="APN1401" s="5"/>
      <c r="APO1401" s="5"/>
      <c r="APP1401" s="5"/>
      <c r="APQ1401" s="5"/>
      <c r="APR1401" s="5"/>
      <c r="APS1401" s="5"/>
      <c r="APT1401" s="5"/>
      <c r="APU1401" s="5"/>
      <c r="APV1401" s="5"/>
      <c r="APW1401" s="5"/>
      <c r="APX1401" s="5"/>
      <c r="APY1401" s="5"/>
      <c r="APZ1401" s="5"/>
      <c r="AQA1401" s="5"/>
      <c r="AQB1401" s="5"/>
      <c r="AQC1401" s="5"/>
      <c r="AQD1401" s="5"/>
      <c r="AQE1401" s="5"/>
      <c r="AQF1401" s="5"/>
      <c r="AQG1401" s="5"/>
      <c r="AQH1401" s="5"/>
      <c r="AQI1401" s="5"/>
      <c r="AQJ1401" s="5"/>
      <c r="AQK1401" s="5"/>
      <c r="AQL1401" s="5"/>
      <c r="AQM1401" s="5"/>
      <c r="AQN1401" s="5"/>
      <c r="AQO1401" s="5"/>
      <c r="AQP1401" s="5"/>
      <c r="AQQ1401" s="5"/>
      <c r="AQR1401" s="5"/>
      <c r="AQS1401" s="5"/>
      <c r="AQT1401" s="5"/>
      <c r="AQU1401" s="5"/>
      <c r="AQV1401" s="5"/>
      <c r="AQW1401" s="5"/>
      <c r="AQX1401" s="5"/>
      <c r="AQY1401" s="5"/>
      <c r="AQZ1401" s="5"/>
      <c r="ARA1401" s="5"/>
      <c r="ARB1401" s="5"/>
      <c r="ARC1401" s="5"/>
      <c r="ARD1401" s="5"/>
      <c r="ARE1401" s="5"/>
      <c r="ARF1401" s="5"/>
      <c r="ARG1401" s="5"/>
      <c r="ARH1401" s="5"/>
      <c r="ARI1401" s="5"/>
      <c r="ARJ1401" s="5"/>
      <c r="ARK1401" s="5"/>
      <c r="ARL1401" s="5"/>
      <c r="ARM1401" s="5"/>
      <c r="ARN1401" s="5"/>
      <c r="ARO1401" s="5"/>
      <c r="ARP1401" s="5"/>
      <c r="ARQ1401" s="5"/>
      <c r="ARR1401" s="5"/>
      <c r="ARS1401" s="5"/>
      <c r="ART1401" s="5"/>
      <c r="ARU1401" s="5"/>
      <c r="ARV1401" s="5"/>
      <c r="ARW1401" s="5"/>
      <c r="ARX1401" s="5"/>
      <c r="ARY1401" s="5"/>
      <c r="ARZ1401" s="5"/>
      <c r="ASA1401" s="5"/>
      <c r="ASB1401" s="5"/>
      <c r="ASC1401" s="5"/>
      <c r="ASD1401" s="5"/>
      <c r="ASE1401" s="5"/>
      <c r="ASF1401" s="5"/>
      <c r="ASG1401" s="5"/>
      <c r="ASH1401" s="5"/>
      <c r="ASI1401" s="5"/>
      <c r="ASJ1401" s="5"/>
      <c r="ASK1401" s="5"/>
      <c r="ASL1401" s="5"/>
      <c r="ASM1401" s="5"/>
      <c r="ASN1401" s="5"/>
      <c r="ASO1401" s="5"/>
      <c r="ASP1401" s="5"/>
      <c r="ASQ1401" s="5"/>
      <c r="ASR1401" s="5"/>
      <c r="ASS1401" s="5"/>
      <c r="AST1401" s="5"/>
      <c r="ASU1401" s="5"/>
      <c r="ASV1401" s="5"/>
      <c r="ASW1401" s="5"/>
      <c r="ASX1401" s="5"/>
      <c r="ASY1401" s="5"/>
      <c r="ASZ1401" s="5"/>
      <c r="ATA1401" s="5"/>
      <c r="ATB1401" s="5"/>
      <c r="ATC1401" s="5"/>
      <c r="ATD1401" s="5"/>
      <c r="ATE1401" s="5"/>
      <c r="ATF1401" s="5"/>
      <c r="ATG1401" s="5"/>
      <c r="ATH1401" s="5"/>
      <c r="ATI1401" s="5"/>
      <c r="ATJ1401" s="5"/>
      <c r="ATK1401" s="5"/>
      <c r="ATL1401" s="5"/>
      <c r="ATM1401" s="5"/>
      <c r="ATN1401" s="5"/>
      <c r="ATO1401" s="5"/>
      <c r="ATP1401" s="5"/>
      <c r="ATQ1401" s="5"/>
      <c r="ATR1401" s="5"/>
      <c r="ATS1401" s="5"/>
      <c r="ATT1401" s="5"/>
      <c r="ATU1401" s="5"/>
      <c r="ATV1401" s="5"/>
      <c r="ATW1401" s="5"/>
      <c r="ATX1401" s="5"/>
    </row>
    <row r="1402" spans="1:1220" s="74" customFormat="1" ht="12.75" customHeight="1" x14ac:dyDescent="0.35">
      <c r="A1402" s="76" t="s">
        <v>1029</v>
      </c>
      <c r="B1402" s="99" t="s">
        <v>231</v>
      </c>
      <c r="C1402" s="76" t="s">
        <v>3943</v>
      </c>
      <c r="D1402" s="142"/>
      <c r="E1402" s="76"/>
      <c r="F1402" s="5"/>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c r="BI1402" s="5"/>
      <c r="BJ1402" s="5"/>
      <c r="BK1402" s="5"/>
      <c r="BL1402" s="5"/>
      <c r="BM1402" s="5"/>
      <c r="BN1402" s="5"/>
      <c r="BO1402" s="5"/>
      <c r="BP1402" s="5"/>
      <c r="BQ1402" s="5"/>
      <c r="BR1402" s="5"/>
      <c r="BS1402" s="5"/>
      <c r="BT1402" s="5"/>
      <c r="BU1402" s="5"/>
      <c r="BV1402" s="5"/>
      <c r="BW1402" s="5"/>
      <c r="BX1402" s="5"/>
      <c r="BY1402" s="5"/>
      <c r="BZ1402" s="5"/>
      <c r="CA1402" s="5"/>
      <c r="CB1402" s="5"/>
      <c r="CC1402" s="5"/>
      <c r="CD1402" s="5"/>
      <c r="CE1402" s="5"/>
      <c r="CF1402" s="5"/>
      <c r="CG1402" s="5"/>
      <c r="CH1402" s="5"/>
      <c r="CI1402" s="5"/>
      <c r="CJ1402" s="5"/>
      <c r="CK1402" s="5"/>
      <c r="CL1402" s="5"/>
      <c r="CM1402" s="5"/>
      <c r="CN1402" s="5"/>
      <c r="CO1402" s="5"/>
      <c r="CP1402" s="5"/>
      <c r="CQ1402" s="5"/>
      <c r="CR1402" s="5"/>
      <c r="CS1402" s="5"/>
      <c r="CT1402" s="5"/>
      <c r="CU1402" s="5"/>
      <c r="CV1402" s="5"/>
      <c r="CW1402" s="5"/>
      <c r="CX1402" s="5"/>
      <c r="CY1402" s="5"/>
      <c r="CZ1402" s="5"/>
      <c r="DA1402" s="5"/>
      <c r="DB1402" s="5"/>
      <c r="DC1402" s="5"/>
      <c r="DD1402" s="5"/>
      <c r="DE1402" s="5"/>
      <c r="DF1402" s="5"/>
      <c r="DG1402" s="5"/>
      <c r="DH1402" s="5"/>
      <c r="DI1402" s="5"/>
      <c r="DJ1402" s="5"/>
      <c r="DK1402" s="5"/>
      <c r="DL1402" s="5"/>
      <c r="DM1402" s="5"/>
      <c r="DN1402" s="5"/>
      <c r="DO1402" s="5"/>
      <c r="DP1402" s="5"/>
      <c r="DQ1402" s="5"/>
      <c r="DR1402" s="5"/>
      <c r="DS1402" s="5"/>
      <c r="DT1402" s="5"/>
      <c r="DU1402" s="5"/>
      <c r="DV1402" s="5"/>
      <c r="DW1402" s="5"/>
      <c r="DX1402" s="5"/>
      <c r="DY1402" s="5"/>
      <c r="DZ1402" s="5"/>
      <c r="EA1402" s="5"/>
      <c r="EB1402" s="5"/>
      <c r="EC1402" s="5"/>
      <c r="ED1402" s="5"/>
      <c r="EE1402" s="5"/>
      <c r="EF1402" s="5"/>
      <c r="EG1402" s="5"/>
      <c r="EH1402" s="5"/>
      <c r="EI1402" s="5"/>
      <c r="EJ1402" s="5"/>
      <c r="EK1402" s="5"/>
      <c r="EL1402" s="5"/>
      <c r="EM1402" s="5"/>
      <c r="EN1402" s="5"/>
      <c r="EO1402" s="5"/>
      <c r="EP1402" s="5"/>
      <c r="EQ1402" s="5"/>
      <c r="ER1402" s="5"/>
      <c r="ES1402" s="5"/>
      <c r="ET1402" s="5"/>
      <c r="EU1402" s="5"/>
      <c r="EV1402" s="5"/>
      <c r="EW1402" s="5"/>
      <c r="EX1402" s="5"/>
      <c r="EY1402" s="5"/>
      <c r="EZ1402" s="5"/>
      <c r="FA1402" s="5"/>
      <c r="FB1402" s="5"/>
      <c r="FC1402" s="5"/>
      <c r="FD1402" s="5"/>
      <c r="FE1402" s="5"/>
      <c r="FF1402" s="5"/>
      <c r="FG1402" s="5"/>
      <c r="FH1402" s="5"/>
      <c r="FI1402" s="5"/>
      <c r="FJ1402" s="5"/>
      <c r="FK1402" s="5"/>
      <c r="FL1402" s="5"/>
      <c r="FM1402" s="5"/>
      <c r="FN1402" s="5"/>
      <c r="FO1402" s="5"/>
      <c r="FP1402" s="5"/>
      <c r="FQ1402" s="5"/>
      <c r="FR1402" s="5"/>
      <c r="FS1402" s="5"/>
      <c r="FT1402" s="5"/>
      <c r="FU1402" s="5"/>
      <c r="FV1402" s="5"/>
      <c r="FW1402" s="5"/>
      <c r="FX1402" s="5"/>
      <c r="FY1402" s="5"/>
      <c r="FZ1402" s="5"/>
      <c r="GA1402" s="5"/>
      <c r="GB1402" s="5"/>
      <c r="GC1402" s="5"/>
      <c r="GD1402" s="5"/>
      <c r="GE1402" s="5"/>
      <c r="GF1402" s="5"/>
      <c r="GG1402" s="5"/>
      <c r="GH1402" s="5"/>
      <c r="GI1402" s="5"/>
      <c r="GJ1402" s="5"/>
      <c r="GK1402" s="5"/>
      <c r="GL1402" s="5"/>
      <c r="GM1402" s="5"/>
      <c r="GN1402" s="5"/>
      <c r="GO1402" s="5"/>
      <c r="GP1402" s="5"/>
      <c r="GQ1402" s="5"/>
      <c r="GR1402" s="5"/>
      <c r="GS1402" s="5"/>
      <c r="GT1402" s="5"/>
      <c r="GU1402" s="5"/>
      <c r="GV1402" s="5"/>
      <c r="GW1402" s="5"/>
      <c r="GX1402" s="5"/>
      <c r="GY1402" s="5"/>
      <c r="GZ1402" s="5"/>
      <c r="HA1402" s="5"/>
      <c r="HB1402" s="5"/>
      <c r="HC1402" s="5"/>
      <c r="HD1402" s="5"/>
      <c r="HE1402" s="5"/>
      <c r="HF1402" s="5"/>
      <c r="HG1402" s="5"/>
      <c r="HH1402" s="5"/>
      <c r="HI1402" s="5"/>
      <c r="HJ1402" s="5"/>
      <c r="HK1402" s="5"/>
      <c r="HL1402" s="5"/>
      <c r="HM1402" s="5"/>
      <c r="HN1402" s="5"/>
      <c r="HO1402" s="5"/>
      <c r="HP1402" s="5"/>
      <c r="HQ1402" s="5"/>
      <c r="HR1402" s="5"/>
      <c r="HS1402" s="5"/>
      <c r="HT1402" s="5"/>
      <c r="HU1402" s="5"/>
      <c r="HV1402" s="5"/>
      <c r="HW1402" s="5"/>
      <c r="HX1402" s="5"/>
      <c r="HY1402" s="5"/>
      <c r="HZ1402" s="5"/>
      <c r="IA1402" s="5"/>
      <c r="IB1402" s="5"/>
      <c r="IC1402" s="5"/>
      <c r="ID1402" s="5"/>
      <c r="IE1402" s="5"/>
      <c r="IF1402" s="5"/>
      <c r="IG1402" s="5"/>
      <c r="IH1402" s="5"/>
      <c r="II1402" s="5"/>
      <c r="IJ1402" s="5"/>
      <c r="IK1402" s="5"/>
      <c r="IL1402" s="5"/>
      <c r="IM1402" s="5"/>
      <c r="IN1402" s="5"/>
      <c r="IO1402" s="5"/>
      <c r="IP1402" s="5"/>
      <c r="IQ1402" s="5"/>
      <c r="IR1402" s="5"/>
      <c r="IS1402" s="5"/>
      <c r="IT1402" s="5"/>
      <c r="IU1402" s="5"/>
      <c r="IV1402" s="5"/>
      <c r="IW1402" s="5"/>
      <c r="IX1402" s="5"/>
      <c r="IY1402" s="5"/>
      <c r="IZ1402" s="5"/>
      <c r="JA1402" s="5"/>
      <c r="JB1402" s="5"/>
      <c r="JC1402" s="5"/>
      <c r="JD1402" s="5"/>
      <c r="JE1402" s="5"/>
      <c r="JF1402" s="5"/>
      <c r="JG1402" s="5"/>
      <c r="JH1402" s="5"/>
      <c r="JI1402" s="5"/>
      <c r="JJ1402" s="5"/>
      <c r="JK1402" s="5"/>
      <c r="JL1402" s="5"/>
      <c r="JM1402" s="5"/>
      <c r="JN1402" s="5"/>
      <c r="JO1402" s="5"/>
      <c r="JP1402" s="5"/>
      <c r="JQ1402" s="5"/>
      <c r="JR1402" s="5"/>
      <c r="JS1402" s="5"/>
      <c r="JT1402" s="5"/>
      <c r="JU1402" s="5"/>
      <c r="JV1402" s="5"/>
      <c r="JW1402" s="5"/>
      <c r="JX1402" s="5"/>
      <c r="JY1402" s="5"/>
      <c r="JZ1402" s="5"/>
      <c r="KA1402" s="5"/>
      <c r="KB1402" s="5"/>
      <c r="KC1402" s="5"/>
      <c r="KD1402" s="5"/>
      <c r="KE1402" s="5"/>
      <c r="KF1402" s="5"/>
      <c r="KG1402" s="5"/>
      <c r="KH1402" s="5"/>
      <c r="KI1402" s="5"/>
      <c r="KJ1402" s="5"/>
      <c r="KK1402" s="5"/>
      <c r="KL1402" s="5"/>
      <c r="KM1402" s="5"/>
      <c r="KN1402" s="5"/>
      <c r="KO1402" s="5"/>
      <c r="KP1402" s="5"/>
      <c r="KQ1402" s="5"/>
      <c r="KR1402" s="5"/>
      <c r="KS1402" s="5"/>
      <c r="KT1402" s="5"/>
      <c r="KU1402" s="5"/>
      <c r="KV1402" s="5"/>
      <c r="KW1402" s="5"/>
      <c r="KX1402" s="5"/>
      <c r="KY1402" s="5"/>
      <c r="KZ1402" s="5"/>
      <c r="LA1402" s="5"/>
      <c r="LB1402" s="5"/>
      <c r="LC1402" s="5"/>
      <c r="LD1402" s="5"/>
      <c r="LE1402" s="5"/>
      <c r="LF1402" s="5"/>
      <c r="LG1402" s="5"/>
      <c r="LH1402" s="5"/>
      <c r="LI1402" s="5"/>
      <c r="LJ1402" s="5"/>
      <c r="LK1402" s="5"/>
      <c r="LL1402" s="5"/>
      <c r="LM1402" s="5"/>
      <c r="LN1402" s="5"/>
      <c r="LO1402" s="5"/>
      <c r="LP1402" s="5"/>
      <c r="LQ1402" s="5"/>
      <c r="LR1402" s="5"/>
      <c r="LS1402" s="5"/>
      <c r="LT1402" s="5"/>
      <c r="LU1402" s="5"/>
      <c r="LV1402" s="5"/>
      <c r="LW1402" s="5"/>
      <c r="LX1402" s="5"/>
      <c r="LY1402" s="5"/>
      <c r="LZ1402" s="5"/>
      <c r="MA1402" s="5"/>
      <c r="MB1402" s="5"/>
      <c r="MC1402" s="5"/>
      <c r="MD1402" s="5"/>
      <c r="ME1402" s="5"/>
      <c r="MF1402" s="5"/>
      <c r="MG1402" s="5"/>
      <c r="MH1402" s="5"/>
      <c r="MI1402" s="5"/>
      <c r="MJ1402" s="5"/>
      <c r="MK1402" s="5"/>
      <c r="ML1402" s="5"/>
      <c r="MM1402" s="5"/>
      <c r="MN1402" s="5"/>
      <c r="MO1402" s="5"/>
      <c r="MP1402" s="5"/>
      <c r="MQ1402" s="5"/>
      <c r="MR1402" s="5"/>
      <c r="MS1402" s="5"/>
      <c r="MT1402" s="5"/>
      <c r="MU1402" s="5"/>
      <c r="MV1402" s="5"/>
      <c r="MW1402" s="5"/>
      <c r="MX1402" s="5"/>
      <c r="MY1402" s="5"/>
      <c r="MZ1402" s="5"/>
      <c r="NA1402" s="5"/>
      <c r="NB1402" s="5"/>
      <c r="NC1402" s="5"/>
      <c r="ND1402" s="5"/>
      <c r="NE1402" s="5"/>
      <c r="NF1402" s="5"/>
      <c r="NG1402" s="5"/>
      <c r="NH1402" s="5"/>
      <c r="NI1402" s="5"/>
      <c r="NJ1402" s="5"/>
      <c r="NK1402" s="5"/>
      <c r="NL1402" s="5"/>
      <c r="NM1402" s="5"/>
      <c r="NN1402" s="5"/>
      <c r="NO1402" s="5"/>
      <c r="NP1402" s="5"/>
      <c r="NQ1402" s="5"/>
      <c r="NR1402" s="5"/>
      <c r="NS1402" s="5"/>
      <c r="NT1402" s="5"/>
      <c r="NU1402" s="5"/>
      <c r="NV1402" s="5"/>
      <c r="NW1402" s="5"/>
      <c r="NX1402" s="5"/>
      <c r="NY1402" s="5"/>
      <c r="NZ1402" s="5"/>
      <c r="OA1402" s="5"/>
      <c r="OB1402" s="5"/>
      <c r="OC1402" s="5"/>
      <c r="OD1402" s="5"/>
      <c r="OE1402" s="5"/>
      <c r="OF1402" s="5"/>
      <c r="OG1402" s="5"/>
      <c r="OH1402" s="5"/>
      <c r="OI1402" s="5"/>
      <c r="OJ1402" s="5"/>
      <c r="OK1402" s="5"/>
      <c r="OL1402" s="5"/>
      <c r="OM1402" s="5"/>
      <c r="ON1402" s="5"/>
      <c r="OO1402" s="5"/>
      <c r="OP1402" s="5"/>
      <c r="OQ1402" s="5"/>
      <c r="OR1402" s="5"/>
      <c r="OS1402" s="5"/>
      <c r="OT1402" s="5"/>
      <c r="OU1402" s="5"/>
      <c r="OV1402" s="5"/>
      <c r="OW1402" s="5"/>
      <c r="OX1402" s="5"/>
      <c r="OY1402" s="5"/>
      <c r="OZ1402" s="5"/>
      <c r="PA1402" s="5"/>
      <c r="PB1402" s="5"/>
      <c r="PC1402" s="5"/>
      <c r="PD1402" s="5"/>
      <c r="PE1402" s="5"/>
      <c r="PF1402" s="5"/>
      <c r="PG1402" s="5"/>
      <c r="PH1402" s="5"/>
      <c r="PI1402" s="5"/>
      <c r="PJ1402" s="5"/>
      <c r="PK1402" s="5"/>
      <c r="PL1402" s="5"/>
      <c r="PM1402" s="5"/>
      <c r="PN1402" s="5"/>
      <c r="PO1402" s="5"/>
      <c r="PP1402" s="5"/>
      <c r="PQ1402" s="5"/>
      <c r="PR1402" s="5"/>
      <c r="PS1402" s="5"/>
      <c r="PT1402" s="5"/>
      <c r="PU1402" s="5"/>
      <c r="PV1402" s="5"/>
      <c r="PW1402" s="5"/>
      <c r="PX1402" s="5"/>
      <c r="PY1402" s="5"/>
      <c r="PZ1402" s="5"/>
      <c r="QA1402" s="5"/>
      <c r="QB1402" s="5"/>
      <c r="QC1402" s="5"/>
      <c r="QD1402" s="5"/>
      <c r="QE1402" s="5"/>
      <c r="QF1402" s="5"/>
      <c r="QG1402" s="5"/>
      <c r="QH1402" s="5"/>
      <c r="QI1402" s="5"/>
      <c r="QJ1402" s="5"/>
      <c r="QK1402" s="5"/>
      <c r="QL1402" s="5"/>
      <c r="QM1402" s="5"/>
      <c r="QN1402" s="5"/>
      <c r="QO1402" s="5"/>
      <c r="QP1402" s="5"/>
      <c r="QQ1402" s="5"/>
      <c r="QR1402" s="5"/>
      <c r="QS1402" s="5"/>
      <c r="QT1402" s="5"/>
      <c r="QU1402" s="5"/>
      <c r="QV1402" s="5"/>
      <c r="QW1402" s="5"/>
      <c r="QX1402" s="5"/>
      <c r="QY1402" s="5"/>
      <c r="QZ1402" s="5"/>
      <c r="RA1402" s="5"/>
      <c r="RB1402" s="5"/>
      <c r="RC1402" s="5"/>
      <c r="RD1402" s="5"/>
      <c r="RE1402" s="5"/>
      <c r="RF1402" s="5"/>
      <c r="RG1402" s="5"/>
      <c r="RH1402" s="5"/>
      <c r="RI1402" s="5"/>
      <c r="RJ1402" s="5"/>
      <c r="RK1402" s="5"/>
      <c r="RL1402" s="5"/>
      <c r="RM1402" s="5"/>
      <c r="RN1402" s="5"/>
      <c r="RO1402" s="5"/>
      <c r="RP1402" s="5"/>
      <c r="RQ1402" s="5"/>
      <c r="RR1402" s="5"/>
      <c r="RS1402" s="5"/>
      <c r="RT1402" s="5"/>
      <c r="RU1402" s="5"/>
      <c r="RV1402" s="5"/>
      <c r="RW1402" s="5"/>
      <c r="RX1402" s="5"/>
      <c r="RY1402" s="5"/>
      <c r="RZ1402" s="5"/>
      <c r="SA1402" s="5"/>
      <c r="SB1402" s="5"/>
      <c r="SC1402" s="5"/>
      <c r="SD1402" s="5"/>
      <c r="SE1402" s="5"/>
      <c r="SF1402" s="5"/>
      <c r="SG1402" s="5"/>
      <c r="SH1402" s="5"/>
      <c r="SI1402" s="5"/>
      <c r="SJ1402" s="5"/>
      <c r="SK1402" s="5"/>
      <c r="SL1402" s="5"/>
      <c r="SM1402" s="5"/>
      <c r="SN1402" s="5"/>
      <c r="SO1402" s="5"/>
      <c r="SP1402" s="5"/>
      <c r="SQ1402" s="5"/>
      <c r="SR1402" s="5"/>
      <c r="SS1402" s="5"/>
      <c r="ST1402" s="5"/>
      <c r="SU1402" s="5"/>
      <c r="SV1402" s="5"/>
      <c r="SW1402" s="5"/>
      <c r="SX1402" s="5"/>
      <c r="SY1402" s="5"/>
      <c r="SZ1402" s="5"/>
      <c r="TA1402" s="5"/>
      <c r="TB1402" s="5"/>
      <c r="TC1402" s="5"/>
      <c r="TD1402" s="5"/>
      <c r="TE1402" s="5"/>
      <c r="TF1402" s="5"/>
      <c r="TG1402" s="5"/>
      <c r="TH1402" s="5"/>
      <c r="TI1402" s="5"/>
      <c r="TJ1402" s="5"/>
      <c r="TK1402" s="5"/>
      <c r="TL1402" s="5"/>
      <c r="TM1402" s="5"/>
      <c r="TN1402" s="5"/>
      <c r="TO1402" s="5"/>
      <c r="TP1402" s="5"/>
      <c r="TQ1402" s="5"/>
      <c r="TR1402" s="5"/>
      <c r="TS1402" s="5"/>
      <c r="TT1402" s="5"/>
      <c r="TU1402" s="5"/>
      <c r="TV1402" s="5"/>
      <c r="TW1402" s="5"/>
      <c r="TX1402" s="5"/>
      <c r="TY1402" s="5"/>
      <c r="TZ1402" s="5"/>
      <c r="UA1402" s="5"/>
      <c r="UB1402" s="5"/>
      <c r="UC1402" s="5"/>
      <c r="UD1402" s="5"/>
      <c r="UE1402" s="5"/>
      <c r="UF1402" s="5"/>
      <c r="UG1402" s="5"/>
      <c r="UH1402" s="5"/>
      <c r="UI1402" s="5"/>
      <c r="UJ1402" s="5"/>
      <c r="UK1402" s="5"/>
      <c r="UL1402" s="5"/>
      <c r="UM1402" s="5"/>
      <c r="UN1402" s="5"/>
      <c r="UO1402" s="5"/>
      <c r="UP1402" s="5"/>
      <c r="UQ1402" s="5"/>
      <c r="UR1402" s="5"/>
      <c r="US1402" s="5"/>
      <c r="UT1402" s="5"/>
      <c r="UU1402" s="5"/>
      <c r="UV1402" s="5"/>
      <c r="UW1402" s="5"/>
      <c r="UX1402" s="5"/>
      <c r="UY1402" s="5"/>
      <c r="UZ1402" s="5"/>
      <c r="VA1402" s="5"/>
      <c r="VB1402" s="5"/>
      <c r="VC1402" s="5"/>
      <c r="VD1402" s="5"/>
      <c r="VE1402" s="5"/>
      <c r="VF1402" s="5"/>
      <c r="VG1402" s="5"/>
      <c r="VH1402" s="5"/>
      <c r="VI1402" s="5"/>
      <c r="VJ1402" s="5"/>
      <c r="VK1402" s="5"/>
      <c r="VL1402" s="5"/>
      <c r="VM1402" s="5"/>
      <c r="VN1402" s="5"/>
      <c r="VO1402" s="5"/>
      <c r="VP1402" s="5"/>
      <c r="VQ1402" s="5"/>
      <c r="VR1402" s="5"/>
      <c r="VS1402" s="5"/>
      <c r="VT1402" s="5"/>
      <c r="VU1402" s="5"/>
      <c r="VV1402" s="5"/>
      <c r="VW1402" s="5"/>
      <c r="VX1402" s="5"/>
      <c r="VY1402" s="5"/>
      <c r="VZ1402" s="5"/>
      <c r="WA1402" s="5"/>
      <c r="WB1402" s="5"/>
      <c r="WC1402" s="5"/>
      <c r="WD1402" s="5"/>
      <c r="WE1402" s="5"/>
      <c r="WF1402" s="5"/>
      <c r="WG1402" s="5"/>
      <c r="WH1402" s="5"/>
      <c r="WI1402" s="5"/>
      <c r="WJ1402" s="5"/>
      <c r="WK1402" s="5"/>
      <c r="WL1402" s="5"/>
      <c r="WM1402" s="5"/>
      <c r="WN1402" s="5"/>
      <c r="WO1402" s="5"/>
      <c r="WP1402" s="5"/>
      <c r="WQ1402" s="5"/>
      <c r="WR1402" s="5"/>
      <c r="WS1402" s="5"/>
      <c r="WT1402" s="5"/>
      <c r="WU1402" s="5"/>
      <c r="WV1402" s="5"/>
      <c r="WW1402" s="5"/>
      <c r="WX1402" s="5"/>
      <c r="WY1402" s="5"/>
      <c r="WZ1402" s="5"/>
      <c r="XA1402" s="5"/>
      <c r="XB1402" s="5"/>
      <c r="XC1402" s="5"/>
      <c r="XD1402" s="5"/>
      <c r="XE1402" s="5"/>
      <c r="XF1402" s="5"/>
      <c r="XG1402" s="5"/>
      <c r="XH1402" s="5"/>
      <c r="XI1402" s="5"/>
      <c r="XJ1402" s="5"/>
      <c r="XK1402" s="5"/>
      <c r="XL1402" s="5"/>
      <c r="XM1402" s="5"/>
      <c r="XN1402" s="5"/>
      <c r="XO1402" s="5"/>
      <c r="XP1402" s="5"/>
      <c r="XQ1402" s="5"/>
      <c r="XR1402" s="5"/>
      <c r="XS1402" s="5"/>
      <c r="XT1402" s="5"/>
      <c r="XU1402" s="5"/>
      <c r="XV1402" s="5"/>
      <c r="XW1402" s="5"/>
      <c r="XX1402" s="5"/>
      <c r="XY1402" s="5"/>
      <c r="XZ1402" s="5"/>
      <c r="YA1402" s="5"/>
      <c r="YB1402" s="5"/>
      <c r="YC1402" s="5"/>
      <c r="YD1402" s="5"/>
      <c r="YE1402" s="5"/>
      <c r="YF1402" s="5"/>
      <c r="YG1402" s="5"/>
      <c r="YH1402" s="5"/>
      <c r="YI1402" s="5"/>
      <c r="YJ1402" s="5"/>
      <c r="YK1402" s="5"/>
      <c r="YL1402" s="5"/>
      <c r="YM1402" s="5"/>
      <c r="YN1402" s="5"/>
      <c r="YO1402" s="5"/>
      <c r="YP1402" s="5"/>
      <c r="YQ1402" s="5"/>
      <c r="YR1402" s="5"/>
      <c r="YS1402" s="5"/>
      <c r="YT1402" s="5"/>
      <c r="YU1402" s="5"/>
      <c r="YV1402" s="5"/>
      <c r="YW1402" s="5"/>
      <c r="YX1402" s="5"/>
      <c r="YY1402" s="5"/>
      <c r="YZ1402" s="5"/>
      <c r="ZA1402" s="5"/>
      <c r="ZB1402" s="5"/>
      <c r="ZC1402" s="5"/>
      <c r="ZD1402" s="5"/>
      <c r="ZE1402" s="5"/>
      <c r="ZF1402" s="5"/>
      <c r="ZG1402" s="5"/>
      <c r="ZH1402" s="5"/>
      <c r="ZI1402" s="5"/>
      <c r="ZJ1402" s="5"/>
      <c r="ZK1402" s="5"/>
      <c r="ZL1402" s="5"/>
      <c r="ZM1402" s="5"/>
      <c r="ZN1402" s="5"/>
      <c r="ZO1402" s="5"/>
      <c r="ZP1402" s="5"/>
      <c r="ZQ1402" s="5"/>
      <c r="ZR1402" s="5"/>
      <c r="ZS1402" s="5"/>
      <c r="ZT1402" s="5"/>
      <c r="ZU1402" s="5"/>
      <c r="ZV1402" s="5"/>
      <c r="ZW1402" s="5"/>
      <c r="ZX1402" s="5"/>
      <c r="ZY1402" s="5"/>
      <c r="ZZ1402" s="5"/>
      <c r="AAA1402" s="5"/>
      <c r="AAB1402" s="5"/>
      <c r="AAC1402" s="5"/>
      <c r="AAD1402" s="5"/>
      <c r="AAE1402" s="5"/>
      <c r="AAF1402" s="5"/>
      <c r="AAG1402" s="5"/>
      <c r="AAH1402" s="5"/>
      <c r="AAI1402" s="5"/>
      <c r="AAJ1402" s="5"/>
      <c r="AAK1402" s="5"/>
      <c r="AAL1402" s="5"/>
      <c r="AAM1402" s="5"/>
      <c r="AAN1402" s="5"/>
      <c r="AAO1402" s="5"/>
      <c r="AAP1402" s="5"/>
      <c r="AAQ1402" s="5"/>
      <c r="AAR1402" s="5"/>
      <c r="AAS1402" s="5"/>
      <c r="AAT1402" s="5"/>
      <c r="AAU1402" s="5"/>
      <c r="AAV1402" s="5"/>
      <c r="AAW1402" s="5"/>
      <c r="AAX1402" s="5"/>
      <c r="AAY1402" s="5"/>
      <c r="AAZ1402" s="5"/>
      <c r="ABA1402" s="5"/>
      <c r="ABB1402" s="5"/>
      <c r="ABC1402" s="5"/>
      <c r="ABD1402" s="5"/>
      <c r="ABE1402" s="5"/>
      <c r="ABF1402" s="5"/>
      <c r="ABG1402" s="5"/>
      <c r="ABH1402" s="5"/>
      <c r="ABI1402" s="5"/>
      <c r="ABJ1402" s="5"/>
      <c r="ABK1402" s="5"/>
      <c r="ABL1402" s="5"/>
      <c r="ABM1402" s="5"/>
      <c r="ABN1402" s="5"/>
      <c r="ABO1402" s="5"/>
      <c r="ABP1402" s="5"/>
      <c r="ABQ1402" s="5"/>
      <c r="ABR1402" s="5"/>
      <c r="ABS1402" s="5"/>
      <c r="ABT1402" s="5"/>
      <c r="ABU1402" s="5"/>
      <c r="ABV1402" s="5"/>
      <c r="ABW1402" s="5"/>
      <c r="ABX1402" s="5"/>
      <c r="ABY1402" s="5"/>
      <c r="ABZ1402" s="5"/>
      <c r="ACA1402" s="5"/>
      <c r="ACB1402" s="5"/>
      <c r="ACC1402" s="5"/>
      <c r="ACD1402" s="5"/>
      <c r="ACE1402" s="5"/>
      <c r="ACF1402" s="5"/>
      <c r="ACG1402" s="5"/>
      <c r="ACH1402" s="5"/>
      <c r="ACI1402" s="5"/>
      <c r="ACJ1402" s="5"/>
      <c r="ACK1402" s="5"/>
      <c r="ACL1402" s="5"/>
      <c r="ACM1402" s="5"/>
      <c r="ACN1402" s="5"/>
      <c r="ACO1402" s="5"/>
      <c r="ACP1402" s="5"/>
      <c r="ACQ1402" s="5"/>
      <c r="ACR1402" s="5"/>
      <c r="ACS1402" s="5"/>
      <c r="ACT1402" s="5"/>
      <c r="ACU1402" s="5"/>
      <c r="ACV1402" s="5"/>
      <c r="ACW1402" s="5"/>
      <c r="ACX1402" s="5"/>
      <c r="ACY1402" s="5"/>
      <c r="ACZ1402" s="5"/>
      <c r="ADA1402" s="5"/>
      <c r="ADB1402" s="5"/>
      <c r="ADC1402" s="5"/>
      <c r="ADD1402" s="5"/>
      <c r="ADE1402" s="5"/>
      <c r="ADF1402" s="5"/>
      <c r="ADG1402" s="5"/>
      <c r="ADH1402" s="5"/>
      <c r="ADI1402" s="5"/>
      <c r="ADJ1402" s="5"/>
      <c r="ADK1402" s="5"/>
      <c r="ADL1402" s="5"/>
      <c r="ADM1402" s="5"/>
      <c r="ADN1402" s="5"/>
      <c r="ADO1402" s="5"/>
      <c r="ADP1402" s="5"/>
      <c r="ADQ1402" s="5"/>
      <c r="ADR1402" s="5"/>
      <c r="ADS1402" s="5"/>
      <c r="ADT1402" s="5"/>
      <c r="ADU1402" s="5"/>
      <c r="ADV1402" s="5"/>
      <c r="ADW1402" s="5"/>
      <c r="ADX1402" s="5"/>
      <c r="ADY1402" s="5"/>
      <c r="ADZ1402" s="5"/>
      <c r="AEA1402" s="5"/>
      <c r="AEB1402" s="5"/>
      <c r="AEC1402" s="5"/>
      <c r="AED1402" s="5"/>
      <c r="AEE1402" s="5"/>
      <c r="AEF1402" s="5"/>
      <c r="AEG1402" s="5"/>
      <c r="AEH1402" s="5"/>
      <c r="AEI1402" s="5"/>
      <c r="AEJ1402" s="5"/>
      <c r="AEK1402" s="5"/>
      <c r="AEL1402" s="5"/>
      <c r="AEM1402" s="5"/>
      <c r="AEN1402" s="5"/>
      <c r="AEO1402" s="5"/>
      <c r="AEP1402" s="5"/>
      <c r="AEQ1402" s="5"/>
      <c r="AER1402" s="5"/>
      <c r="AES1402" s="5"/>
      <c r="AET1402" s="5"/>
      <c r="AEU1402" s="5"/>
      <c r="AEV1402" s="5"/>
      <c r="AEW1402" s="5"/>
      <c r="AEX1402" s="5"/>
      <c r="AEY1402" s="5"/>
      <c r="AEZ1402" s="5"/>
      <c r="AFA1402" s="5"/>
      <c r="AFB1402" s="5"/>
      <c r="AFC1402" s="5"/>
      <c r="AFD1402" s="5"/>
      <c r="AFE1402" s="5"/>
      <c r="AFF1402" s="5"/>
      <c r="AFG1402" s="5"/>
      <c r="AFH1402" s="5"/>
      <c r="AFI1402" s="5"/>
      <c r="AFJ1402" s="5"/>
      <c r="AFK1402" s="5"/>
      <c r="AFL1402" s="5"/>
      <c r="AFM1402" s="5"/>
      <c r="AFN1402" s="5"/>
      <c r="AFO1402" s="5"/>
      <c r="AFP1402" s="5"/>
      <c r="AFQ1402" s="5"/>
      <c r="AFR1402" s="5"/>
      <c r="AFS1402" s="5"/>
      <c r="AFT1402" s="5"/>
      <c r="AFU1402" s="5"/>
      <c r="AFV1402" s="5"/>
      <c r="AFW1402" s="5"/>
      <c r="AFX1402" s="5"/>
      <c r="AFY1402" s="5"/>
      <c r="AFZ1402" s="5"/>
      <c r="AGA1402" s="5"/>
      <c r="AGB1402" s="5"/>
      <c r="AGC1402" s="5"/>
      <c r="AGD1402" s="5"/>
      <c r="AGE1402" s="5"/>
      <c r="AGF1402" s="5"/>
      <c r="AGG1402" s="5"/>
      <c r="AGH1402" s="5"/>
      <c r="AGI1402" s="5"/>
      <c r="AGJ1402" s="5"/>
      <c r="AGK1402" s="5"/>
      <c r="AGL1402" s="5"/>
      <c r="AGM1402" s="5"/>
      <c r="AGN1402" s="5"/>
      <c r="AGO1402" s="5"/>
      <c r="AGP1402" s="5"/>
      <c r="AGQ1402" s="5"/>
      <c r="AGR1402" s="5"/>
      <c r="AGS1402" s="5"/>
      <c r="AGT1402" s="5"/>
      <c r="AGU1402" s="5"/>
      <c r="AGV1402" s="5"/>
      <c r="AGW1402" s="5"/>
      <c r="AGX1402" s="5"/>
      <c r="AGY1402" s="5"/>
      <c r="AGZ1402" s="5"/>
      <c r="AHA1402" s="5"/>
      <c r="AHB1402" s="5"/>
      <c r="AHC1402" s="5"/>
      <c r="AHD1402" s="5"/>
      <c r="AHE1402" s="5"/>
      <c r="AHF1402" s="5"/>
      <c r="AHG1402" s="5"/>
      <c r="AHH1402" s="5"/>
      <c r="AHI1402" s="5"/>
      <c r="AHJ1402" s="5"/>
      <c r="AHK1402" s="5"/>
      <c r="AHL1402" s="5"/>
      <c r="AHM1402" s="5"/>
      <c r="AHN1402" s="5"/>
      <c r="AHO1402" s="5"/>
      <c r="AHP1402" s="5"/>
      <c r="AHQ1402" s="5"/>
      <c r="AHR1402" s="5"/>
      <c r="AHS1402" s="5"/>
      <c r="AHT1402" s="5"/>
      <c r="AHU1402" s="5"/>
      <c r="AHV1402" s="5"/>
      <c r="AHW1402" s="5"/>
      <c r="AHX1402" s="5"/>
      <c r="AHY1402" s="5"/>
      <c r="AHZ1402" s="5"/>
      <c r="AIA1402" s="5"/>
      <c r="AIB1402" s="5"/>
      <c r="AIC1402" s="5"/>
      <c r="AID1402" s="5"/>
      <c r="AIE1402" s="5"/>
      <c r="AIF1402" s="5"/>
      <c r="AIG1402" s="5"/>
      <c r="AIH1402" s="5"/>
      <c r="AII1402" s="5"/>
      <c r="AIJ1402" s="5"/>
      <c r="AIK1402" s="5"/>
      <c r="AIL1402" s="5"/>
      <c r="AIM1402" s="5"/>
      <c r="AIN1402" s="5"/>
      <c r="AIO1402" s="5"/>
      <c r="AIP1402" s="5"/>
      <c r="AIQ1402" s="5"/>
      <c r="AIR1402" s="5"/>
      <c r="AIS1402" s="5"/>
      <c r="AIT1402" s="5"/>
      <c r="AIU1402" s="5"/>
      <c r="AIV1402" s="5"/>
      <c r="AIW1402" s="5"/>
      <c r="AIX1402" s="5"/>
      <c r="AIY1402" s="5"/>
      <c r="AIZ1402" s="5"/>
      <c r="AJA1402" s="5"/>
      <c r="AJB1402" s="5"/>
      <c r="AJC1402" s="5"/>
      <c r="AJD1402" s="5"/>
      <c r="AJE1402" s="5"/>
      <c r="AJF1402" s="5"/>
      <c r="AJG1402" s="5"/>
      <c r="AJH1402" s="5"/>
      <c r="AJI1402" s="5"/>
      <c r="AJJ1402" s="5"/>
      <c r="AJK1402" s="5"/>
      <c r="AJL1402" s="5"/>
      <c r="AJM1402" s="5"/>
      <c r="AJN1402" s="5"/>
      <c r="AJO1402" s="5"/>
      <c r="AJP1402" s="5"/>
      <c r="AJQ1402" s="5"/>
      <c r="AJR1402" s="5"/>
      <c r="AJS1402" s="5"/>
      <c r="AJT1402" s="5"/>
      <c r="AJU1402" s="5"/>
      <c r="AJV1402" s="5"/>
      <c r="AJW1402" s="5"/>
      <c r="AJX1402" s="5"/>
      <c r="AJY1402" s="5"/>
      <c r="AJZ1402" s="5"/>
      <c r="AKA1402" s="5"/>
      <c r="AKB1402" s="5"/>
      <c r="AKC1402" s="5"/>
      <c r="AKD1402" s="5"/>
      <c r="AKE1402" s="5"/>
      <c r="AKF1402" s="5"/>
      <c r="AKG1402" s="5"/>
      <c r="AKH1402" s="5"/>
      <c r="AKI1402" s="5"/>
      <c r="AKJ1402" s="5"/>
      <c r="AKK1402" s="5"/>
      <c r="AKL1402" s="5"/>
      <c r="AKM1402" s="5"/>
      <c r="AKN1402" s="5"/>
      <c r="AKO1402" s="5"/>
      <c r="AKP1402" s="5"/>
      <c r="AKQ1402" s="5"/>
      <c r="AKR1402" s="5"/>
      <c r="AKS1402" s="5"/>
      <c r="AKT1402" s="5"/>
      <c r="AKU1402" s="5"/>
      <c r="AKV1402" s="5"/>
      <c r="AKW1402" s="5"/>
      <c r="AKX1402" s="5"/>
      <c r="AKY1402" s="5"/>
      <c r="AKZ1402" s="5"/>
      <c r="ALA1402" s="5"/>
      <c r="ALB1402" s="5"/>
      <c r="ALC1402" s="5"/>
      <c r="ALD1402" s="5"/>
      <c r="ALE1402" s="5"/>
      <c r="ALF1402" s="5"/>
      <c r="ALG1402" s="5"/>
      <c r="ALH1402" s="5"/>
      <c r="ALI1402" s="5"/>
      <c r="ALJ1402" s="5"/>
      <c r="ALK1402" s="5"/>
      <c r="ALL1402" s="5"/>
      <c r="ALM1402" s="5"/>
      <c r="ALN1402" s="5"/>
      <c r="ALO1402" s="5"/>
      <c r="ALP1402" s="5"/>
      <c r="ALQ1402" s="5"/>
      <c r="ALR1402" s="5"/>
      <c r="ALS1402" s="5"/>
      <c r="ALT1402" s="5"/>
      <c r="ALU1402" s="5"/>
      <c r="ALV1402" s="5"/>
      <c r="ALW1402" s="5"/>
      <c r="ALX1402" s="5"/>
      <c r="ALY1402" s="5"/>
      <c r="ALZ1402" s="5"/>
      <c r="AMA1402" s="5"/>
      <c r="AMB1402" s="5"/>
      <c r="AMC1402" s="5"/>
      <c r="AMD1402" s="5"/>
      <c r="AME1402" s="5"/>
      <c r="AMF1402" s="5"/>
      <c r="AMG1402" s="5"/>
      <c r="AMH1402" s="5"/>
      <c r="AMI1402" s="5"/>
      <c r="AMJ1402" s="5"/>
      <c r="AMK1402" s="5"/>
      <c r="AML1402" s="5"/>
      <c r="AMM1402" s="5"/>
      <c r="AMN1402" s="5"/>
      <c r="AMO1402" s="5"/>
      <c r="AMP1402" s="5"/>
      <c r="AMQ1402" s="5"/>
      <c r="AMR1402" s="5"/>
      <c r="AMS1402" s="5"/>
      <c r="AMT1402" s="5"/>
      <c r="AMU1402" s="5"/>
      <c r="AMV1402" s="5"/>
      <c r="AMW1402" s="5"/>
      <c r="AMX1402" s="5"/>
      <c r="AMY1402" s="5"/>
      <c r="AMZ1402" s="5"/>
      <c r="ANA1402" s="5"/>
      <c r="ANB1402" s="5"/>
      <c r="ANC1402" s="5"/>
      <c r="AND1402" s="5"/>
      <c r="ANE1402" s="5"/>
      <c r="ANF1402" s="5"/>
      <c r="ANG1402" s="5"/>
      <c r="ANH1402" s="5"/>
      <c r="ANI1402" s="5"/>
      <c r="ANJ1402" s="5"/>
      <c r="ANK1402" s="5"/>
      <c r="ANL1402" s="5"/>
      <c r="ANM1402" s="5"/>
      <c r="ANN1402" s="5"/>
      <c r="ANO1402" s="5"/>
      <c r="ANP1402" s="5"/>
      <c r="ANQ1402" s="5"/>
      <c r="ANR1402" s="5"/>
      <c r="ANS1402" s="5"/>
      <c r="ANT1402" s="5"/>
      <c r="ANU1402" s="5"/>
      <c r="ANV1402" s="5"/>
      <c r="ANW1402" s="5"/>
      <c r="ANX1402" s="5"/>
      <c r="ANY1402" s="5"/>
      <c r="ANZ1402" s="5"/>
      <c r="AOA1402" s="5"/>
      <c r="AOB1402" s="5"/>
      <c r="AOC1402" s="5"/>
      <c r="AOD1402" s="5"/>
      <c r="AOE1402" s="5"/>
      <c r="AOF1402" s="5"/>
      <c r="AOG1402" s="5"/>
      <c r="AOH1402" s="5"/>
      <c r="AOI1402" s="5"/>
      <c r="AOJ1402" s="5"/>
      <c r="AOK1402" s="5"/>
      <c r="AOL1402" s="5"/>
      <c r="AOM1402" s="5"/>
      <c r="AON1402" s="5"/>
      <c r="AOO1402" s="5"/>
      <c r="AOP1402" s="5"/>
      <c r="AOQ1402" s="5"/>
      <c r="AOR1402" s="5"/>
      <c r="AOS1402" s="5"/>
      <c r="AOT1402" s="5"/>
      <c r="AOU1402" s="5"/>
      <c r="AOV1402" s="5"/>
      <c r="AOW1402" s="5"/>
      <c r="AOX1402" s="5"/>
      <c r="AOY1402" s="5"/>
      <c r="AOZ1402" s="5"/>
      <c r="APA1402" s="5"/>
      <c r="APB1402" s="5"/>
      <c r="APC1402" s="5"/>
      <c r="APD1402" s="5"/>
      <c r="APE1402" s="5"/>
      <c r="APF1402" s="5"/>
      <c r="APG1402" s="5"/>
      <c r="APH1402" s="5"/>
      <c r="API1402" s="5"/>
      <c r="APJ1402" s="5"/>
      <c r="APK1402" s="5"/>
      <c r="APL1402" s="5"/>
      <c r="APM1402" s="5"/>
      <c r="APN1402" s="5"/>
      <c r="APO1402" s="5"/>
      <c r="APP1402" s="5"/>
      <c r="APQ1402" s="5"/>
      <c r="APR1402" s="5"/>
      <c r="APS1402" s="5"/>
      <c r="APT1402" s="5"/>
      <c r="APU1402" s="5"/>
      <c r="APV1402" s="5"/>
      <c r="APW1402" s="5"/>
      <c r="APX1402" s="5"/>
      <c r="APY1402" s="5"/>
      <c r="APZ1402" s="5"/>
      <c r="AQA1402" s="5"/>
      <c r="AQB1402" s="5"/>
      <c r="AQC1402" s="5"/>
      <c r="AQD1402" s="5"/>
      <c r="AQE1402" s="5"/>
      <c r="AQF1402" s="5"/>
      <c r="AQG1402" s="5"/>
      <c r="AQH1402" s="5"/>
      <c r="AQI1402" s="5"/>
      <c r="AQJ1402" s="5"/>
      <c r="AQK1402" s="5"/>
      <c r="AQL1402" s="5"/>
      <c r="AQM1402" s="5"/>
      <c r="AQN1402" s="5"/>
      <c r="AQO1402" s="5"/>
      <c r="AQP1402" s="5"/>
      <c r="AQQ1402" s="5"/>
      <c r="AQR1402" s="5"/>
      <c r="AQS1402" s="5"/>
      <c r="AQT1402" s="5"/>
      <c r="AQU1402" s="5"/>
      <c r="AQV1402" s="5"/>
      <c r="AQW1402" s="5"/>
      <c r="AQX1402" s="5"/>
      <c r="AQY1402" s="5"/>
      <c r="AQZ1402" s="5"/>
      <c r="ARA1402" s="5"/>
      <c r="ARB1402" s="5"/>
      <c r="ARC1402" s="5"/>
      <c r="ARD1402" s="5"/>
      <c r="ARE1402" s="5"/>
      <c r="ARF1402" s="5"/>
      <c r="ARG1402" s="5"/>
      <c r="ARH1402" s="5"/>
      <c r="ARI1402" s="5"/>
      <c r="ARJ1402" s="5"/>
      <c r="ARK1402" s="5"/>
      <c r="ARL1402" s="5"/>
      <c r="ARM1402" s="5"/>
      <c r="ARN1402" s="5"/>
      <c r="ARO1402" s="5"/>
      <c r="ARP1402" s="5"/>
      <c r="ARQ1402" s="5"/>
      <c r="ARR1402" s="5"/>
      <c r="ARS1402" s="5"/>
      <c r="ART1402" s="5"/>
      <c r="ARU1402" s="5"/>
      <c r="ARV1402" s="5"/>
      <c r="ARW1402" s="5"/>
      <c r="ARX1402" s="5"/>
      <c r="ARY1402" s="5"/>
      <c r="ARZ1402" s="5"/>
      <c r="ASA1402" s="5"/>
      <c r="ASB1402" s="5"/>
      <c r="ASC1402" s="5"/>
      <c r="ASD1402" s="5"/>
      <c r="ASE1402" s="5"/>
      <c r="ASF1402" s="5"/>
      <c r="ASG1402" s="5"/>
      <c r="ASH1402" s="5"/>
      <c r="ASI1402" s="5"/>
      <c r="ASJ1402" s="5"/>
      <c r="ASK1402" s="5"/>
      <c r="ASL1402" s="5"/>
      <c r="ASM1402" s="5"/>
      <c r="ASN1402" s="5"/>
      <c r="ASO1402" s="5"/>
      <c r="ASP1402" s="5"/>
      <c r="ASQ1402" s="5"/>
      <c r="ASR1402" s="5"/>
      <c r="ASS1402" s="5"/>
      <c r="AST1402" s="5"/>
      <c r="ASU1402" s="5"/>
      <c r="ASV1402" s="5"/>
      <c r="ASW1402" s="5"/>
      <c r="ASX1402" s="5"/>
      <c r="ASY1402" s="5"/>
      <c r="ASZ1402" s="5"/>
      <c r="ATA1402" s="5"/>
      <c r="ATB1402" s="5"/>
      <c r="ATC1402" s="5"/>
      <c r="ATD1402" s="5"/>
      <c r="ATE1402" s="5"/>
      <c r="ATF1402" s="5"/>
      <c r="ATG1402" s="5"/>
      <c r="ATH1402" s="5"/>
      <c r="ATI1402" s="5"/>
      <c r="ATJ1402" s="5"/>
      <c r="ATK1402" s="5"/>
      <c r="ATL1402" s="5"/>
      <c r="ATM1402" s="5"/>
      <c r="ATN1402" s="5"/>
      <c r="ATO1402" s="5"/>
      <c r="ATP1402" s="5"/>
      <c r="ATQ1402" s="5"/>
      <c r="ATR1402" s="5"/>
      <c r="ATS1402" s="5"/>
      <c r="ATT1402" s="5"/>
      <c r="ATU1402" s="5"/>
      <c r="ATV1402" s="5"/>
      <c r="ATW1402" s="5"/>
    </row>
    <row r="1403" spans="1:1220" s="74" customFormat="1" ht="12.75" customHeight="1" x14ac:dyDescent="0.35">
      <c r="A1403" s="76" t="s">
        <v>1029</v>
      </c>
      <c r="B1403" s="99" t="s">
        <v>238</v>
      </c>
      <c r="C1403" s="76" t="s">
        <v>3944</v>
      </c>
      <c r="D1403" s="142" t="s">
        <v>3945</v>
      </c>
      <c r="E1403" s="76"/>
      <c r="F1403" s="5"/>
      <c r="G1403" s="5"/>
      <c r="H1403" s="5"/>
      <c r="I1403" s="5"/>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c r="BN1403" s="5"/>
      <c r="BO1403" s="5"/>
      <c r="BP1403" s="5"/>
      <c r="BQ1403" s="5"/>
      <c r="BR1403" s="5"/>
      <c r="BS1403" s="5"/>
      <c r="BT1403" s="5"/>
      <c r="BU1403" s="5"/>
      <c r="BV1403" s="5"/>
      <c r="BW1403" s="5"/>
      <c r="BX1403" s="5"/>
      <c r="BY1403" s="5"/>
      <c r="BZ1403" s="5"/>
      <c r="CA1403" s="5"/>
      <c r="CB1403" s="5"/>
      <c r="CC1403" s="5"/>
      <c r="CD1403" s="5"/>
      <c r="CE1403" s="5"/>
      <c r="CF1403" s="5"/>
      <c r="CG1403" s="5"/>
      <c r="CH1403" s="5"/>
      <c r="CI1403" s="5"/>
      <c r="CJ1403" s="5"/>
      <c r="CK1403" s="5"/>
      <c r="CL1403" s="5"/>
      <c r="CM1403" s="5"/>
      <c r="CN1403" s="5"/>
      <c r="CO1403" s="5"/>
      <c r="CP1403" s="5"/>
      <c r="CQ1403" s="5"/>
      <c r="CR1403" s="5"/>
      <c r="CS1403" s="5"/>
      <c r="CT1403" s="5"/>
      <c r="CU1403" s="5"/>
      <c r="CV1403" s="5"/>
      <c r="CW1403" s="5"/>
      <c r="CX1403" s="5"/>
      <c r="CY1403" s="5"/>
      <c r="CZ1403" s="5"/>
      <c r="DA1403" s="5"/>
      <c r="DB1403" s="5"/>
      <c r="DC1403" s="5"/>
      <c r="DD1403" s="5"/>
      <c r="DE1403" s="5"/>
      <c r="DF1403" s="5"/>
      <c r="DG1403" s="5"/>
      <c r="DH1403" s="5"/>
      <c r="DI1403" s="5"/>
      <c r="DJ1403" s="5"/>
      <c r="DK1403" s="5"/>
      <c r="DL1403" s="5"/>
      <c r="DM1403" s="5"/>
      <c r="DN1403" s="5"/>
      <c r="DO1403" s="5"/>
      <c r="DP1403" s="5"/>
      <c r="DQ1403" s="5"/>
      <c r="DR1403" s="5"/>
      <c r="DS1403" s="5"/>
      <c r="DT1403" s="5"/>
      <c r="DU1403" s="5"/>
      <c r="DV1403" s="5"/>
      <c r="DW1403" s="5"/>
      <c r="DX1403" s="5"/>
      <c r="DY1403" s="5"/>
      <c r="DZ1403" s="5"/>
      <c r="EA1403" s="5"/>
      <c r="EB1403" s="5"/>
      <c r="EC1403" s="5"/>
      <c r="ED1403" s="5"/>
      <c r="EE1403" s="5"/>
      <c r="EF1403" s="5"/>
      <c r="EG1403" s="5"/>
      <c r="EH1403" s="5"/>
      <c r="EI1403" s="5"/>
      <c r="EJ1403" s="5"/>
      <c r="EK1403" s="5"/>
      <c r="EL1403" s="5"/>
      <c r="EM1403" s="5"/>
      <c r="EN1403" s="5"/>
      <c r="EO1403" s="5"/>
      <c r="EP1403" s="5"/>
      <c r="EQ1403" s="5"/>
      <c r="ER1403" s="5"/>
      <c r="ES1403" s="5"/>
      <c r="ET1403" s="5"/>
      <c r="EU1403" s="5"/>
      <c r="EV1403" s="5"/>
      <c r="EW1403" s="5"/>
      <c r="EX1403" s="5"/>
      <c r="EY1403" s="5"/>
      <c r="EZ1403" s="5"/>
      <c r="FA1403" s="5"/>
      <c r="FB1403" s="5"/>
      <c r="FC1403" s="5"/>
      <c r="FD1403" s="5"/>
      <c r="FE1403" s="5"/>
      <c r="FF1403" s="5"/>
      <c r="FG1403" s="5"/>
      <c r="FH1403" s="5"/>
      <c r="FI1403" s="5"/>
      <c r="FJ1403" s="5"/>
      <c r="FK1403" s="5"/>
      <c r="FL1403" s="5"/>
      <c r="FM1403" s="5"/>
      <c r="FN1403" s="5"/>
      <c r="FO1403" s="5"/>
      <c r="FP1403" s="5"/>
      <c r="FQ1403" s="5"/>
      <c r="FR1403" s="5"/>
      <c r="FS1403" s="5"/>
      <c r="FT1403" s="5"/>
      <c r="FU1403" s="5"/>
      <c r="FV1403" s="5"/>
      <c r="FW1403" s="5"/>
      <c r="FX1403" s="5"/>
      <c r="FY1403" s="5"/>
      <c r="FZ1403" s="5"/>
      <c r="GA1403" s="5"/>
      <c r="GB1403" s="5"/>
      <c r="GC1403" s="5"/>
      <c r="GD1403" s="5"/>
      <c r="GE1403" s="5"/>
      <c r="GF1403" s="5"/>
      <c r="GG1403" s="5"/>
      <c r="GH1403" s="5"/>
      <c r="GI1403" s="5"/>
      <c r="GJ1403" s="5"/>
      <c r="GK1403" s="5"/>
      <c r="GL1403" s="5"/>
      <c r="GM1403" s="5"/>
      <c r="GN1403" s="5"/>
      <c r="GO1403" s="5"/>
      <c r="GP1403" s="5"/>
      <c r="GQ1403" s="5"/>
      <c r="GR1403" s="5"/>
      <c r="GS1403" s="5"/>
      <c r="GT1403" s="5"/>
      <c r="GU1403" s="5"/>
      <c r="GV1403" s="5"/>
      <c r="GW1403" s="5"/>
      <c r="GX1403" s="5"/>
      <c r="GY1403" s="5"/>
      <c r="GZ1403" s="5"/>
      <c r="HA1403" s="5"/>
      <c r="HB1403" s="5"/>
      <c r="HC1403" s="5"/>
      <c r="HD1403" s="5"/>
      <c r="HE1403" s="5"/>
      <c r="HF1403" s="5"/>
      <c r="HG1403" s="5"/>
      <c r="HH1403" s="5"/>
      <c r="HI1403" s="5"/>
      <c r="HJ1403" s="5"/>
      <c r="HK1403" s="5"/>
      <c r="HL1403" s="5"/>
      <c r="HM1403" s="5"/>
      <c r="HN1403" s="5"/>
      <c r="HO1403" s="5"/>
      <c r="HP1403" s="5"/>
      <c r="HQ1403" s="5"/>
      <c r="HR1403" s="5"/>
      <c r="HS1403" s="5"/>
      <c r="HT1403" s="5"/>
      <c r="HU1403" s="5"/>
      <c r="HV1403" s="5"/>
      <c r="HW1403" s="5"/>
      <c r="HX1403" s="5"/>
      <c r="HY1403" s="5"/>
      <c r="HZ1403" s="5"/>
      <c r="IA1403" s="5"/>
      <c r="IB1403" s="5"/>
      <c r="IC1403" s="5"/>
      <c r="ID1403" s="5"/>
      <c r="IE1403" s="5"/>
      <c r="IF1403" s="5"/>
      <c r="IG1403" s="5"/>
      <c r="IH1403" s="5"/>
      <c r="II1403" s="5"/>
      <c r="IJ1403" s="5"/>
      <c r="IK1403" s="5"/>
      <c r="IL1403" s="5"/>
      <c r="IM1403" s="5"/>
      <c r="IN1403" s="5"/>
      <c r="IO1403" s="5"/>
      <c r="IP1403" s="5"/>
      <c r="IQ1403" s="5"/>
      <c r="IR1403" s="5"/>
      <c r="IS1403" s="5"/>
      <c r="IT1403" s="5"/>
      <c r="IU1403" s="5"/>
      <c r="IV1403" s="5"/>
      <c r="IW1403" s="5"/>
      <c r="IX1403" s="5"/>
      <c r="IY1403" s="5"/>
      <c r="IZ1403" s="5"/>
      <c r="JA1403" s="5"/>
      <c r="JB1403" s="5"/>
      <c r="JC1403" s="5"/>
      <c r="JD1403" s="5"/>
      <c r="JE1403" s="5"/>
      <c r="JF1403" s="5"/>
      <c r="JG1403" s="5"/>
      <c r="JH1403" s="5"/>
      <c r="JI1403" s="5"/>
      <c r="JJ1403" s="5"/>
      <c r="JK1403" s="5"/>
      <c r="JL1403" s="5"/>
      <c r="JM1403" s="5"/>
      <c r="JN1403" s="5"/>
      <c r="JO1403" s="5"/>
      <c r="JP1403" s="5"/>
      <c r="JQ1403" s="5"/>
      <c r="JR1403" s="5"/>
      <c r="JS1403" s="5"/>
      <c r="JT1403" s="5"/>
      <c r="JU1403" s="5"/>
      <c r="JV1403" s="5"/>
      <c r="JW1403" s="5"/>
      <c r="JX1403" s="5"/>
      <c r="JY1403" s="5"/>
      <c r="JZ1403" s="5"/>
      <c r="KA1403" s="5"/>
      <c r="KB1403" s="5"/>
      <c r="KC1403" s="5"/>
      <c r="KD1403" s="5"/>
      <c r="KE1403" s="5"/>
      <c r="KF1403" s="5"/>
      <c r="KG1403" s="5"/>
      <c r="KH1403" s="5"/>
      <c r="KI1403" s="5"/>
      <c r="KJ1403" s="5"/>
      <c r="KK1403" s="5"/>
      <c r="KL1403" s="5"/>
      <c r="KM1403" s="5"/>
      <c r="KN1403" s="5"/>
      <c r="KO1403" s="5"/>
      <c r="KP1403" s="5"/>
      <c r="KQ1403" s="5"/>
      <c r="KR1403" s="5"/>
      <c r="KS1403" s="5"/>
      <c r="KT1403" s="5"/>
      <c r="KU1403" s="5"/>
      <c r="KV1403" s="5"/>
      <c r="KW1403" s="5"/>
      <c r="KX1403" s="5"/>
      <c r="KY1403" s="5"/>
      <c r="KZ1403" s="5"/>
      <c r="LA1403" s="5"/>
      <c r="LB1403" s="5"/>
      <c r="LC1403" s="5"/>
      <c r="LD1403" s="5"/>
      <c r="LE1403" s="5"/>
      <c r="LF1403" s="5"/>
      <c r="LG1403" s="5"/>
      <c r="LH1403" s="5"/>
      <c r="LI1403" s="5"/>
      <c r="LJ1403" s="5"/>
      <c r="LK1403" s="5"/>
      <c r="LL1403" s="5"/>
      <c r="LM1403" s="5"/>
      <c r="LN1403" s="5"/>
      <c r="LO1403" s="5"/>
      <c r="LP1403" s="5"/>
      <c r="LQ1403" s="5"/>
      <c r="LR1403" s="5"/>
      <c r="LS1403" s="5"/>
      <c r="LT1403" s="5"/>
      <c r="LU1403" s="5"/>
      <c r="LV1403" s="5"/>
      <c r="LW1403" s="5"/>
      <c r="LX1403" s="5"/>
      <c r="LY1403" s="5"/>
      <c r="LZ1403" s="5"/>
      <c r="MA1403" s="5"/>
      <c r="MB1403" s="5"/>
      <c r="MC1403" s="5"/>
      <c r="MD1403" s="5"/>
      <c r="ME1403" s="5"/>
      <c r="MF1403" s="5"/>
      <c r="MG1403" s="5"/>
      <c r="MH1403" s="5"/>
      <c r="MI1403" s="5"/>
      <c r="MJ1403" s="5"/>
      <c r="MK1403" s="5"/>
      <c r="ML1403" s="5"/>
      <c r="MM1403" s="5"/>
      <c r="MN1403" s="5"/>
      <c r="MO1403" s="5"/>
      <c r="MP1403" s="5"/>
      <c r="MQ1403" s="5"/>
      <c r="MR1403" s="5"/>
      <c r="MS1403" s="5"/>
      <c r="MT1403" s="5"/>
      <c r="MU1403" s="5"/>
      <c r="MV1403" s="5"/>
      <c r="MW1403" s="5"/>
      <c r="MX1403" s="5"/>
      <c r="MY1403" s="5"/>
      <c r="MZ1403" s="5"/>
      <c r="NA1403" s="5"/>
      <c r="NB1403" s="5"/>
      <c r="NC1403" s="5"/>
      <c r="ND1403" s="5"/>
      <c r="NE1403" s="5"/>
      <c r="NF1403" s="5"/>
      <c r="NG1403" s="5"/>
      <c r="NH1403" s="5"/>
      <c r="NI1403" s="5"/>
      <c r="NJ1403" s="5"/>
      <c r="NK1403" s="5"/>
      <c r="NL1403" s="5"/>
      <c r="NM1403" s="5"/>
      <c r="NN1403" s="5"/>
      <c r="NO1403" s="5"/>
      <c r="NP1403" s="5"/>
      <c r="NQ1403" s="5"/>
      <c r="NR1403" s="5"/>
      <c r="NS1403" s="5"/>
      <c r="NT1403" s="5"/>
      <c r="NU1403" s="5"/>
      <c r="NV1403" s="5"/>
      <c r="NW1403" s="5"/>
      <c r="NX1403" s="5"/>
      <c r="NY1403" s="5"/>
      <c r="NZ1403" s="5"/>
      <c r="OA1403" s="5"/>
      <c r="OB1403" s="5"/>
      <c r="OC1403" s="5"/>
      <c r="OD1403" s="5"/>
      <c r="OE1403" s="5"/>
      <c r="OF1403" s="5"/>
      <c r="OG1403" s="5"/>
      <c r="OH1403" s="5"/>
      <c r="OI1403" s="5"/>
      <c r="OJ1403" s="5"/>
      <c r="OK1403" s="5"/>
      <c r="OL1403" s="5"/>
      <c r="OM1403" s="5"/>
      <c r="ON1403" s="5"/>
      <c r="OO1403" s="5"/>
      <c r="OP1403" s="5"/>
      <c r="OQ1403" s="5"/>
      <c r="OR1403" s="5"/>
      <c r="OS1403" s="5"/>
      <c r="OT1403" s="5"/>
      <c r="OU1403" s="5"/>
      <c r="OV1403" s="5"/>
      <c r="OW1403" s="5"/>
      <c r="OX1403" s="5"/>
      <c r="OY1403" s="5"/>
      <c r="OZ1403" s="5"/>
      <c r="PA1403" s="5"/>
      <c r="PB1403" s="5"/>
      <c r="PC1403" s="5"/>
      <c r="PD1403" s="5"/>
      <c r="PE1403" s="5"/>
      <c r="PF1403" s="5"/>
      <c r="PG1403" s="5"/>
      <c r="PH1403" s="5"/>
      <c r="PI1403" s="5"/>
      <c r="PJ1403" s="5"/>
      <c r="PK1403" s="5"/>
      <c r="PL1403" s="5"/>
      <c r="PM1403" s="5"/>
      <c r="PN1403" s="5"/>
      <c r="PO1403" s="5"/>
      <c r="PP1403" s="5"/>
      <c r="PQ1403" s="5"/>
      <c r="PR1403" s="5"/>
      <c r="PS1403" s="5"/>
      <c r="PT1403" s="5"/>
      <c r="PU1403" s="5"/>
      <c r="PV1403" s="5"/>
      <c r="PW1403" s="5"/>
      <c r="PX1403" s="5"/>
      <c r="PY1403" s="5"/>
      <c r="PZ1403" s="5"/>
      <c r="QA1403" s="5"/>
      <c r="QB1403" s="5"/>
      <c r="QC1403" s="5"/>
      <c r="QD1403" s="5"/>
      <c r="QE1403" s="5"/>
      <c r="QF1403" s="5"/>
      <c r="QG1403" s="5"/>
      <c r="QH1403" s="5"/>
      <c r="QI1403" s="5"/>
      <c r="QJ1403" s="5"/>
      <c r="QK1403" s="5"/>
      <c r="QL1403" s="5"/>
      <c r="QM1403" s="5"/>
      <c r="QN1403" s="5"/>
      <c r="QO1403" s="5"/>
      <c r="QP1403" s="5"/>
      <c r="QQ1403" s="5"/>
      <c r="QR1403" s="5"/>
      <c r="QS1403" s="5"/>
      <c r="QT1403" s="5"/>
      <c r="QU1403" s="5"/>
      <c r="QV1403" s="5"/>
      <c r="QW1403" s="5"/>
      <c r="QX1403" s="5"/>
      <c r="QY1403" s="5"/>
      <c r="QZ1403" s="5"/>
      <c r="RA1403" s="5"/>
      <c r="RB1403" s="5"/>
      <c r="RC1403" s="5"/>
      <c r="RD1403" s="5"/>
      <c r="RE1403" s="5"/>
      <c r="RF1403" s="5"/>
      <c r="RG1403" s="5"/>
      <c r="RH1403" s="5"/>
      <c r="RI1403" s="5"/>
      <c r="RJ1403" s="5"/>
      <c r="RK1403" s="5"/>
      <c r="RL1403" s="5"/>
      <c r="RM1403" s="5"/>
      <c r="RN1403" s="5"/>
      <c r="RO1403" s="5"/>
      <c r="RP1403" s="5"/>
      <c r="RQ1403" s="5"/>
      <c r="RR1403" s="5"/>
      <c r="RS1403" s="5"/>
      <c r="RT1403" s="5"/>
      <c r="RU1403" s="5"/>
      <c r="RV1403" s="5"/>
      <c r="RW1403" s="5"/>
      <c r="RX1403" s="5"/>
      <c r="RY1403" s="5"/>
      <c r="RZ1403" s="5"/>
      <c r="SA1403" s="5"/>
      <c r="SB1403" s="5"/>
      <c r="SC1403" s="5"/>
      <c r="SD1403" s="5"/>
      <c r="SE1403" s="5"/>
      <c r="SF1403" s="5"/>
      <c r="SG1403" s="5"/>
      <c r="SH1403" s="5"/>
      <c r="SI1403" s="5"/>
      <c r="SJ1403" s="5"/>
      <c r="SK1403" s="5"/>
      <c r="SL1403" s="5"/>
      <c r="SM1403" s="5"/>
      <c r="SN1403" s="5"/>
      <c r="SO1403" s="5"/>
      <c r="SP1403" s="5"/>
      <c r="SQ1403" s="5"/>
      <c r="SR1403" s="5"/>
      <c r="SS1403" s="5"/>
      <c r="ST1403" s="5"/>
      <c r="SU1403" s="5"/>
      <c r="SV1403" s="5"/>
      <c r="SW1403" s="5"/>
      <c r="SX1403" s="5"/>
      <c r="SY1403" s="5"/>
      <c r="SZ1403" s="5"/>
      <c r="TA1403" s="5"/>
      <c r="TB1403" s="5"/>
      <c r="TC1403" s="5"/>
      <c r="TD1403" s="5"/>
      <c r="TE1403" s="5"/>
      <c r="TF1403" s="5"/>
      <c r="TG1403" s="5"/>
      <c r="TH1403" s="5"/>
      <c r="TI1403" s="5"/>
      <c r="TJ1403" s="5"/>
      <c r="TK1403" s="5"/>
      <c r="TL1403" s="5"/>
      <c r="TM1403" s="5"/>
      <c r="TN1403" s="5"/>
      <c r="TO1403" s="5"/>
      <c r="TP1403" s="5"/>
      <c r="TQ1403" s="5"/>
      <c r="TR1403" s="5"/>
      <c r="TS1403" s="5"/>
      <c r="TT1403" s="5"/>
      <c r="TU1403" s="5"/>
      <c r="TV1403" s="5"/>
      <c r="TW1403" s="5"/>
      <c r="TX1403" s="5"/>
      <c r="TY1403" s="5"/>
      <c r="TZ1403" s="5"/>
      <c r="UA1403" s="5"/>
      <c r="UB1403" s="5"/>
      <c r="UC1403" s="5"/>
      <c r="UD1403" s="5"/>
      <c r="UE1403" s="5"/>
      <c r="UF1403" s="5"/>
      <c r="UG1403" s="5"/>
      <c r="UH1403" s="5"/>
      <c r="UI1403" s="5"/>
      <c r="UJ1403" s="5"/>
      <c r="UK1403" s="5"/>
      <c r="UL1403" s="5"/>
      <c r="UM1403" s="5"/>
      <c r="UN1403" s="5"/>
      <c r="UO1403" s="5"/>
      <c r="UP1403" s="5"/>
      <c r="UQ1403" s="5"/>
      <c r="UR1403" s="5"/>
      <c r="US1403" s="5"/>
      <c r="UT1403" s="5"/>
      <c r="UU1403" s="5"/>
      <c r="UV1403" s="5"/>
      <c r="UW1403" s="5"/>
      <c r="UX1403" s="5"/>
      <c r="UY1403" s="5"/>
      <c r="UZ1403" s="5"/>
      <c r="VA1403" s="5"/>
      <c r="VB1403" s="5"/>
      <c r="VC1403" s="5"/>
      <c r="VD1403" s="5"/>
      <c r="VE1403" s="5"/>
      <c r="VF1403" s="5"/>
      <c r="VG1403" s="5"/>
      <c r="VH1403" s="5"/>
      <c r="VI1403" s="5"/>
      <c r="VJ1403" s="5"/>
      <c r="VK1403" s="5"/>
      <c r="VL1403" s="5"/>
      <c r="VM1403" s="5"/>
      <c r="VN1403" s="5"/>
      <c r="VO1403" s="5"/>
      <c r="VP1403" s="5"/>
      <c r="VQ1403" s="5"/>
      <c r="VR1403" s="5"/>
      <c r="VS1403" s="5"/>
      <c r="VT1403" s="5"/>
      <c r="VU1403" s="5"/>
      <c r="VV1403" s="5"/>
      <c r="VW1403" s="5"/>
      <c r="VX1403" s="5"/>
      <c r="VY1403" s="5"/>
      <c r="VZ1403" s="5"/>
      <c r="WA1403" s="5"/>
      <c r="WB1403" s="5"/>
      <c r="WC1403" s="5"/>
      <c r="WD1403" s="5"/>
      <c r="WE1403" s="5"/>
      <c r="WF1403" s="5"/>
      <c r="WG1403" s="5"/>
      <c r="WH1403" s="5"/>
      <c r="WI1403" s="5"/>
      <c r="WJ1403" s="5"/>
      <c r="WK1403" s="5"/>
      <c r="WL1403" s="5"/>
      <c r="WM1403" s="5"/>
      <c r="WN1403" s="5"/>
      <c r="WO1403" s="5"/>
      <c r="WP1403" s="5"/>
      <c r="WQ1403" s="5"/>
      <c r="WR1403" s="5"/>
      <c r="WS1403" s="5"/>
      <c r="WT1403" s="5"/>
      <c r="WU1403" s="5"/>
      <c r="WV1403" s="5"/>
      <c r="WW1403" s="5"/>
      <c r="WX1403" s="5"/>
      <c r="WY1403" s="5"/>
      <c r="WZ1403" s="5"/>
      <c r="XA1403" s="5"/>
      <c r="XB1403" s="5"/>
      <c r="XC1403" s="5"/>
      <c r="XD1403" s="5"/>
      <c r="XE1403" s="5"/>
      <c r="XF1403" s="5"/>
      <c r="XG1403" s="5"/>
      <c r="XH1403" s="5"/>
      <c r="XI1403" s="5"/>
      <c r="XJ1403" s="5"/>
      <c r="XK1403" s="5"/>
      <c r="XL1403" s="5"/>
      <c r="XM1403" s="5"/>
      <c r="XN1403" s="5"/>
      <c r="XO1403" s="5"/>
      <c r="XP1403" s="5"/>
      <c r="XQ1403" s="5"/>
      <c r="XR1403" s="5"/>
      <c r="XS1403" s="5"/>
      <c r="XT1403" s="5"/>
      <c r="XU1403" s="5"/>
      <c r="XV1403" s="5"/>
      <c r="XW1403" s="5"/>
      <c r="XX1403" s="5"/>
      <c r="XY1403" s="5"/>
      <c r="XZ1403" s="5"/>
      <c r="YA1403" s="5"/>
      <c r="YB1403" s="5"/>
      <c r="YC1403" s="5"/>
      <c r="YD1403" s="5"/>
      <c r="YE1403" s="5"/>
      <c r="YF1403" s="5"/>
      <c r="YG1403" s="5"/>
      <c r="YH1403" s="5"/>
      <c r="YI1403" s="5"/>
      <c r="YJ1403" s="5"/>
      <c r="YK1403" s="5"/>
      <c r="YL1403" s="5"/>
      <c r="YM1403" s="5"/>
      <c r="YN1403" s="5"/>
      <c r="YO1403" s="5"/>
      <c r="YP1403" s="5"/>
      <c r="YQ1403" s="5"/>
      <c r="YR1403" s="5"/>
      <c r="YS1403" s="5"/>
      <c r="YT1403" s="5"/>
      <c r="YU1403" s="5"/>
      <c r="YV1403" s="5"/>
      <c r="YW1403" s="5"/>
      <c r="YX1403" s="5"/>
      <c r="YY1403" s="5"/>
      <c r="YZ1403" s="5"/>
      <c r="ZA1403" s="5"/>
      <c r="ZB1403" s="5"/>
      <c r="ZC1403" s="5"/>
      <c r="ZD1403" s="5"/>
      <c r="ZE1403" s="5"/>
      <c r="ZF1403" s="5"/>
      <c r="ZG1403" s="5"/>
      <c r="ZH1403" s="5"/>
      <c r="ZI1403" s="5"/>
      <c r="ZJ1403" s="5"/>
      <c r="ZK1403" s="5"/>
      <c r="ZL1403" s="5"/>
      <c r="ZM1403" s="5"/>
      <c r="ZN1403" s="5"/>
      <c r="ZO1403" s="5"/>
      <c r="ZP1403" s="5"/>
      <c r="ZQ1403" s="5"/>
      <c r="ZR1403" s="5"/>
      <c r="ZS1403" s="5"/>
      <c r="ZT1403" s="5"/>
      <c r="ZU1403" s="5"/>
      <c r="ZV1403" s="5"/>
      <c r="ZW1403" s="5"/>
      <c r="ZX1403" s="5"/>
      <c r="ZY1403" s="5"/>
      <c r="ZZ1403" s="5"/>
      <c r="AAA1403" s="5"/>
      <c r="AAB1403" s="5"/>
      <c r="AAC1403" s="5"/>
      <c r="AAD1403" s="5"/>
      <c r="AAE1403" s="5"/>
      <c r="AAF1403" s="5"/>
      <c r="AAG1403" s="5"/>
      <c r="AAH1403" s="5"/>
      <c r="AAI1403" s="5"/>
      <c r="AAJ1403" s="5"/>
      <c r="AAK1403" s="5"/>
      <c r="AAL1403" s="5"/>
      <c r="AAM1403" s="5"/>
      <c r="AAN1403" s="5"/>
      <c r="AAO1403" s="5"/>
      <c r="AAP1403" s="5"/>
      <c r="AAQ1403" s="5"/>
      <c r="AAR1403" s="5"/>
      <c r="AAS1403" s="5"/>
      <c r="AAT1403" s="5"/>
      <c r="AAU1403" s="5"/>
      <c r="AAV1403" s="5"/>
      <c r="AAW1403" s="5"/>
      <c r="AAX1403" s="5"/>
      <c r="AAY1403" s="5"/>
      <c r="AAZ1403" s="5"/>
      <c r="ABA1403" s="5"/>
      <c r="ABB1403" s="5"/>
      <c r="ABC1403" s="5"/>
      <c r="ABD1403" s="5"/>
      <c r="ABE1403" s="5"/>
      <c r="ABF1403" s="5"/>
      <c r="ABG1403" s="5"/>
      <c r="ABH1403" s="5"/>
      <c r="ABI1403" s="5"/>
      <c r="ABJ1403" s="5"/>
      <c r="ABK1403" s="5"/>
      <c r="ABL1403" s="5"/>
      <c r="ABM1403" s="5"/>
      <c r="ABN1403" s="5"/>
      <c r="ABO1403" s="5"/>
      <c r="ABP1403" s="5"/>
      <c r="ABQ1403" s="5"/>
      <c r="ABR1403" s="5"/>
      <c r="ABS1403" s="5"/>
      <c r="ABT1403" s="5"/>
      <c r="ABU1403" s="5"/>
      <c r="ABV1403" s="5"/>
      <c r="ABW1403" s="5"/>
      <c r="ABX1403" s="5"/>
      <c r="ABY1403" s="5"/>
      <c r="ABZ1403" s="5"/>
      <c r="ACA1403" s="5"/>
      <c r="ACB1403" s="5"/>
      <c r="ACC1403" s="5"/>
      <c r="ACD1403" s="5"/>
      <c r="ACE1403" s="5"/>
      <c r="ACF1403" s="5"/>
      <c r="ACG1403" s="5"/>
      <c r="ACH1403" s="5"/>
      <c r="ACI1403" s="5"/>
      <c r="ACJ1403" s="5"/>
      <c r="ACK1403" s="5"/>
      <c r="ACL1403" s="5"/>
      <c r="ACM1403" s="5"/>
      <c r="ACN1403" s="5"/>
      <c r="ACO1403" s="5"/>
      <c r="ACP1403" s="5"/>
      <c r="ACQ1403" s="5"/>
      <c r="ACR1403" s="5"/>
      <c r="ACS1403" s="5"/>
      <c r="ACT1403" s="5"/>
      <c r="ACU1403" s="5"/>
      <c r="ACV1403" s="5"/>
      <c r="ACW1403" s="5"/>
      <c r="ACX1403" s="5"/>
      <c r="ACY1403" s="5"/>
      <c r="ACZ1403" s="5"/>
      <c r="ADA1403" s="5"/>
      <c r="ADB1403" s="5"/>
      <c r="ADC1403" s="5"/>
      <c r="ADD1403" s="5"/>
      <c r="ADE1403" s="5"/>
      <c r="ADF1403" s="5"/>
      <c r="ADG1403" s="5"/>
      <c r="ADH1403" s="5"/>
      <c r="ADI1403" s="5"/>
      <c r="ADJ1403" s="5"/>
      <c r="ADK1403" s="5"/>
      <c r="ADL1403" s="5"/>
      <c r="ADM1403" s="5"/>
      <c r="ADN1403" s="5"/>
      <c r="ADO1403" s="5"/>
      <c r="ADP1403" s="5"/>
      <c r="ADQ1403" s="5"/>
      <c r="ADR1403" s="5"/>
      <c r="ADS1403" s="5"/>
      <c r="ADT1403" s="5"/>
      <c r="ADU1403" s="5"/>
      <c r="ADV1403" s="5"/>
      <c r="ADW1403" s="5"/>
      <c r="ADX1403" s="5"/>
      <c r="ADY1403" s="5"/>
      <c r="ADZ1403" s="5"/>
      <c r="AEA1403" s="5"/>
      <c r="AEB1403" s="5"/>
      <c r="AEC1403" s="5"/>
      <c r="AED1403" s="5"/>
      <c r="AEE1403" s="5"/>
      <c r="AEF1403" s="5"/>
      <c r="AEG1403" s="5"/>
      <c r="AEH1403" s="5"/>
      <c r="AEI1403" s="5"/>
      <c r="AEJ1403" s="5"/>
      <c r="AEK1403" s="5"/>
      <c r="AEL1403" s="5"/>
      <c r="AEM1403" s="5"/>
      <c r="AEN1403" s="5"/>
      <c r="AEO1403" s="5"/>
      <c r="AEP1403" s="5"/>
      <c r="AEQ1403" s="5"/>
      <c r="AER1403" s="5"/>
      <c r="AES1403" s="5"/>
      <c r="AET1403" s="5"/>
      <c r="AEU1403" s="5"/>
      <c r="AEV1403" s="5"/>
      <c r="AEW1403" s="5"/>
      <c r="AEX1403" s="5"/>
      <c r="AEY1403" s="5"/>
      <c r="AEZ1403" s="5"/>
      <c r="AFA1403" s="5"/>
      <c r="AFB1403" s="5"/>
      <c r="AFC1403" s="5"/>
      <c r="AFD1403" s="5"/>
      <c r="AFE1403" s="5"/>
      <c r="AFF1403" s="5"/>
      <c r="AFG1403" s="5"/>
      <c r="AFH1403" s="5"/>
      <c r="AFI1403" s="5"/>
      <c r="AFJ1403" s="5"/>
      <c r="AFK1403" s="5"/>
      <c r="AFL1403" s="5"/>
      <c r="AFM1403" s="5"/>
      <c r="AFN1403" s="5"/>
      <c r="AFO1403" s="5"/>
      <c r="AFP1403" s="5"/>
      <c r="AFQ1403" s="5"/>
      <c r="AFR1403" s="5"/>
      <c r="AFS1403" s="5"/>
      <c r="AFT1403" s="5"/>
      <c r="AFU1403" s="5"/>
      <c r="AFV1403" s="5"/>
      <c r="AFW1403" s="5"/>
      <c r="AFX1403" s="5"/>
      <c r="AFY1403" s="5"/>
      <c r="AFZ1403" s="5"/>
      <c r="AGA1403" s="5"/>
      <c r="AGB1403" s="5"/>
      <c r="AGC1403" s="5"/>
      <c r="AGD1403" s="5"/>
      <c r="AGE1403" s="5"/>
      <c r="AGF1403" s="5"/>
      <c r="AGG1403" s="5"/>
      <c r="AGH1403" s="5"/>
      <c r="AGI1403" s="5"/>
      <c r="AGJ1403" s="5"/>
      <c r="AGK1403" s="5"/>
      <c r="AGL1403" s="5"/>
      <c r="AGM1403" s="5"/>
      <c r="AGN1403" s="5"/>
      <c r="AGO1403" s="5"/>
      <c r="AGP1403" s="5"/>
      <c r="AGQ1403" s="5"/>
      <c r="AGR1403" s="5"/>
      <c r="AGS1403" s="5"/>
      <c r="AGT1403" s="5"/>
      <c r="AGU1403" s="5"/>
      <c r="AGV1403" s="5"/>
      <c r="AGW1403" s="5"/>
      <c r="AGX1403" s="5"/>
      <c r="AGY1403" s="5"/>
      <c r="AGZ1403" s="5"/>
      <c r="AHA1403" s="5"/>
      <c r="AHB1403" s="5"/>
      <c r="AHC1403" s="5"/>
      <c r="AHD1403" s="5"/>
      <c r="AHE1403" s="5"/>
      <c r="AHF1403" s="5"/>
      <c r="AHG1403" s="5"/>
      <c r="AHH1403" s="5"/>
      <c r="AHI1403" s="5"/>
      <c r="AHJ1403" s="5"/>
      <c r="AHK1403" s="5"/>
      <c r="AHL1403" s="5"/>
      <c r="AHM1403" s="5"/>
      <c r="AHN1403" s="5"/>
      <c r="AHO1403" s="5"/>
      <c r="AHP1403" s="5"/>
      <c r="AHQ1403" s="5"/>
      <c r="AHR1403" s="5"/>
      <c r="AHS1403" s="5"/>
      <c r="AHT1403" s="5"/>
      <c r="AHU1403" s="5"/>
      <c r="AHV1403" s="5"/>
      <c r="AHW1403" s="5"/>
      <c r="AHX1403" s="5"/>
      <c r="AHY1403" s="5"/>
      <c r="AHZ1403" s="5"/>
      <c r="AIA1403" s="5"/>
      <c r="AIB1403" s="5"/>
      <c r="AIC1403" s="5"/>
      <c r="AID1403" s="5"/>
      <c r="AIE1403" s="5"/>
      <c r="AIF1403" s="5"/>
      <c r="AIG1403" s="5"/>
      <c r="AIH1403" s="5"/>
      <c r="AII1403" s="5"/>
      <c r="AIJ1403" s="5"/>
      <c r="AIK1403" s="5"/>
      <c r="AIL1403" s="5"/>
      <c r="AIM1403" s="5"/>
      <c r="AIN1403" s="5"/>
      <c r="AIO1403" s="5"/>
      <c r="AIP1403" s="5"/>
      <c r="AIQ1403" s="5"/>
      <c r="AIR1403" s="5"/>
      <c r="AIS1403" s="5"/>
      <c r="AIT1403" s="5"/>
      <c r="AIU1403" s="5"/>
      <c r="AIV1403" s="5"/>
      <c r="AIW1403" s="5"/>
      <c r="AIX1403" s="5"/>
      <c r="AIY1403" s="5"/>
      <c r="AIZ1403" s="5"/>
      <c r="AJA1403" s="5"/>
      <c r="AJB1403" s="5"/>
      <c r="AJC1403" s="5"/>
      <c r="AJD1403" s="5"/>
      <c r="AJE1403" s="5"/>
      <c r="AJF1403" s="5"/>
      <c r="AJG1403" s="5"/>
      <c r="AJH1403" s="5"/>
      <c r="AJI1403" s="5"/>
      <c r="AJJ1403" s="5"/>
      <c r="AJK1403" s="5"/>
      <c r="AJL1403" s="5"/>
      <c r="AJM1403" s="5"/>
      <c r="AJN1403" s="5"/>
      <c r="AJO1403" s="5"/>
      <c r="AJP1403" s="5"/>
      <c r="AJQ1403" s="5"/>
      <c r="AJR1403" s="5"/>
      <c r="AJS1403" s="5"/>
      <c r="AJT1403" s="5"/>
      <c r="AJU1403" s="5"/>
      <c r="AJV1403" s="5"/>
      <c r="AJW1403" s="5"/>
      <c r="AJX1403" s="5"/>
      <c r="AJY1403" s="5"/>
      <c r="AJZ1403" s="5"/>
      <c r="AKA1403" s="5"/>
      <c r="AKB1403" s="5"/>
      <c r="AKC1403" s="5"/>
      <c r="AKD1403" s="5"/>
      <c r="AKE1403" s="5"/>
      <c r="AKF1403" s="5"/>
      <c r="AKG1403" s="5"/>
      <c r="AKH1403" s="5"/>
      <c r="AKI1403" s="5"/>
      <c r="AKJ1403" s="5"/>
      <c r="AKK1403" s="5"/>
      <c r="AKL1403" s="5"/>
      <c r="AKM1403" s="5"/>
      <c r="AKN1403" s="5"/>
      <c r="AKO1403" s="5"/>
      <c r="AKP1403" s="5"/>
      <c r="AKQ1403" s="5"/>
      <c r="AKR1403" s="5"/>
      <c r="AKS1403" s="5"/>
      <c r="AKT1403" s="5"/>
      <c r="AKU1403" s="5"/>
      <c r="AKV1403" s="5"/>
      <c r="AKW1403" s="5"/>
      <c r="AKX1403" s="5"/>
      <c r="AKY1403" s="5"/>
      <c r="AKZ1403" s="5"/>
      <c r="ALA1403" s="5"/>
      <c r="ALB1403" s="5"/>
      <c r="ALC1403" s="5"/>
      <c r="ALD1403" s="5"/>
      <c r="ALE1403" s="5"/>
      <c r="ALF1403" s="5"/>
      <c r="ALG1403" s="5"/>
      <c r="ALH1403" s="5"/>
      <c r="ALI1403" s="5"/>
      <c r="ALJ1403" s="5"/>
      <c r="ALK1403" s="5"/>
      <c r="ALL1403" s="5"/>
      <c r="ALM1403" s="5"/>
      <c r="ALN1403" s="5"/>
      <c r="ALO1403" s="5"/>
      <c r="ALP1403" s="5"/>
      <c r="ALQ1403" s="5"/>
      <c r="ALR1403" s="5"/>
      <c r="ALS1403" s="5"/>
      <c r="ALT1403" s="5"/>
      <c r="ALU1403" s="5"/>
      <c r="ALV1403" s="5"/>
      <c r="ALW1403" s="5"/>
      <c r="ALX1403" s="5"/>
      <c r="ALY1403" s="5"/>
      <c r="ALZ1403" s="5"/>
      <c r="AMA1403" s="5"/>
      <c r="AMB1403" s="5"/>
      <c r="AMC1403" s="5"/>
      <c r="AMD1403" s="5"/>
      <c r="AME1403" s="5"/>
      <c r="AMF1403" s="5"/>
      <c r="AMG1403" s="5"/>
      <c r="AMH1403" s="5"/>
      <c r="AMI1403" s="5"/>
      <c r="AMJ1403" s="5"/>
      <c r="AMK1403" s="5"/>
      <c r="AML1403" s="5"/>
      <c r="AMM1403" s="5"/>
      <c r="AMN1403" s="5"/>
      <c r="AMO1403" s="5"/>
      <c r="AMP1403" s="5"/>
      <c r="AMQ1403" s="5"/>
      <c r="AMR1403" s="5"/>
      <c r="AMS1403" s="5"/>
      <c r="AMT1403" s="5"/>
      <c r="AMU1403" s="5"/>
      <c r="AMV1403" s="5"/>
      <c r="AMW1403" s="5"/>
      <c r="AMX1403" s="5"/>
      <c r="AMY1403" s="5"/>
      <c r="AMZ1403" s="5"/>
      <c r="ANA1403" s="5"/>
      <c r="ANB1403" s="5"/>
      <c r="ANC1403" s="5"/>
      <c r="AND1403" s="5"/>
      <c r="ANE1403" s="5"/>
      <c r="ANF1403" s="5"/>
      <c r="ANG1403" s="5"/>
      <c r="ANH1403" s="5"/>
      <c r="ANI1403" s="5"/>
      <c r="ANJ1403" s="5"/>
      <c r="ANK1403" s="5"/>
      <c r="ANL1403" s="5"/>
      <c r="ANM1403" s="5"/>
      <c r="ANN1403" s="5"/>
      <c r="ANO1403" s="5"/>
      <c r="ANP1403" s="5"/>
      <c r="ANQ1403" s="5"/>
      <c r="ANR1403" s="5"/>
      <c r="ANS1403" s="5"/>
      <c r="ANT1403" s="5"/>
      <c r="ANU1403" s="5"/>
      <c r="ANV1403" s="5"/>
      <c r="ANW1403" s="5"/>
      <c r="ANX1403" s="5"/>
      <c r="ANY1403" s="5"/>
      <c r="ANZ1403" s="5"/>
      <c r="AOA1403" s="5"/>
      <c r="AOB1403" s="5"/>
      <c r="AOC1403" s="5"/>
      <c r="AOD1403" s="5"/>
      <c r="AOE1403" s="5"/>
      <c r="AOF1403" s="5"/>
      <c r="AOG1403" s="5"/>
      <c r="AOH1403" s="5"/>
      <c r="AOI1403" s="5"/>
      <c r="AOJ1403" s="5"/>
      <c r="AOK1403" s="5"/>
      <c r="AOL1403" s="5"/>
      <c r="AOM1403" s="5"/>
      <c r="AON1403" s="5"/>
      <c r="AOO1403" s="5"/>
      <c r="AOP1403" s="5"/>
      <c r="AOQ1403" s="5"/>
      <c r="AOR1403" s="5"/>
      <c r="AOS1403" s="5"/>
      <c r="AOT1403" s="5"/>
      <c r="AOU1403" s="5"/>
      <c r="AOV1403" s="5"/>
      <c r="AOW1403" s="5"/>
      <c r="AOX1403" s="5"/>
      <c r="AOY1403" s="5"/>
      <c r="AOZ1403" s="5"/>
      <c r="APA1403" s="5"/>
      <c r="APB1403" s="5"/>
      <c r="APC1403" s="5"/>
      <c r="APD1403" s="5"/>
      <c r="APE1403" s="5"/>
      <c r="APF1403" s="5"/>
      <c r="APG1403" s="5"/>
      <c r="APH1403" s="5"/>
      <c r="API1403" s="5"/>
      <c r="APJ1403" s="5"/>
      <c r="APK1403" s="5"/>
      <c r="APL1403" s="5"/>
      <c r="APM1403" s="5"/>
      <c r="APN1403" s="5"/>
      <c r="APO1403" s="5"/>
      <c r="APP1403" s="5"/>
      <c r="APQ1403" s="5"/>
      <c r="APR1403" s="5"/>
      <c r="APS1403" s="5"/>
      <c r="APT1403" s="5"/>
      <c r="APU1403" s="5"/>
      <c r="APV1403" s="5"/>
      <c r="APW1403" s="5"/>
      <c r="APX1403" s="5"/>
      <c r="APY1403" s="5"/>
      <c r="APZ1403" s="5"/>
      <c r="AQA1403" s="5"/>
      <c r="AQB1403" s="5"/>
      <c r="AQC1403" s="5"/>
      <c r="AQD1403" s="5"/>
      <c r="AQE1403" s="5"/>
      <c r="AQF1403" s="5"/>
      <c r="AQG1403" s="5"/>
      <c r="AQH1403" s="5"/>
      <c r="AQI1403" s="5"/>
      <c r="AQJ1403" s="5"/>
      <c r="AQK1403" s="5"/>
      <c r="AQL1403" s="5"/>
      <c r="AQM1403" s="5"/>
      <c r="AQN1403" s="5"/>
      <c r="AQO1403" s="5"/>
      <c r="AQP1403" s="5"/>
      <c r="AQQ1403" s="5"/>
      <c r="AQR1403" s="5"/>
      <c r="AQS1403" s="5"/>
      <c r="AQT1403" s="5"/>
      <c r="AQU1403" s="5"/>
      <c r="AQV1403" s="5"/>
      <c r="AQW1403" s="5"/>
      <c r="AQX1403" s="5"/>
      <c r="AQY1403" s="5"/>
      <c r="AQZ1403" s="5"/>
      <c r="ARA1403" s="5"/>
      <c r="ARB1403" s="5"/>
      <c r="ARC1403" s="5"/>
      <c r="ARD1403" s="5"/>
      <c r="ARE1403" s="5"/>
      <c r="ARF1403" s="5"/>
      <c r="ARG1403" s="5"/>
      <c r="ARH1403" s="5"/>
      <c r="ARI1403" s="5"/>
      <c r="ARJ1403" s="5"/>
      <c r="ARK1403" s="5"/>
      <c r="ARL1403" s="5"/>
      <c r="ARM1403" s="5"/>
      <c r="ARN1403" s="5"/>
      <c r="ARO1403" s="5"/>
      <c r="ARP1403" s="5"/>
      <c r="ARQ1403" s="5"/>
      <c r="ARR1403" s="5"/>
      <c r="ARS1403" s="5"/>
      <c r="ART1403" s="5"/>
      <c r="ARU1403" s="5"/>
      <c r="ARV1403" s="5"/>
      <c r="ARW1403" s="5"/>
      <c r="ARX1403" s="5"/>
      <c r="ARY1403" s="5"/>
      <c r="ARZ1403" s="5"/>
      <c r="ASA1403" s="5"/>
      <c r="ASB1403" s="5"/>
      <c r="ASC1403" s="5"/>
      <c r="ASD1403" s="5"/>
      <c r="ASE1403" s="5"/>
      <c r="ASF1403" s="5"/>
      <c r="ASG1403" s="5"/>
      <c r="ASH1403" s="5"/>
      <c r="ASI1403" s="5"/>
      <c r="ASJ1403" s="5"/>
      <c r="ASK1403" s="5"/>
      <c r="ASL1403" s="5"/>
      <c r="ASM1403" s="5"/>
      <c r="ASN1403" s="5"/>
      <c r="ASO1403" s="5"/>
      <c r="ASP1403" s="5"/>
      <c r="ASQ1403" s="5"/>
      <c r="ASR1403" s="5"/>
      <c r="ASS1403" s="5"/>
      <c r="AST1403" s="5"/>
      <c r="ASU1403" s="5"/>
      <c r="ASV1403" s="5"/>
      <c r="ASW1403" s="5"/>
      <c r="ASX1403" s="5"/>
      <c r="ASY1403" s="5"/>
      <c r="ASZ1403" s="5"/>
      <c r="ATA1403" s="5"/>
      <c r="ATB1403" s="5"/>
      <c r="ATC1403" s="5"/>
      <c r="ATD1403" s="5"/>
      <c r="ATE1403" s="5"/>
      <c r="ATF1403" s="5"/>
      <c r="ATG1403" s="5"/>
      <c r="ATH1403" s="5"/>
      <c r="ATI1403" s="5"/>
      <c r="ATJ1403" s="5"/>
      <c r="ATK1403" s="5"/>
      <c r="ATL1403" s="5"/>
      <c r="ATM1403" s="5"/>
      <c r="ATN1403" s="5"/>
      <c r="ATO1403" s="5"/>
      <c r="ATP1403" s="5"/>
      <c r="ATQ1403" s="5"/>
      <c r="ATR1403" s="5"/>
      <c r="ATS1403" s="5"/>
      <c r="ATT1403" s="5"/>
      <c r="ATU1403" s="5"/>
      <c r="ATV1403" s="5"/>
      <c r="ATW1403" s="5"/>
      <c r="ATX1403" s="5"/>
    </row>
    <row r="1404" spans="1:1220" s="197" customFormat="1" ht="12.75" customHeight="1" x14ac:dyDescent="0.35">
      <c r="A1404" s="76" t="s">
        <v>1029</v>
      </c>
      <c r="B1404" s="99" t="s">
        <v>244</v>
      </c>
      <c r="C1404" s="76" t="s">
        <v>3946</v>
      </c>
      <c r="D1404" s="142" t="s">
        <v>3947</v>
      </c>
      <c r="E1404" s="76"/>
      <c r="F1404" s="5"/>
      <c r="G1404" s="5"/>
      <c r="H1404" s="5"/>
      <c r="I1404" s="5"/>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c r="BO1404" s="5"/>
      <c r="BP1404" s="5"/>
      <c r="BQ1404" s="5"/>
      <c r="BR1404" s="5"/>
      <c r="BS1404" s="5"/>
      <c r="BT1404" s="5"/>
      <c r="BU1404" s="5"/>
      <c r="BV1404" s="5"/>
      <c r="BW1404" s="5"/>
      <c r="BX1404" s="5"/>
      <c r="BY1404" s="5"/>
      <c r="BZ1404" s="5"/>
      <c r="CA1404" s="5"/>
      <c r="CB1404" s="5"/>
      <c r="CC1404" s="5"/>
      <c r="CD1404" s="5"/>
      <c r="CE1404" s="5"/>
      <c r="CF1404" s="5"/>
      <c r="CG1404" s="5"/>
      <c r="CH1404" s="5"/>
      <c r="CI1404" s="5"/>
      <c r="CJ1404" s="5"/>
      <c r="CK1404" s="5"/>
      <c r="CL1404" s="5"/>
      <c r="CM1404" s="5"/>
      <c r="CN1404" s="5"/>
      <c r="CO1404" s="5"/>
      <c r="CP1404" s="5"/>
      <c r="CQ1404" s="5"/>
      <c r="CR1404" s="5"/>
      <c r="CS1404" s="5"/>
      <c r="CT1404" s="5"/>
      <c r="CU1404" s="5"/>
      <c r="CV1404" s="5"/>
      <c r="CW1404" s="5"/>
      <c r="CX1404" s="5"/>
      <c r="CY1404" s="5"/>
      <c r="CZ1404" s="5"/>
      <c r="DA1404" s="5"/>
      <c r="DB1404" s="5"/>
      <c r="DC1404" s="5"/>
      <c r="DD1404" s="5"/>
      <c r="DE1404" s="5"/>
      <c r="DF1404" s="5"/>
      <c r="DG1404" s="5"/>
      <c r="DH1404" s="5"/>
      <c r="DI1404" s="5"/>
      <c r="DJ1404" s="5"/>
      <c r="DK1404" s="5"/>
      <c r="DL1404" s="5"/>
      <c r="DM1404" s="5"/>
      <c r="DN1404" s="5"/>
      <c r="DO1404" s="5"/>
      <c r="DP1404" s="5"/>
      <c r="DQ1404" s="5"/>
      <c r="DR1404" s="5"/>
      <c r="DS1404" s="5"/>
      <c r="DT1404" s="5"/>
      <c r="DU1404" s="5"/>
      <c r="DV1404" s="5"/>
      <c r="DW1404" s="5"/>
      <c r="DX1404" s="5"/>
      <c r="DY1404" s="5"/>
      <c r="DZ1404" s="5"/>
      <c r="EA1404" s="5"/>
      <c r="EB1404" s="5"/>
      <c r="EC1404" s="5"/>
      <c r="ED1404" s="5"/>
      <c r="EE1404" s="5"/>
      <c r="EF1404" s="5"/>
      <c r="EG1404" s="5"/>
      <c r="EH1404" s="5"/>
      <c r="EI1404" s="5"/>
      <c r="EJ1404" s="5"/>
      <c r="EK1404" s="5"/>
      <c r="EL1404" s="5"/>
      <c r="EM1404" s="5"/>
      <c r="EN1404" s="5"/>
      <c r="EO1404" s="5"/>
      <c r="EP1404" s="5"/>
      <c r="EQ1404" s="5"/>
      <c r="ER1404" s="5"/>
      <c r="ES1404" s="5"/>
      <c r="ET1404" s="5"/>
      <c r="EU1404" s="5"/>
      <c r="EV1404" s="5"/>
      <c r="EW1404" s="5"/>
      <c r="EX1404" s="5"/>
      <c r="EY1404" s="5"/>
      <c r="EZ1404" s="5"/>
      <c r="FA1404" s="5"/>
      <c r="FB1404" s="5"/>
      <c r="FC1404" s="5"/>
      <c r="FD1404" s="5"/>
      <c r="FE1404" s="5"/>
      <c r="FF1404" s="5"/>
      <c r="FG1404" s="5"/>
      <c r="FH1404" s="5"/>
      <c r="FI1404" s="5"/>
      <c r="FJ1404" s="5"/>
      <c r="FK1404" s="5"/>
      <c r="FL1404" s="5"/>
      <c r="FM1404" s="5"/>
      <c r="FN1404" s="5"/>
      <c r="FO1404" s="5"/>
      <c r="FP1404" s="5"/>
      <c r="FQ1404" s="5"/>
      <c r="FR1404" s="5"/>
      <c r="FS1404" s="5"/>
      <c r="FT1404" s="5"/>
      <c r="FU1404" s="5"/>
      <c r="FV1404" s="5"/>
      <c r="FW1404" s="5"/>
      <c r="FX1404" s="5"/>
      <c r="FY1404" s="5"/>
      <c r="FZ1404" s="5"/>
      <c r="GA1404" s="5"/>
      <c r="GB1404" s="5"/>
      <c r="GC1404" s="5"/>
      <c r="GD1404" s="5"/>
      <c r="GE1404" s="5"/>
      <c r="GF1404" s="5"/>
      <c r="GG1404" s="5"/>
      <c r="GH1404" s="5"/>
      <c r="GI1404" s="5"/>
      <c r="GJ1404" s="5"/>
      <c r="GK1404" s="5"/>
      <c r="GL1404" s="5"/>
      <c r="GM1404" s="5"/>
      <c r="GN1404" s="5"/>
      <c r="GO1404" s="5"/>
      <c r="GP1404" s="5"/>
      <c r="GQ1404" s="5"/>
      <c r="GR1404" s="5"/>
      <c r="GS1404" s="5"/>
      <c r="GT1404" s="5"/>
      <c r="GU1404" s="5"/>
      <c r="GV1404" s="5"/>
      <c r="GW1404" s="5"/>
      <c r="GX1404" s="5"/>
      <c r="GY1404" s="5"/>
      <c r="GZ1404" s="5"/>
      <c r="HA1404" s="5"/>
      <c r="HB1404" s="5"/>
      <c r="HC1404" s="5"/>
      <c r="HD1404" s="5"/>
      <c r="HE1404" s="5"/>
      <c r="HF1404" s="5"/>
      <c r="HG1404" s="5"/>
      <c r="HH1404" s="5"/>
      <c r="HI1404" s="5"/>
      <c r="HJ1404" s="5"/>
      <c r="HK1404" s="5"/>
      <c r="HL1404" s="5"/>
      <c r="HM1404" s="5"/>
      <c r="HN1404" s="5"/>
      <c r="HO1404" s="5"/>
      <c r="HP1404" s="5"/>
      <c r="HQ1404" s="5"/>
      <c r="HR1404" s="5"/>
      <c r="HS1404" s="5"/>
      <c r="HT1404" s="5"/>
      <c r="HU1404" s="5"/>
      <c r="HV1404" s="5"/>
      <c r="HW1404" s="5"/>
      <c r="HX1404" s="5"/>
      <c r="HY1404" s="5"/>
      <c r="HZ1404" s="5"/>
      <c r="IA1404" s="5"/>
      <c r="IB1404" s="5"/>
      <c r="IC1404" s="5"/>
      <c r="ID1404" s="5"/>
      <c r="IE1404" s="5"/>
      <c r="IF1404" s="5"/>
      <c r="IG1404" s="5"/>
      <c r="IH1404" s="5"/>
      <c r="II1404" s="5"/>
      <c r="IJ1404" s="5"/>
      <c r="IK1404" s="5"/>
      <c r="IL1404" s="5"/>
      <c r="IM1404" s="5"/>
      <c r="IN1404" s="5"/>
      <c r="IO1404" s="5"/>
      <c r="IP1404" s="5"/>
      <c r="IQ1404" s="5"/>
      <c r="IR1404" s="5"/>
      <c r="IS1404" s="5"/>
      <c r="IT1404" s="5"/>
      <c r="IU1404" s="5"/>
      <c r="IV1404" s="5"/>
      <c r="IW1404" s="5"/>
      <c r="IX1404" s="5"/>
      <c r="IY1404" s="5"/>
      <c r="IZ1404" s="5"/>
      <c r="JA1404" s="5"/>
      <c r="JB1404" s="5"/>
      <c r="JC1404" s="5"/>
      <c r="JD1404" s="5"/>
      <c r="JE1404" s="5"/>
      <c r="JF1404" s="5"/>
      <c r="JG1404" s="5"/>
      <c r="JH1404" s="5"/>
      <c r="JI1404" s="5"/>
      <c r="JJ1404" s="5"/>
      <c r="JK1404" s="5"/>
      <c r="JL1404" s="5"/>
      <c r="JM1404" s="5"/>
      <c r="JN1404" s="5"/>
      <c r="JO1404" s="5"/>
      <c r="JP1404" s="5"/>
      <c r="JQ1404" s="5"/>
      <c r="JR1404" s="5"/>
      <c r="JS1404" s="5"/>
      <c r="JT1404" s="5"/>
      <c r="JU1404" s="5"/>
      <c r="JV1404" s="5"/>
      <c r="JW1404" s="5"/>
      <c r="JX1404" s="5"/>
      <c r="JY1404" s="5"/>
      <c r="JZ1404" s="5"/>
      <c r="KA1404" s="5"/>
      <c r="KB1404" s="5"/>
      <c r="KC1404" s="5"/>
      <c r="KD1404" s="5"/>
      <c r="KE1404" s="5"/>
      <c r="KF1404" s="5"/>
      <c r="KG1404" s="5"/>
      <c r="KH1404" s="5"/>
      <c r="KI1404" s="5"/>
      <c r="KJ1404" s="5"/>
      <c r="KK1404" s="5"/>
      <c r="KL1404" s="5"/>
      <c r="KM1404" s="5"/>
      <c r="KN1404" s="5"/>
      <c r="KO1404" s="5"/>
      <c r="KP1404" s="5"/>
      <c r="KQ1404" s="5"/>
      <c r="KR1404" s="5"/>
      <c r="KS1404" s="5"/>
      <c r="KT1404" s="5"/>
      <c r="KU1404" s="5"/>
      <c r="KV1404" s="5"/>
      <c r="KW1404" s="5"/>
      <c r="KX1404" s="5"/>
      <c r="KY1404" s="5"/>
      <c r="KZ1404" s="5"/>
      <c r="LA1404" s="5"/>
      <c r="LB1404" s="5"/>
      <c r="LC1404" s="5"/>
      <c r="LD1404" s="5"/>
      <c r="LE1404" s="5"/>
      <c r="LF1404" s="5"/>
      <c r="LG1404" s="5"/>
      <c r="LH1404" s="5"/>
      <c r="LI1404" s="5"/>
      <c r="LJ1404" s="5"/>
      <c r="LK1404" s="5"/>
      <c r="LL1404" s="5"/>
      <c r="LM1404" s="5"/>
      <c r="LN1404" s="5"/>
      <c r="LO1404" s="5"/>
      <c r="LP1404" s="5"/>
      <c r="LQ1404" s="5"/>
      <c r="LR1404" s="5"/>
      <c r="LS1404" s="5"/>
      <c r="LT1404" s="5"/>
      <c r="LU1404" s="5"/>
      <c r="LV1404" s="5"/>
      <c r="LW1404" s="5"/>
      <c r="LX1404" s="5"/>
      <c r="LY1404" s="5"/>
      <c r="LZ1404" s="5"/>
      <c r="MA1404" s="5"/>
      <c r="MB1404" s="5"/>
      <c r="MC1404" s="5"/>
      <c r="MD1404" s="5"/>
      <c r="ME1404" s="5"/>
      <c r="MF1404" s="5"/>
      <c r="MG1404" s="5"/>
      <c r="MH1404" s="5"/>
      <c r="MI1404" s="5"/>
      <c r="MJ1404" s="5"/>
      <c r="MK1404" s="5"/>
      <c r="ML1404" s="5"/>
      <c r="MM1404" s="5"/>
      <c r="MN1404" s="5"/>
      <c r="MO1404" s="5"/>
      <c r="MP1404" s="5"/>
      <c r="MQ1404" s="5"/>
      <c r="MR1404" s="5"/>
      <c r="MS1404" s="5"/>
      <c r="MT1404" s="5"/>
      <c r="MU1404" s="5"/>
      <c r="MV1404" s="5"/>
      <c r="MW1404" s="5"/>
      <c r="MX1404" s="5"/>
      <c r="MY1404" s="5"/>
      <c r="MZ1404" s="5"/>
      <c r="NA1404" s="5"/>
      <c r="NB1404" s="5"/>
      <c r="NC1404" s="5"/>
      <c r="ND1404" s="5"/>
      <c r="NE1404" s="5"/>
      <c r="NF1404" s="5"/>
      <c r="NG1404" s="5"/>
      <c r="NH1404" s="5"/>
      <c r="NI1404" s="5"/>
      <c r="NJ1404" s="5"/>
      <c r="NK1404" s="5"/>
      <c r="NL1404" s="5"/>
      <c r="NM1404" s="5"/>
      <c r="NN1404" s="5"/>
      <c r="NO1404" s="5"/>
      <c r="NP1404" s="5"/>
      <c r="NQ1404" s="5"/>
      <c r="NR1404" s="5"/>
      <c r="NS1404" s="5"/>
      <c r="NT1404" s="5"/>
      <c r="NU1404" s="5"/>
      <c r="NV1404" s="5"/>
      <c r="NW1404" s="5"/>
      <c r="NX1404" s="5"/>
      <c r="NY1404" s="5"/>
      <c r="NZ1404" s="5"/>
      <c r="OA1404" s="5"/>
      <c r="OB1404" s="5"/>
      <c r="OC1404" s="5"/>
      <c r="OD1404" s="5"/>
      <c r="OE1404" s="5"/>
      <c r="OF1404" s="5"/>
      <c r="OG1404" s="5"/>
      <c r="OH1404" s="5"/>
      <c r="OI1404" s="5"/>
      <c r="OJ1404" s="5"/>
      <c r="OK1404" s="5"/>
      <c r="OL1404" s="5"/>
      <c r="OM1404" s="5"/>
      <c r="ON1404" s="5"/>
      <c r="OO1404" s="5"/>
      <c r="OP1404" s="5"/>
      <c r="OQ1404" s="5"/>
      <c r="OR1404" s="5"/>
      <c r="OS1404" s="5"/>
      <c r="OT1404" s="5"/>
      <c r="OU1404" s="5"/>
      <c r="OV1404" s="5"/>
      <c r="OW1404" s="5"/>
      <c r="OX1404" s="5"/>
      <c r="OY1404" s="5"/>
      <c r="OZ1404" s="5"/>
      <c r="PA1404" s="5"/>
      <c r="PB1404" s="5"/>
      <c r="PC1404" s="5"/>
      <c r="PD1404" s="5"/>
      <c r="PE1404" s="5"/>
      <c r="PF1404" s="5"/>
      <c r="PG1404" s="5"/>
      <c r="PH1404" s="5"/>
      <c r="PI1404" s="5"/>
      <c r="PJ1404" s="5"/>
      <c r="PK1404" s="5"/>
      <c r="PL1404" s="5"/>
      <c r="PM1404" s="5"/>
      <c r="PN1404" s="5"/>
      <c r="PO1404" s="5"/>
      <c r="PP1404" s="5"/>
      <c r="PQ1404" s="5"/>
      <c r="PR1404" s="5"/>
      <c r="PS1404" s="5"/>
      <c r="PT1404" s="5"/>
      <c r="PU1404" s="5"/>
      <c r="PV1404" s="5"/>
      <c r="PW1404" s="5"/>
      <c r="PX1404" s="5"/>
      <c r="PY1404" s="5"/>
      <c r="PZ1404" s="5"/>
      <c r="QA1404" s="5"/>
      <c r="QB1404" s="5"/>
      <c r="QC1404" s="5"/>
      <c r="QD1404" s="5"/>
      <c r="QE1404" s="5"/>
      <c r="QF1404" s="5"/>
      <c r="QG1404" s="5"/>
      <c r="QH1404" s="5"/>
      <c r="QI1404" s="5"/>
      <c r="QJ1404" s="5"/>
      <c r="QK1404" s="5"/>
      <c r="QL1404" s="5"/>
      <c r="QM1404" s="5"/>
      <c r="QN1404" s="5"/>
      <c r="QO1404" s="5"/>
      <c r="QP1404" s="5"/>
      <c r="QQ1404" s="5"/>
      <c r="QR1404" s="5"/>
      <c r="QS1404" s="5"/>
      <c r="QT1404" s="5"/>
      <c r="QU1404" s="5"/>
      <c r="QV1404" s="5"/>
      <c r="QW1404" s="5"/>
      <c r="QX1404" s="5"/>
      <c r="QY1404" s="5"/>
      <c r="QZ1404" s="5"/>
      <c r="RA1404" s="5"/>
      <c r="RB1404" s="5"/>
      <c r="RC1404" s="5"/>
      <c r="RD1404" s="5"/>
      <c r="RE1404" s="5"/>
      <c r="RF1404" s="5"/>
      <c r="RG1404" s="5"/>
      <c r="RH1404" s="5"/>
      <c r="RI1404" s="5"/>
      <c r="RJ1404" s="5"/>
      <c r="RK1404" s="5"/>
      <c r="RL1404" s="5"/>
      <c r="RM1404" s="5"/>
      <c r="RN1404" s="5"/>
      <c r="RO1404" s="5"/>
      <c r="RP1404" s="5"/>
      <c r="RQ1404" s="5"/>
      <c r="RR1404" s="5"/>
      <c r="RS1404" s="5"/>
      <c r="RT1404" s="5"/>
      <c r="RU1404" s="5"/>
      <c r="RV1404" s="5"/>
      <c r="RW1404" s="5"/>
      <c r="RX1404" s="5"/>
      <c r="RY1404" s="5"/>
      <c r="RZ1404" s="5"/>
      <c r="SA1404" s="5"/>
      <c r="SB1404" s="5"/>
      <c r="SC1404" s="5"/>
      <c r="SD1404" s="5"/>
      <c r="SE1404" s="5"/>
      <c r="SF1404" s="5"/>
      <c r="SG1404" s="5"/>
      <c r="SH1404" s="5"/>
      <c r="SI1404" s="5"/>
      <c r="SJ1404" s="5"/>
      <c r="SK1404" s="5"/>
      <c r="SL1404" s="5"/>
      <c r="SM1404" s="5"/>
      <c r="SN1404" s="5"/>
      <c r="SO1404" s="5"/>
      <c r="SP1404" s="5"/>
      <c r="SQ1404" s="5"/>
      <c r="SR1404" s="5"/>
      <c r="SS1404" s="5"/>
      <c r="ST1404" s="5"/>
      <c r="SU1404" s="5"/>
      <c r="SV1404" s="5"/>
      <c r="SW1404" s="5"/>
      <c r="SX1404" s="5"/>
      <c r="SY1404" s="5"/>
      <c r="SZ1404" s="5"/>
      <c r="TA1404" s="5"/>
      <c r="TB1404" s="5"/>
      <c r="TC1404" s="5"/>
      <c r="TD1404" s="5"/>
      <c r="TE1404" s="5"/>
      <c r="TF1404" s="5"/>
      <c r="TG1404" s="5"/>
      <c r="TH1404" s="5"/>
      <c r="TI1404" s="5"/>
      <c r="TJ1404" s="5"/>
      <c r="TK1404" s="5"/>
      <c r="TL1404" s="5"/>
      <c r="TM1404" s="5"/>
      <c r="TN1404" s="5"/>
      <c r="TO1404" s="5"/>
      <c r="TP1404" s="5"/>
      <c r="TQ1404" s="5"/>
      <c r="TR1404" s="5"/>
      <c r="TS1404" s="5"/>
      <c r="TT1404" s="5"/>
      <c r="TU1404" s="5"/>
      <c r="TV1404" s="5"/>
      <c r="TW1404" s="5"/>
      <c r="TX1404" s="5"/>
      <c r="TY1404" s="5"/>
      <c r="TZ1404" s="5"/>
      <c r="UA1404" s="5"/>
      <c r="UB1404" s="5"/>
      <c r="UC1404" s="5"/>
      <c r="UD1404" s="5"/>
      <c r="UE1404" s="5"/>
      <c r="UF1404" s="5"/>
      <c r="UG1404" s="5"/>
      <c r="UH1404" s="5"/>
      <c r="UI1404" s="5"/>
      <c r="UJ1404" s="5"/>
      <c r="UK1404" s="5"/>
      <c r="UL1404" s="5"/>
      <c r="UM1404" s="5"/>
      <c r="UN1404" s="5"/>
      <c r="UO1404" s="5"/>
      <c r="UP1404" s="5"/>
      <c r="UQ1404" s="5"/>
      <c r="UR1404" s="5"/>
      <c r="US1404" s="5"/>
      <c r="UT1404" s="5"/>
      <c r="UU1404" s="5"/>
      <c r="UV1404" s="5"/>
      <c r="UW1404" s="5"/>
      <c r="UX1404" s="5"/>
      <c r="UY1404" s="5"/>
      <c r="UZ1404" s="5"/>
      <c r="VA1404" s="5"/>
      <c r="VB1404" s="5"/>
      <c r="VC1404" s="5"/>
      <c r="VD1404" s="5"/>
      <c r="VE1404" s="5"/>
      <c r="VF1404" s="5"/>
      <c r="VG1404" s="5"/>
      <c r="VH1404" s="5"/>
      <c r="VI1404" s="5"/>
      <c r="VJ1404" s="5"/>
      <c r="VK1404" s="5"/>
      <c r="VL1404" s="5"/>
      <c r="VM1404" s="5"/>
      <c r="VN1404" s="5"/>
      <c r="VO1404" s="5"/>
      <c r="VP1404" s="5"/>
      <c r="VQ1404" s="5"/>
      <c r="VR1404" s="5"/>
      <c r="VS1404" s="5"/>
      <c r="VT1404" s="5"/>
      <c r="VU1404" s="5"/>
      <c r="VV1404" s="5"/>
      <c r="VW1404" s="5"/>
      <c r="VX1404" s="5"/>
      <c r="VY1404" s="5"/>
      <c r="VZ1404" s="5"/>
      <c r="WA1404" s="5"/>
      <c r="WB1404" s="5"/>
      <c r="WC1404" s="5"/>
      <c r="WD1404" s="5"/>
      <c r="WE1404" s="5"/>
      <c r="WF1404" s="5"/>
      <c r="WG1404" s="5"/>
      <c r="WH1404" s="5"/>
      <c r="WI1404" s="5"/>
      <c r="WJ1404" s="5"/>
      <c r="WK1404" s="5"/>
      <c r="WL1404" s="5"/>
      <c r="WM1404" s="5"/>
      <c r="WN1404" s="5"/>
      <c r="WO1404" s="5"/>
      <c r="WP1404" s="5"/>
      <c r="WQ1404" s="5"/>
      <c r="WR1404" s="5"/>
      <c r="WS1404" s="5"/>
      <c r="WT1404" s="5"/>
      <c r="WU1404" s="5"/>
      <c r="WV1404" s="5"/>
      <c r="WW1404" s="5"/>
      <c r="WX1404" s="5"/>
      <c r="WY1404" s="5"/>
      <c r="WZ1404" s="5"/>
      <c r="XA1404" s="5"/>
      <c r="XB1404" s="5"/>
      <c r="XC1404" s="5"/>
      <c r="XD1404" s="5"/>
      <c r="XE1404" s="5"/>
      <c r="XF1404" s="5"/>
      <c r="XG1404" s="5"/>
      <c r="XH1404" s="5"/>
      <c r="XI1404" s="5"/>
      <c r="XJ1404" s="5"/>
      <c r="XK1404" s="5"/>
      <c r="XL1404" s="5"/>
      <c r="XM1404" s="5"/>
      <c r="XN1404" s="5"/>
      <c r="XO1404" s="5"/>
      <c r="XP1404" s="5"/>
      <c r="XQ1404" s="5"/>
      <c r="XR1404" s="5"/>
      <c r="XS1404" s="5"/>
      <c r="XT1404" s="5"/>
      <c r="XU1404" s="5"/>
      <c r="XV1404" s="5"/>
      <c r="XW1404" s="5"/>
      <c r="XX1404" s="5"/>
      <c r="XY1404" s="5"/>
      <c r="XZ1404" s="5"/>
      <c r="YA1404" s="5"/>
      <c r="YB1404" s="5"/>
      <c r="YC1404" s="5"/>
      <c r="YD1404" s="5"/>
      <c r="YE1404" s="5"/>
      <c r="YF1404" s="5"/>
      <c r="YG1404" s="5"/>
      <c r="YH1404" s="5"/>
      <c r="YI1404" s="5"/>
      <c r="YJ1404" s="5"/>
      <c r="YK1404" s="5"/>
      <c r="YL1404" s="5"/>
      <c r="YM1404" s="5"/>
      <c r="YN1404" s="5"/>
      <c r="YO1404" s="5"/>
      <c r="YP1404" s="5"/>
      <c r="YQ1404" s="5"/>
      <c r="YR1404" s="5"/>
      <c r="YS1404" s="5"/>
      <c r="YT1404" s="5"/>
      <c r="YU1404" s="5"/>
      <c r="YV1404" s="5"/>
      <c r="YW1404" s="5"/>
      <c r="YX1404" s="5"/>
      <c r="YY1404" s="5"/>
      <c r="YZ1404" s="5"/>
      <c r="ZA1404" s="5"/>
      <c r="ZB1404" s="5"/>
      <c r="ZC1404" s="5"/>
      <c r="ZD1404" s="5"/>
      <c r="ZE1404" s="5"/>
      <c r="ZF1404" s="5"/>
      <c r="ZG1404" s="5"/>
      <c r="ZH1404" s="5"/>
      <c r="ZI1404" s="5"/>
      <c r="ZJ1404" s="5"/>
      <c r="ZK1404" s="5"/>
      <c r="ZL1404" s="5"/>
      <c r="ZM1404" s="5"/>
      <c r="ZN1404" s="5"/>
      <c r="ZO1404" s="5"/>
      <c r="ZP1404" s="5"/>
      <c r="ZQ1404" s="5"/>
      <c r="ZR1404" s="5"/>
      <c r="ZS1404" s="5"/>
      <c r="ZT1404" s="5"/>
      <c r="ZU1404" s="5"/>
      <c r="ZV1404" s="5"/>
      <c r="ZW1404" s="5"/>
      <c r="ZX1404" s="5"/>
      <c r="ZY1404" s="5"/>
      <c r="ZZ1404" s="5"/>
      <c r="AAA1404" s="5"/>
      <c r="AAB1404" s="5"/>
      <c r="AAC1404" s="5"/>
      <c r="AAD1404" s="5"/>
      <c r="AAE1404" s="5"/>
      <c r="AAF1404" s="5"/>
      <c r="AAG1404" s="5"/>
      <c r="AAH1404" s="5"/>
      <c r="AAI1404" s="5"/>
      <c r="AAJ1404" s="5"/>
      <c r="AAK1404" s="5"/>
      <c r="AAL1404" s="5"/>
      <c r="AAM1404" s="5"/>
      <c r="AAN1404" s="5"/>
      <c r="AAO1404" s="5"/>
      <c r="AAP1404" s="5"/>
      <c r="AAQ1404" s="5"/>
      <c r="AAR1404" s="5"/>
      <c r="AAS1404" s="5"/>
      <c r="AAT1404" s="5"/>
      <c r="AAU1404" s="5"/>
      <c r="AAV1404" s="5"/>
      <c r="AAW1404" s="5"/>
      <c r="AAX1404" s="5"/>
      <c r="AAY1404" s="5"/>
      <c r="AAZ1404" s="5"/>
      <c r="ABA1404" s="5"/>
      <c r="ABB1404" s="5"/>
      <c r="ABC1404" s="5"/>
      <c r="ABD1404" s="5"/>
      <c r="ABE1404" s="5"/>
      <c r="ABF1404" s="5"/>
      <c r="ABG1404" s="5"/>
      <c r="ABH1404" s="5"/>
      <c r="ABI1404" s="5"/>
      <c r="ABJ1404" s="5"/>
      <c r="ABK1404" s="5"/>
      <c r="ABL1404" s="5"/>
      <c r="ABM1404" s="5"/>
      <c r="ABN1404" s="5"/>
      <c r="ABO1404" s="5"/>
      <c r="ABP1404" s="5"/>
      <c r="ABQ1404" s="5"/>
      <c r="ABR1404" s="5"/>
      <c r="ABS1404" s="5"/>
      <c r="ABT1404" s="5"/>
      <c r="ABU1404" s="5"/>
      <c r="ABV1404" s="5"/>
      <c r="ABW1404" s="5"/>
      <c r="ABX1404" s="5"/>
      <c r="ABY1404" s="5"/>
      <c r="ABZ1404" s="5"/>
      <c r="ACA1404" s="5"/>
      <c r="ACB1404" s="5"/>
      <c r="ACC1404" s="5"/>
      <c r="ACD1404" s="5"/>
      <c r="ACE1404" s="5"/>
      <c r="ACF1404" s="5"/>
      <c r="ACG1404" s="5"/>
      <c r="ACH1404" s="5"/>
      <c r="ACI1404" s="5"/>
      <c r="ACJ1404" s="5"/>
      <c r="ACK1404" s="5"/>
      <c r="ACL1404" s="5"/>
      <c r="ACM1404" s="5"/>
      <c r="ACN1404" s="5"/>
      <c r="ACO1404" s="5"/>
      <c r="ACP1404" s="5"/>
      <c r="ACQ1404" s="5"/>
      <c r="ACR1404" s="5"/>
      <c r="ACS1404" s="5"/>
      <c r="ACT1404" s="5"/>
      <c r="ACU1404" s="5"/>
      <c r="ACV1404" s="5"/>
      <c r="ACW1404" s="5"/>
      <c r="ACX1404" s="5"/>
      <c r="ACY1404" s="5"/>
      <c r="ACZ1404" s="5"/>
      <c r="ADA1404" s="5"/>
      <c r="ADB1404" s="5"/>
      <c r="ADC1404" s="5"/>
      <c r="ADD1404" s="5"/>
      <c r="ADE1404" s="5"/>
      <c r="ADF1404" s="5"/>
      <c r="ADG1404" s="5"/>
      <c r="ADH1404" s="5"/>
      <c r="ADI1404" s="5"/>
      <c r="ADJ1404" s="5"/>
      <c r="ADK1404" s="5"/>
      <c r="ADL1404" s="5"/>
      <c r="ADM1404" s="5"/>
      <c r="ADN1404" s="5"/>
      <c r="ADO1404" s="5"/>
      <c r="ADP1404" s="5"/>
      <c r="ADQ1404" s="5"/>
      <c r="ADR1404" s="5"/>
      <c r="ADS1404" s="5"/>
      <c r="ADT1404" s="5"/>
      <c r="ADU1404" s="5"/>
      <c r="ADV1404" s="5"/>
      <c r="ADW1404" s="5"/>
      <c r="ADX1404" s="5"/>
      <c r="ADY1404" s="5"/>
      <c r="ADZ1404" s="5"/>
      <c r="AEA1404" s="5"/>
      <c r="AEB1404" s="5"/>
      <c r="AEC1404" s="5"/>
      <c r="AED1404" s="5"/>
      <c r="AEE1404" s="5"/>
      <c r="AEF1404" s="5"/>
      <c r="AEG1404" s="5"/>
      <c r="AEH1404" s="5"/>
      <c r="AEI1404" s="5"/>
      <c r="AEJ1404" s="5"/>
      <c r="AEK1404" s="5"/>
      <c r="AEL1404" s="5"/>
      <c r="AEM1404" s="5"/>
      <c r="AEN1404" s="5"/>
      <c r="AEO1404" s="5"/>
      <c r="AEP1404" s="5"/>
      <c r="AEQ1404" s="5"/>
      <c r="AER1404" s="5"/>
      <c r="AES1404" s="5"/>
      <c r="AET1404" s="5"/>
      <c r="AEU1404" s="5"/>
      <c r="AEV1404" s="5"/>
      <c r="AEW1404" s="5"/>
      <c r="AEX1404" s="5"/>
      <c r="AEY1404" s="5"/>
      <c r="AEZ1404" s="5"/>
      <c r="AFA1404" s="5"/>
      <c r="AFB1404" s="5"/>
      <c r="AFC1404" s="5"/>
      <c r="AFD1404" s="5"/>
      <c r="AFE1404" s="5"/>
      <c r="AFF1404" s="5"/>
      <c r="AFG1404" s="5"/>
      <c r="AFH1404" s="5"/>
      <c r="AFI1404" s="5"/>
      <c r="AFJ1404" s="5"/>
      <c r="AFK1404" s="5"/>
      <c r="AFL1404" s="5"/>
      <c r="AFM1404" s="5"/>
      <c r="AFN1404" s="5"/>
      <c r="AFO1404" s="5"/>
      <c r="AFP1404" s="5"/>
      <c r="AFQ1404" s="5"/>
      <c r="AFR1404" s="5"/>
      <c r="AFS1404" s="5"/>
      <c r="AFT1404" s="5"/>
      <c r="AFU1404" s="5"/>
      <c r="AFV1404" s="5"/>
      <c r="AFW1404" s="5"/>
      <c r="AFX1404" s="5"/>
      <c r="AFY1404" s="5"/>
      <c r="AFZ1404" s="5"/>
      <c r="AGA1404" s="5"/>
      <c r="AGB1404" s="5"/>
      <c r="AGC1404" s="5"/>
      <c r="AGD1404" s="5"/>
      <c r="AGE1404" s="5"/>
      <c r="AGF1404" s="5"/>
      <c r="AGG1404" s="5"/>
      <c r="AGH1404" s="5"/>
      <c r="AGI1404" s="5"/>
      <c r="AGJ1404" s="5"/>
      <c r="AGK1404" s="5"/>
      <c r="AGL1404" s="5"/>
      <c r="AGM1404" s="5"/>
      <c r="AGN1404" s="5"/>
      <c r="AGO1404" s="5"/>
      <c r="AGP1404" s="5"/>
      <c r="AGQ1404" s="5"/>
      <c r="AGR1404" s="5"/>
      <c r="AGS1404" s="5"/>
      <c r="AGT1404" s="5"/>
      <c r="AGU1404" s="5"/>
      <c r="AGV1404" s="5"/>
      <c r="AGW1404" s="5"/>
      <c r="AGX1404" s="5"/>
      <c r="AGY1404" s="5"/>
      <c r="AGZ1404" s="5"/>
      <c r="AHA1404" s="5"/>
      <c r="AHB1404" s="5"/>
      <c r="AHC1404" s="5"/>
      <c r="AHD1404" s="5"/>
      <c r="AHE1404" s="5"/>
      <c r="AHF1404" s="5"/>
      <c r="AHG1404" s="5"/>
      <c r="AHH1404" s="5"/>
      <c r="AHI1404" s="5"/>
      <c r="AHJ1404" s="5"/>
      <c r="AHK1404" s="5"/>
      <c r="AHL1404" s="5"/>
      <c r="AHM1404" s="5"/>
      <c r="AHN1404" s="5"/>
      <c r="AHO1404" s="5"/>
      <c r="AHP1404" s="5"/>
      <c r="AHQ1404" s="5"/>
      <c r="AHR1404" s="5"/>
      <c r="AHS1404" s="5"/>
      <c r="AHT1404" s="5"/>
      <c r="AHU1404" s="5"/>
      <c r="AHV1404" s="5"/>
      <c r="AHW1404" s="5"/>
      <c r="AHX1404" s="5"/>
      <c r="AHY1404" s="5"/>
      <c r="AHZ1404" s="5"/>
      <c r="AIA1404" s="5"/>
      <c r="AIB1404" s="5"/>
      <c r="AIC1404" s="5"/>
      <c r="AID1404" s="5"/>
      <c r="AIE1404" s="5"/>
      <c r="AIF1404" s="5"/>
      <c r="AIG1404" s="5"/>
      <c r="AIH1404" s="5"/>
      <c r="AII1404" s="5"/>
      <c r="AIJ1404" s="5"/>
      <c r="AIK1404" s="5"/>
      <c r="AIL1404" s="5"/>
      <c r="AIM1404" s="5"/>
      <c r="AIN1404" s="5"/>
      <c r="AIO1404" s="5"/>
      <c r="AIP1404" s="5"/>
      <c r="AIQ1404" s="5"/>
      <c r="AIR1404" s="5"/>
      <c r="AIS1404" s="5"/>
      <c r="AIT1404" s="5"/>
      <c r="AIU1404" s="5"/>
      <c r="AIV1404" s="5"/>
      <c r="AIW1404" s="5"/>
      <c r="AIX1404" s="5"/>
      <c r="AIY1404" s="5"/>
      <c r="AIZ1404" s="5"/>
      <c r="AJA1404" s="5"/>
      <c r="AJB1404" s="5"/>
      <c r="AJC1404" s="5"/>
      <c r="AJD1404" s="5"/>
      <c r="AJE1404" s="5"/>
      <c r="AJF1404" s="5"/>
      <c r="AJG1404" s="5"/>
      <c r="AJH1404" s="5"/>
      <c r="AJI1404" s="5"/>
      <c r="AJJ1404" s="5"/>
      <c r="AJK1404" s="5"/>
      <c r="AJL1404" s="5"/>
      <c r="AJM1404" s="5"/>
      <c r="AJN1404" s="5"/>
      <c r="AJO1404" s="5"/>
      <c r="AJP1404" s="5"/>
      <c r="AJQ1404" s="5"/>
      <c r="AJR1404" s="5"/>
      <c r="AJS1404" s="5"/>
      <c r="AJT1404" s="5"/>
      <c r="AJU1404" s="5"/>
      <c r="AJV1404" s="5"/>
      <c r="AJW1404" s="5"/>
      <c r="AJX1404" s="5"/>
      <c r="AJY1404" s="5"/>
      <c r="AJZ1404" s="5"/>
      <c r="AKA1404" s="5"/>
      <c r="AKB1404" s="5"/>
      <c r="AKC1404" s="5"/>
      <c r="AKD1404" s="5"/>
      <c r="AKE1404" s="5"/>
      <c r="AKF1404" s="5"/>
      <c r="AKG1404" s="5"/>
      <c r="AKH1404" s="5"/>
      <c r="AKI1404" s="5"/>
      <c r="AKJ1404" s="5"/>
      <c r="AKK1404" s="5"/>
      <c r="AKL1404" s="5"/>
      <c r="AKM1404" s="5"/>
      <c r="AKN1404" s="5"/>
      <c r="AKO1404" s="5"/>
      <c r="AKP1404" s="5"/>
      <c r="AKQ1404" s="5"/>
      <c r="AKR1404" s="5"/>
      <c r="AKS1404" s="5"/>
      <c r="AKT1404" s="5"/>
      <c r="AKU1404" s="5"/>
      <c r="AKV1404" s="5"/>
      <c r="AKW1404" s="5"/>
      <c r="AKX1404" s="5"/>
      <c r="AKY1404" s="5"/>
      <c r="AKZ1404" s="5"/>
      <c r="ALA1404" s="5"/>
      <c r="ALB1404" s="5"/>
      <c r="ALC1404" s="5"/>
      <c r="ALD1404" s="5"/>
      <c r="ALE1404" s="5"/>
      <c r="ALF1404" s="5"/>
      <c r="ALG1404" s="5"/>
      <c r="ALH1404" s="5"/>
      <c r="ALI1404" s="5"/>
      <c r="ALJ1404" s="5"/>
      <c r="ALK1404" s="5"/>
      <c r="ALL1404" s="5"/>
      <c r="ALM1404" s="5"/>
      <c r="ALN1404" s="5"/>
      <c r="ALO1404" s="5"/>
      <c r="ALP1404" s="5"/>
      <c r="ALQ1404" s="5"/>
      <c r="ALR1404" s="5"/>
      <c r="ALS1404" s="5"/>
      <c r="ALT1404" s="5"/>
      <c r="ALU1404" s="5"/>
      <c r="ALV1404" s="5"/>
      <c r="ALW1404" s="5"/>
      <c r="ALX1404" s="5"/>
      <c r="ALY1404" s="5"/>
      <c r="ALZ1404" s="5"/>
      <c r="AMA1404" s="5"/>
      <c r="AMB1404" s="5"/>
      <c r="AMC1404" s="5"/>
      <c r="AMD1404" s="5"/>
      <c r="AME1404" s="5"/>
      <c r="AMF1404" s="5"/>
      <c r="AMG1404" s="5"/>
      <c r="AMH1404" s="5"/>
      <c r="AMI1404" s="5"/>
      <c r="AMJ1404" s="5"/>
      <c r="AMK1404" s="5"/>
      <c r="AML1404" s="5"/>
      <c r="AMM1404" s="5"/>
      <c r="AMN1404" s="5"/>
      <c r="AMO1404" s="5"/>
      <c r="AMP1404" s="5"/>
      <c r="AMQ1404" s="5"/>
      <c r="AMR1404" s="5"/>
      <c r="AMS1404" s="5"/>
      <c r="AMT1404" s="5"/>
      <c r="AMU1404" s="5"/>
      <c r="AMV1404" s="5"/>
      <c r="AMW1404" s="5"/>
      <c r="AMX1404" s="5"/>
      <c r="AMY1404" s="5"/>
      <c r="AMZ1404" s="5"/>
      <c r="ANA1404" s="5"/>
      <c r="ANB1404" s="5"/>
      <c r="ANC1404" s="5"/>
      <c r="AND1404" s="5"/>
      <c r="ANE1404" s="5"/>
      <c r="ANF1404" s="5"/>
      <c r="ANG1404" s="5"/>
      <c r="ANH1404" s="5"/>
      <c r="ANI1404" s="5"/>
      <c r="ANJ1404" s="5"/>
      <c r="ANK1404" s="5"/>
      <c r="ANL1404" s="5"/>
      <c r="ANM1404" s="5"/>
      <c r="ANN1404" s="5"/>
      <c r="ANO1404" s="5"/>
      <c r="ANP1404" s="5"/>
      <c r="ANQ1404" s="5"/>
      <c r="ANR1404" s="5"/>
      <c r="ANS1404" s="5"/>
      <c r="ANT1404" s="5"/>
      <c r="ANU1404" s="5"/>
      <c r="ANV1404" s="5"/>
      <c r="ANW1404" s="5"/>
      <c r="ANX1404" s="5"/>
      <c r="ANY1404" s="5"/>
      <c r="ANZ1404" s="5"/>
      <c r="AOA1404" s="5"/>
      <c r="AOB1404" s="5"/>
      <c r="AOC1404" s="5"/>
      <c r="AOD1404" s="5"/>
      <c r="AOE1404" s="5"/>
      <c r="AOF1404" s="5"/>
      <c r="AOG1404" s="5"/>
      <c r="AOH1404" s="5"/>
      <c r="AOI1404" s="5"/>
      <c r="AOJ1404" s="5"/>
      <c r="AOK1404" s="5"/>
      <c r="AOL1404" s="5"/>
      <c r="AOM1404" s="5"/>
      <c r="AON1404" s="5"/>
      <c r="AOO1404" s="5"/>
      <c r="AOP1404" s="5"/>
      <c r="AOQ1404" s="5"/>
      <c r="AOR1404" s="5"/>
      <c r="AOS1404" s="5"/>
      <c r="AOT1404" s="5"/>
      <c r="AOU1404" s="5"/>
      <c r="AOV1404" s="5"/>
      <c r="AOW1404" s="5"/>
      <c r="AOX1404" s="5"/>
      <c r="AOY1404" s="5"/>
      <c r="AOZ1404" s="5"/>
      <c r="APA1404" s="5"/>
      <c r="APB1404" s="5"/>
      <c r="APC1404" s="5"/>
      <c r="APD1404" s="5"/>
      <c r="APE1404" s="5"/>
      <c r="APF1404" s="5"/>
      <c r="APG1404" s="5"/>
      <c r="APH1404" s="5"/>
      <c r="API1404" s="5"/>
      <c r="APJ1404" s="5"/>
      <c r="APK1404" s="5"/>
      <c r="APL1404" s="5"/>
      <c r="APM1404" s="5"/>
      <c r="APN1404" s="5"/>
      <c r="APO1404" s="5"/>
      <c r="APP1404" s="5"/>
      <c r="APQ1404" s="5"/>
      <c r="APR1404" s="5"/>
      <c r="APS1404" s="5"/>
      <c r="APT1404" s="5"/>
      <c r="APU1404" s="5"/>
      <c r="APV1404" s="5"/>
      <c r="APW1404" s="5"/>
      <c r="APX1404" s="5"/>
      <c r="APY1404" s="5"/>
      <c r="APZ1404" s="5"/>
      <c r="AQA1404" s="5"/>
      <c r="AQB1404" s="5"/>
      <c r="AQC1404" s="5"/>
      <c r="AQD1404" s="5"/>
      <c r="AQE1404" s="5"/>
      <c r="AQF1404" s="5"/>
      <c r="AQG1404" s="5"/>
      <c r="AQH1404" s="5"/>
      <c r="AQI1404" s="5"/>
      <c r="AQJ1404" s="5"/>
      <c r="AQK1404" s="5"/>
      <c r="AQL1404" s="5"/>
      <c r="AQM1404" s="5"/>
      <c r="AQN1404" s="5"/>
      <c r="AQO1404" s="5"/>
      <c r="AQP1404" s="5"/>
      <c r="AQQ1404" s="5"/>
      <c r="AQR1404" s="5"/>
      <c r="AQS1404" s="5"/>
      <c r="AQT1404" s="5"/>
      <c r="AQU1404" s="5"/>
      <c r="AQV1404" s="5"/>
      <c r="AQW1404" s="5"/>
      <c r="AQX1404" s="5"/>
      <c r="AQY1404" s="5"/>
      <c r="AQZ1404" s="5"/>
      <c r="ARA1404" s="5"/>
      <c r="ARB1404" s="5"/>
      <c r="ARC1404" s="5"/>
      <c r="ARD1404" s="5"/>
      <c r="ARE1404" s="5"/>
      <c r="ARF1404" s="5"/>
      <c r="ARG1404" s="5"/>
      <c r="ARH1404" s="5"/>
      <c r="ARI1404" s="5"/>
      <c r="ARJ1404" s="5"/>
      <c r="ARK1404" s="5"/>
      <c r="ARL1404" s="5"/>
      <c r="ARM1404" s="5"/>
      <c r="ARN1404" s="5"/>
      <c r="ARO1404" s="5"/>
      <c r="ARP1404" s="5"/>
      <c r="ARQ1404" s="5"/>
      <c r="ARR1404" s="5"/>
      <c r="ARS1404" s="5"/>
      <c r="ART1404" s="5"/>
      <c r="ARU1404" s="5"/>
      <c r="ARV1404" s="5"/>
      <c r="ARW1404" s="5"/>
      <c r="ARX1404" s="5"/>
      <c r="ARY1404" s="5"/>
      <c r="ARZ1404" s="5"/>
      <c r="ASA1404" s="5"/>
      <c r="ASB1404" s="5"/>
      <c r="ASC1404" s="5"/>
      <c r="ASD1404" s="5"/>
      <c r="ASE1404" s="5"/>
      <c r="ASF1404" s="5"/>
      <c r="ASG1404" s="5"/>
      <c r="ASH1404" s="5"/>
      <c r="ASI1404" s="5"/>
      <c r="ASJ1404" s="5"/>
      <c r="ASK1404" s="5"/>
      <c r="ASL1404" s="5"/>
      <c r="ASM1404" s="5"/>
      <c r="ASN1404" s="5"/>
      <c r="ASO1404" s="5"/>
      <c r="ASP1404" s="5"/>
      <c r="ASQ1404" s="5"/>
      <c r="ASR1404" s="5"/>
      <c r="ASS1404" s="5"/>
      <c r="AST1404" s="5"/>
      <c r="ASU1404" s="5"/>
      <c r="ASV1404" s="5"/>
      <c r="ASW1404" s="5"/>
      <c r="ASX1404" s="5"/>
      <c r="ASY1404" s="5"/>
      <c r="ASZ1404" s="5"/>
      <c r="ATA1404" s="5"/>
      <c r="ATB1404" s="5"/>
      <c r="ATC1404" s="5"/>
      <c r="ATD1404" s="5"/>
      <c r="ATE1404" s="5"/>
      <c r="ATF1404" s="5"/>
      <c r="ATG1404" s="5"/>
      <c r="ATH1404" s="5"/>
      <c r="ATI1404" s="5"/>
      <c r="ATJ1404" s="5"/>
      <c r="ATK1404" s="5"/>
      <c r="ATL1404" s="5"/>
      <c r="ATM1404" s="5"/>
      <c r="ATN1404" s="5"/>
      <c r="ATO1404" s="5"/>
      <c r="ATP1404" s="5"/>
      <c r="ATQ1404" s="5"/>
      <c r="ATR1404" s="5"/>
      <c r="ATS1404" s="5"/>
      <c r="ATT1404" s="5"/>
      <c r="ATU1404" s="5"/>
      <c r="ATV1404" s="5"/>
      <c r="ATW1404" s="5"/>
      <c r="ATX1404" s="5"/>
    </row>
    <row r="1405" spans="1:1220" ht="12.75" customHeight="1" x14ac:dyDescent="0.35">
      <c r="A1405" s="76" t="s">
        <v>548</v>
      </c>
      <c r="B1405" s="99" t="s">
        <v>1540</v>
      </c>
      <c r="C1405" s="76" t="s">
        <v>3948</v>
      </c>
      <c r="D1405" s="142" t="s">
        <v>3949</v>
      </c>
      <c r="E1405" s="76" t="s">
        <v>3950</v>
      </c>
    </row>
    <row r="1406" spans="1:1220" ht="12.75" customHeight="1" x14ac:dyDescent="0.35">
      <c r="A1406" s="76" t="s">
        <v>548</v>
      </c>
      <c r="B1406" s="99" t="s">
        <v>3951</v>
      </c>
      <c r="C1406" s="76" t="s">
        <v>3952</v>
      </c>
      <c r="D1406" s="142" t="s">
        <v>3953</v>
      </c>
      <c r="E1406" s="76" t="s">
        <v>3954</v>
      </c>
    </row>
    <row r="1407" spans="1:1220" ht="12.75" customHeight="1" x14ac:dyDescent="0.35">
      <c r="A1407" s="76" t="s">
        <v>548</v>
      </c>
      <c r="B1407" s="99" t="s">
        <v>3955</v>
      </c>
      <c r="C1407" s="76" t="s">
        <v>3956</v>
      </c>
      <c r="D1407" s="142" t="s">
        <v>3957</v>
      </c>
      <c r="E1407" s="76" t="s">
        <v>3958</v>
      </c>
    </row>
    <row r="1408" spans="1:1220" ht="12.75" customHeight="1" x14ac:dyDescent="0.35">
      <c r="A1408" s="76" t="s">
        <v>548</v>
      </c>
      <c r="B1408" s="99" t="s">
        <v>1892</v>
      </c>
      <c r="C1408" s="76" t="s">
        <v>3959</v>
      </c>
      <c r="D1408" s="142" t="s">
        <v>3960</v>
      </c>
      <c r="E1408" s="76" t="s">
        <v>3961</v>
      </c>
    </row>
    <row r="1409" spans="1:5" ht="12.75" customHeight="1" x14ac:dyDescent="0.35">
      <c r="A1409" s="76" t="s">
        <v>548</v>
      </c>
      <c r="B1409" s="99" t="s">
        <v>1912</v>
      </c>
      <c r="C1409" s="76" t="s">
        <v>2544</v>
      </c>
      <c r="D1409" s="142" t="s">
        <v>3962</v>
      </c>
      <c r="E1409" s="76" t="s">
        <v>3963</v>
      </c>
    </row>
    <row r="1410" spans="1:5" ht="12.75" customHeight="1" x14ac:dyDescent="0.35">
      <c r="A1410" s="76" t="s">
        <v>643</v>
      </c>
      <c r="B1410" s="99" t="s">
        <v>3964</v>
      </c>
      <c r="C1410" s="76" t="s">
        <v>3965</v>
      </c>
      <c r="D1410" s="142"/>
    </row>
    <row r="1411" spans="1:5" ht="12.75" customHeight="1" x14ac:dyDescent="0.35">
      <c r="A1411" s="76" t="s">
        <v>643</v>
      </c>
      <c r="B1411" s="99" t="s">
        <v>3966</v>
      </c>
      <c r="C1411" s="76" t="s">
        <v>3967</v>
      </c>
      <c r="D1411" s="142"/>
    </row>
    <row r="1412" spans="1:5" ht="12.75" customHeight="1" x14ac:dyDescent="0.35">
      <c r="A1412" s="76" t="s">
        <v>643</v>
      </c>
      <c r="B1412" s="99" t="s">
        <v>1536</v>
      </c>
      <c r="C1412" s="76" t="s">
        <v>3968</v>
      </c>
      <c r="D1412" s="142"/>
    </row>
    <row r="1413" spans="1:5" ht="12.75" customHeight="1" x14ac:dyDescent="0.35">
      <c r="A1413" s="76" t="s">
        <v>643</v>
      </c>
      <c r="B1413" s="99" t="s">
        <v>1506</v>
      </c>
      <c r="C1413" s="76" t="s">
        <v>3969</v>
      </c>
      <c r="D1413" s="142"/>
    </row>
    <row r="1414" spans="1:5" ht="12.75" customHeight="1" x14ac:dyDescent="0.35">
      <c r="A1414" s="76" t="s">
        <v>643</v>
      </c>
      <c r="B1414" s="99" t="s">
        <v>1556</v>
      </c>
      <c r="C1414" s="76" t="s">
        <v>3970</v>
      </c>
      <c r="D1414" s="142"/>
    </row>
    <row r="1415" spans="1:5" ht="12.75" customHeight="1" x14ac:dyDescent="0.35">
      <c r="A1415" s="76" t="s">
        <v>643</v>
      </c>
      <c r="B1415" s="99" t="s">
        <v>3971</v>
      </c>
      <c r="C1415" s="76" t="s">
        <v>3972</v>
      </c>
      <c r="D1415" s="142"/>
    </row>
    <row r="1416" spans="1:5" ht="12.75" customHeight="1" x14ac:dyDescent="0.35">
      <c r="A1416" s="76" t="s">
        <v>643</v>
      </c>
      <c r="B1416" s="99" t="s">
        <v>1596</v>
      </c>
      <c r="C1416" s="76" t="s">
        <v>3973</v>
      </c>
      <c r="D1416" s="142"/>
    </row>
    <row r="1417" spans="1:5" ht="12.75" customHeight="1" x14ac:dyDescent="0.35">
      <c r="A1417" s="76" t="s">
        <v>643</v>
      </c>
      <c r="B1417" s="99" t="s">
        <v>1617</v>
      </c>
      <c r="C1417" s="76" t="s">
        <v>3974</v>
      </c>
      <c r="D1417" s="142"/>
    </row>
    <row r="1418" spans="1:5" ht="12.75" customHeight="1" x14ac:dyDescent="0.35">
      <c r="A1418" s="76" t="s">
        <v>643</v>
      </c>
      <c r="B1418" s="99" t="s">
        <v>2650</v>
      </c>
      <c r="C1418" s="76" t="s">
        <v>3975</v>
      </c>
      <c r="D1418" s="142"/>
    </row>
    <row r="1419" spans="1:5" ht="12.75" customHeight="1" x14ac:dyDescent="0.35">
      <c r="A1419" s="76" t="s">
        <v>643</v>
      </c>
      <c r="B1419" s="99" t="s">
        <v>3976</v>
      </c>
      <c r="C1419" s="76" t="s">
        <v>3977</v>
      </c>
      <c r="D1419" s="142"/>
    </row>
    <row r="1420" spans="1:5" ht="12.75" customHeight="1" x14ac:dyDescent="0.35">
      <c r="A1420" s="76" t="s">
        <v>643</v>
      </c>
      <c r="B1420" s="99" t="s">
        <v>1633</v>
      </c>
      <c r="C1420" s="76" t="s">
        <v>2891</v>
      </c>
      <c r="D1420" s="142"/>
    </row>
    <row r="1421" spans="1:5" ht="12.75" customHeight="1" x14ac:dyDescent="0.35">
      <c r="A1421" s="76" t="s">
        <v>643</v>
      </c>
      <c r="B1421" s="99" t="s">
        <v>3978</v>
      </c>
      <c r="C1421" s="76" t="s">
        <v>3979</v>
      </c>
      <c r="D1421" s="142"/>
    </row>
    <row r="1422" spans="1:5" ht="12.75" customHeight="1" x14ac:dyDescent="0.35">
      <c r="A1422" s="76" t="s">
        <v>643</v>
      </c>
      <c r="B1422" s="99" t="s">
        <v>1673</v>
      </c>
      <c r="C1422" s="76" t="s">
        <v>1680</v>
      </c>
      <c r="D1422" s="142"/>
    </row>
    <row r="1423" spans="1:5" ht="12.75" customHeight="1" x14ac:dyDescent="0.35">
      <c r="A1423" s="76" t="s">
        <v>643</v>
      </c>
      <c r="B1423" s="99" t="s">
        <v>3980</v>
      </c>
      <c r="C1423" s="76" t="s">
        <v>3981</v>
      </c>
      <c r="D1423" s="142"/>
    </row>
    <row r="1424" spans="1:5" ht="12.75" customHeight="1" x14ac:dyDescent="0.35">
      <c r="A1424" s="76" t="s">
        <v>643</v>
      </c>
      <c r="B1424" s="99" t="s">
        <v>3982</v>
      </c>
      <c r="C1424" s="76" t="s">
        <v>3983</v>
      </c>
      <c r="D1424" s="142"/>
    </row>
    <row r="1425" spans="1:4" ht="12.75" customHeight="1" x14ac:dyDescent="0.35">
      <c r="A1425" s="76" t="s">
        <v>643</v>
      </c>
      <c r="B1425" s="99" t="s">
        <v>1721</v>
      </c>
      <c r="C1425" s="76" t="s">
        <v>2621</v>
      </c>
      <c r="D1425" s="142"/>
    </row>
    <row r="1426" spans="1:4" ht="12.75" customHeight="1" x14ac:dyDescent="0.35">
      <c r="A1426" s="76" t="s">
        <v>643</v>
      </c>
      <c r="B1426" s="99" t="s">
        <v>1725</v>
      </c>
      <c r="C1426" s="76" t="s">
        <v>3984</v>
      </c>
      <c r="D1426" s="142"/>
    </row>
    <row r="1427" spans="1:4" ht="12.75" customHeight="1" x14ac:dyDescent="0.35">
      <c r="A1427" s="76" t="s">
        <v>643</v>
      </c>
      <c r="B1427" s="99" t="s">
        <v>1727</v>
      </c>
      <c r="C1427" s="76" t="s">
        <v>3985</v>
      </c>
      <c r="D1427" s="142"/>
    </row>
    <row r="1428" spans="1:4" ht="12.75" customHeight="1" x14ac:dyDescent="0.35">
      <c r="A1428" s="76" t="s">
        <v>643</v>
      </c>
      <c r="B1428" s="99" t="s">
        <v>3986</v>
      </c>
      <c r="C1428" s="76" t="s">
        <v>3987</v>
      </c>
      <c r="D1428" s="142"/>
    </row>
    <row r="1429" spans="1:4" ht="12.75" customHeight="1" x14ac:dyDescent="0.35">
      <c r="A1429" s="76" t="s">
        <v>643</v>
      </c>
      <c r="B1429" s="99" t="s">
        <v>1762</v>
      </c>
      <c r="C1429" s="76" t="s">
        <v>3988</v>
      </c>
      <c r="D1429" s="142"/>
    </row>
    <row r="1430" spans="1:4" ht="12.75" customHeight="1" x14ac:dyDescent="0.35">
      <c r="A1430" s="76" t="s">
        <v>643</v>
      </c>
      <c r="B1430" s="99" t="s">
        <v>1766</v>
      </c>
      <c r="C1430" s="76" t="s">
        <v>3989</v>
      </c>
      <c r="D1430" s="142"/>
    </row>
    <row r="1431" spans="1:4" ht="12.75" customHeight="1" x14ac:dyDescent="0.35">
      <c r="A1431" s="76" t="s">
        <v>643</v>
      </c>
      <c r="B1431" s="99" t="s">
        <v>1788</v>
      </c>
      <c r="C1431" s="76" t="s">
        <v>3990</v>
      </c>
      <c r="D1431" s="142"/>
    </row>
    <row r="1432" spans="1:4" ht="12.75" customHeight="1" x14ac:dyDescent="0.35">
      <c r="A1432" s="76" t="s">
        <v>643</v>
      </c>
      <c r="B1432" s="99" t="s">
        <v>3991</v>
      </c>
      <c r="C1432" s="76" t="s">
        <v>3992</v>
      </c>
      <c r="D1432" s="142"/>
    </row>
    <row r="1433" spans="1:4" ht="12.75" customHeight="1" x14ac:dyDescent="0.35">
      <c r="A1433" s="76" t="s">
        <v>643</v>
      </c>
      <c r="B1433" s="99" t="s">
        <v>1792</v>
      </c>
      <c r="C1433" s="76" t="s">
        <v>3993</v>
      </c>
      <c r="D1433" s="142"/>
    </row>
    <row r="1434" spans="1:4" ht="12.75" customHeight="1" x14ac:dyDescent="0.35">
      <c r="A1434" s="76" t="s">
        <v>643</v>
      </c>
      <c r="B1434" s="99" t="s">
        <v>3994</v>
      </c>
      <c r="C1434" s="76" t="s">
        <v>3995</v>
      </c>
      <c r="D1434" s="142"/>
    </row>
    <row r="1435" spans="1:4" ht="12.75" customHeight="1" x14ac:dyDescent="0.35">
      <c r="A1435" s="76" t="s">
        <v>643</v>
      </c>
      <c r="B1435" s="99" t="s">
        <v>3996</v>
      </c>
      <c r="C1435" s="76" t="s">
        <v>3997</v>
      </c>
      <c r="D1435" s="142"/>
    </row>
    <row r="1436" spans="1:4" ht="12.75" customHeight="1" x14ac:dyDescent="0.35">
      <c r="A1436" s="76" t="s">
        <v>643</v>
      </c>
      <c r="B1436" s="99" t="s">
        <v>1804</v>
      </c>
      <c r="C1436" s="76" t="s">
        <v>3998</v>
      </c>
      <c r="D1436" s="142"/>
    </row>
    <row r="1437" spans="1:4" ht="12.75" customHeight="1" x14ac:dyDescent="0.35">
      <c r="A1437" s="76" t="s">
        <v>643</v>
      </c>
      <c r="B1437" s="99" t="s">
        <v>1806</v>
      </c>
      <c r="C1437" s="76" t="s">
        <v>3999</v>
      </c>
      <c r="D1437" s="142"/>
    </row>
    <row r="1438" spans="1:4" ht="12.75" customHeight="1" x14ac:dyDescent="0.35">
      <c r="A1438" s="76" t="s">
        <v>643</v>
      </c>
      <c r="B1438" s="99" t="s">
        <v>1814</v>
      </c>
      <c r="C1438" s="76" t="s">
        <v>4000</v>
      </c>
      <c r="D1438" s="142"/>
    </row>
    <row r="1439" spans="1:4" ht="12.75" customHeight="1" x14ac:dyDescent="0.35">
      <c r="A1439" s="76" t="s">
        <v>643</v>
      </c>
      <c r="B1439" s="99" t="s">
        <v>1816</v>
      </c>
      <c r="C1439" s="76" t="s">
        <v>4001</v>
      </c>
      <c r="D1439" s="142"/>
    </row>
    <row r="1440" spans="1:4" ht="12.75" customHeight="1" x14ac:dyDescent="0.35">
      <c r="A1440" s="76" t="s">
        <v>643</v>
      </c>
      <c r="B1440" s="99" t="s">
        <v>4002</v>
      </c>
      <c r="C1440" s="76" t="s">
        <v>4003</v>
      </c>
      <c r="D1440" s="142"/>
    </row>
    <row r="1441" spans="1:4" ht="12.75" customHeight="1" x14ac:dyDescent="0.35">
      <c r="A1441" s="76" t="s">
        <v>643</v>
      </c>
      <c r="B1441" s="99" t="s">
        <v>1831</v>
      </c>
      <c r="C1441" s="76" t="s">
        <v>4004</v>
      </c>
      <c r="D1441" s="142"/>
    </row>
    <row r="1442" spans="1:4" ht="12.75" customHeight="1" x14ac:dyDescent="0.35">
      <c r="A1442" s="76" t="s">
        <v>643</v>
      </c>
      <c r="B1442" s="99" t="s">
        <v>4005</v>
      </c>
      <c r="C1442" s="76" t="s">
        <v>4006</v>
      </c>
      <c r="D1442" s="142"/>
    </row>
    <row r="1443" spans="1:4" ht="12.75" customHeight="1" x14ac:dyDescent="0.35">
      <c r="A1443" s="76" t="s">
        <v>643</v>
      </c>
      <c r="B1443" s="99" t="s">
        <v>1523</v>
      </c>
      <c r="C1443" s="76" t="s">
        <v>4007</v>
      </c>
      <c r="D1443" s="142"/>
    </row>
    <row r="1444" spans="1:4" ht="12.75" customHeight="1" x14ac:dyDescent="0.35">
      <c r="A1444" s="76" t="s">
        <v>643</v>
      </c>
      <c r="B1444" s="99" t="s">
        <v>4008</v>
      </c>
      <c r="C1444" s="76" t="s">
        <v>4009</v>
      </c>
      <c r="D1444" s="142"/>
    </row>
    <row r="1445" spans="1:4" ht="12.75" customHeight="1" x14ac:dyDescent="0.35">
      <c r="A1445" s="76" t="s">
        <v>643</v>
      </c>
      <c r="B1445" s="99" t="s">
        <v>4010</v>
      </c>
      <c r="C1445" s="76" t="s">
        <v>4011</v>
      </c>
      <c r="D1445" s="142"/>
    </row>
    <row r="1446" spans="1:4" ht="12.75" customHeight="1" x14ac:dyDescent="0.35">
      <c r="A1446" s="76" t="s">
        <v>643</v>
      </c>
      <c r="B1446" s="99" t="s">
        <v>1840</v>
      </c>
      <c r="C1446" s="76" t="s">
        <v>4012</v>
      </c>
      <c r="D1446" s="142"/>
    </row>
    <row r="1447" spans="1:4" ht="12.75" customHeight="1" x14ac:dyDescent="0.35">
      <c r="A1447" s="76" t="s">
        <v>643</v>
      </c>
      <c r="B1447" s="99" t="s">
        <v>4013</v>
      </c>
      <c r="C1447" s="76" t="s">
        <v>4014</v>
      </c>
      <c r="D1447" s="142"/>
    </row>
    <row r="1448" spans="1:4" ht="12.75" customHeight="1" x14ac:dyDescent="0.35">
      <c r="A1448" s="76" t="s">
        <v>643</v>
      </c>
      <c r="B1448" s="99" t="s">
        <v>4015</v>
      </c>
      <c r="C1448" s="76" t="s">
        <v>4016</v>
      </c>
      <c r="D1448" s="142"/>
    </row>
    <row r="1449" spans="1:4" ht="12.75" customHeight="1" x14ac:dyDescent="0.35">
      <c r="A1449" s="76" t="s">
        <v>643</v>
      </c>
      <c r="B1449" s="99" t="s">
        <v>4017</v>
      </c>
      <c r="C1449" s="76" t="s">
        <v>4018</v>
      </c>
      <c r="D1449" s="142"/>
    </row>
    <row r="1450" spans="1:4" ht="12.75" customHeight="1" x14ac:dyDescent="0.35">
      <c r="A1450" s="76" t="s">
        <v>643</v>
      </c>
      <c r="B1450" s="99" t="s">
        <v>4019</v>
      </c>
      <c r="C1450" s="76" t="s">
        <v>4020</v>
      </c>
      <c r="D1450" s="142"/>
    </row>
    <row r="1451" spans="1:4" ht="12.75" customHeight="1" x14ac:dyDescent="0.35">
      <c r="A1451" s="76" t="s">
        <v>643</v>
      </c>
      <c r="B1451" s="99" t="s">
        <v>4021</v>
      </c>
      <c r="C1451" s="76" t="s">
        <v>4022</v>
      </c>
      <c r="D1451" s="142"/>
    </row>
    <row r="1452" spans="1:4" ht="12.75" customHeight="1" x14ac:dyDescent="0.35">
      <c r="A1452" s="76" t="s">
        <v>643</v>
      </c>
      <c r="B1452" s="99" t="s">
        <v>4023</v>
      </c>
      <c r="C1452" s="76" t="s">
        <v>4024</v>
      </c>
      <c r="D1452" s="142"/>
    </row>
    <row r="1453" spans="1:4" ht="12.75" customHeight="1" x14ac:dyDescent="0.35">
      <c r="A1453" s="76" t="s">
        <v>643</v>
      </c>
      <c r="B1453" s="99" t="s">
        <v>4025</v>
      </c>
      <c r="C1453" s="76" t="s">
        <v>4026</v>
      </c>
      <c r="D1453" s="142"/>
    </row>
    <row r="1454" spans="1:4" ht="12.75" customHeight="1" x14ac:dyDescent="0.35">
      <c r="A1454" s="76" t="s">
        <v>643</v>
      </c>
      <c r="B1454" s="99" t="s">
        <v>4027</v>
      </c>
      <c r="C1454" s="76" t="s">
        <v>4028</v>
      </c>
      <c r="D1454" s="142"/>
    </row>
    <row r="1455" spans="1:4" ht="12.75" customHeight="1" x14ac:dyDescent="0.35">
      <c r="A1455" s="76" t="s">
        <v>643</v>
      </c>
      <c r="B1455" s="99" t="s">
        <v>4029</v>
      </c>
      <c r="C1455" s="76" t="s">
        <v>2062</v>
      </c>
      <c r="D1455" s="142"/>
    </row>
    <row r="1456" spans="1:4" ht="12.75" customHeight="1" x14ac:dyDescent="0.35">
      <c r="A1456" s="76" t="s">
        <v>643</v>
      </c>
      <c r="B1456" s="99" t="s">
        <v>1854</v>
      </c>
      <c r="C1456" s="76" t="s">
        <v>4030</v>
      </c>
      <c r="D1456" s="142"/>
    </row>
    <row r="1457" spans="1:1220" ht="12.75" customHeight="1" x14ac:dyDescent="0.35">
      <c r="A1457" s="76" t="s">
        <v>643</v>
      </c>
      <c r="B1457" s="99" t="s">
        <v>1856</v>
      </c>
      <c r="C1457" s="76" t="s">
        <v>4031</v>
      </c>
      <c r="D1457" s="142"/>
    </row>
    <row r="1458" spans="1:1220" ht="12.75" customHeight="1" x14ac:dyDescent="0.35">
      <c r="A1458" s="76" t="s">
        <v>643</v>
      </c>
      <c r="B1458" s="99" t="s">
        <v>4032</v>
      </c>
      <c r="C1458" s="76" t="s">
        <v>4033</v>
      </c>
      <c r="D1458" s="142"/>
    </row>
    <row r="1459" spans="1:1220" ht="12.75" customHeight="1" x14ac:dyDescent="0.35">
      <c r="A1459" s="76" t="s">
        <v>643</v>
      </c>
      <c r="B1459" s="99" t="s">
        <v>1871</v>
      </c>
      <c r="C1459" s="76" t="s">
        <v>1872</v>
      </c>
      <c r="D1459" s="142"/>
    </row>
    <row r="1460" spans="1:1220" ht="12.75" customHeight="1" x14ac:dyDescent="0.35">
      <c r="A1460" s="76" t="s">
        <v>643</v>
      </c>
      <c r="B1460" s="99" t="s">
        <v>4034</v>
      </c>
      <c r="C1460" s="76" t="s">
        <v>4035</v>
      </c>
      <c r="D1460" s="142"/>
    </row>
    <row r="1461" spans="1:1220" ht="12.75" customHeight="1" x14ac:dyDescent="0.35">
      <c r="A1461" s="76" t="s">
        <v>643</v>
      </c>
      <c r="B1461" s="99" t="s">
        <v>1894</v>
      </c>
      <c r="C1461" s="76" t="s">
        <v>4036</v>
      </c>
      <c r="D1461" s="142"/>
    </row>
    <row r="1462" spans="1:1220" ht="12.75" customHeight="1" x14ac:dyDescent="0.35">
      <c r="A1462" s="76" t="s">
        <v>643</v>
      </c>
      <c r="B1462" s="99" t="s">
        <v>1896</v>
      </c>
      <c r="C1462" s="76" t="s">
        <v>4037</v>
      </c>
      <c r="D1462" s="142"/>
    </row>
    <row r="1463" spans="1:1220" ht="12.75" customHeight="1" x14ac:dyDescent="0.35">
      <c r="A1463" s="76" t="s">
        <v>643</v>
      </c>
      <c r="B1463" s="99" t="s">
        <v>1908</v>
      </c>
      <c r="C1463" s="76" t="s">
        <v>4038</v>
      </c>
      <c r="D1463" s="142"/>
    </row>
    <row r="1464" spans="1:1220" ht="12.75" customHeight="1" x14ac:dyDescent="0.35">
      <c r="A1464" s="76" t="s">
        <v>643</v>
      </c>
      <c r="B1464" s="99" t="s">
        <v>1947</v>
      </c>
      <c r="C1464" s="76" t="s">
        <v>4039</v>
      </c>
      <c r="D1464" s="142"/>
    </row>
    <row r="1465" spans="1:1220" ht="12.75" customHeight="1" x14ac:dyDescent="0.35">
      <c r="A1465" s="76" t="s">
        <v>643</v>
      </c>
      <c r="B1465" s="99" t="s">
        <v>4040</v>
      </c>
      <c r="C1465" s="76" t="s">
        <v>4041</v>
      </c>
      <c r="D1465" s="142"/>
    </row>
    <row r="1466" spans="1:1220" ht="12.75" customHeight="1" x14ac:dyDescent="0.35">
      <c r="A1466" s="76" t="s">
        <v>643</v>
      </c>
      <c r="B1466" s="99" t="s">
        <v>4042</v>
      </c>
      <c r="C1466" s="76" t="s">
        <v>4043</v>
      </c>
      <c r="D1466" s="142"/>
    </row>
    <row r="1467" spans="1:1220" ht="12.75" customHeight="1" x14ac:dyDescent="0.35">
      <c r="A1467" s="76" t="s">
        <v>643</v>
      </c>
      <c r="B1467" s="99" t="s">
        <v>1977</v>
      </c>
      <c r="C1467" s="76" t="s">
        <v>4044</v>
      </c>
      <c r="D1467" s="142"/>
    </row>
    <row r="1468" spans="1:1220" ht="12.75" customHeight="1" x14ac:dyDescent="0.35">
      <c r="A1468" s="76" t="s">
        <v>643</v>
      </c>
      <c r="B1468" s="99" t="s">
        <v>1985</v>
      </c>
      <c r="C1468" s="76" t="s">
        <v>4045</v>
      </c>
      <c r="D1468" s="142"/>
    </row>
    <row r="1469" spans="1:1220" ht="12.75" customHeight="1" x14ac:dyDescent="0.35">
      <c r="A1469" s="76" t="s">
        <v>643</v>
      </c>
      <c r="B1469" s="99" t="s">
        <v>4046</v>
      </c>
      <c r="C1469" s="76" t="s">
        <v>4047</v>
      </c>
      <c r="D1469" s="142"/>
    </row>
    <row r="1470" spans="1:1220" ht="12.75" customHeight="1" x14ac:dyDescent="0.35">
      <c r="A1470" s="76" t="s">
        <v>643</v>
      </c>
      <c r="B1470" s="99" t="s">
        <v>4048</v>
      </c>
      <c r="C1470" s="76" t="s">
        <v>2640</v>
      </c>
      <c r="D1470" s="142"/>
    </row>
    <row r="1471" spans="1:1220" ht="12.75" customHeight="1" x14ac:dyDescent="0.35">
      <c r="A1471" s="76" t="s">
        <v>643</v>
      </c>
      <c r="B1471" s="99" t="s">
        <v>4049</v>
      </c>
      <c r="C1471" s="76" t="s">
        <v>4050</v>
      </c>
      <c r="D1471" s="142"/>
    </row>
    <row r="1472" spans="1:1220" s="68" customFormat="1" ht="12.75" customHeight="1" x14ac:dyDescent="0.35">
      <c r="A1472" s="76" t="s">
        <v>643</v>
      </c>
      <c r="B1472" s="99" t="s">
        <v>4051</v>
      </c>
      <c r="C1472" s="76" t="s">
        <v>4052</v>
      </c>
      <c r="D1472" s="142"/>
      <c r="E1472" s="76"/>
      <c r="F1472" s="5"/>
      <c r="G1472" s="5"/>
      <c r="H1472" s="5"/>
      <c r="I1472" s="5"/>
      <c r="J1472" s="5"/>
      <c r="K1472" s="5"/>
      <c r="L1472" s="5"/>
      <c r="M1472" s="5"/>
      <c r="N1472" s="5"/>
      <c r="O1472" s="5"/>
      <c r="P1472" s="5"/>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5"/>
      <c r="BC1472" s="5"/>
      <c r="BD1472" s="5"/>
      <c r="BE1472" s="5"/>
      <c r="BF1472" s="5"/>
      <c r="BG1472" s="5"/>
      <c r="BH1472" s="5"/>
      <c r="BI1472" s="5"/>
      <c r="BJ1472" s="5"/>
      <c r="BK1472" s="5"/>
      <c r="BL1472" s="5"/>
      <c r="BM1472" s="5"/>
      <c r="BN1472" s="5"/>
      <c r="BO1472" s="5"/>
      <c r="BP1472" s="5"/>
      <c r="BQ1472" s="5"/>
      <c r="BR1472" s="5"/>
      <c r="BS1472" s="5"/>
      <c r="BT1472" s="5"/>
      <c r="BU1472" s="5"/>
      <c r="BV1472" s="5"/>
      <c r="BW1472" s="5"/>
      <c r="BX1472" s="5"/>
      <c r="BY1472" s="5"/>
      <c r="BZ1472" s="5"/>
      <c r="CA1472" s="5"/>
      <c r="CB1472" s="5"/>
      <c r="CC1472" s="5"/>
      <c r="CD1472" s="5"/>
      <c r="CE1472" s="5"/>
      <c r="CF1472" s="5"/>
      <c r="CG1472" s="5"/>
      <c r="CH1472" s="5"/>
      <c r="CI1472" s="5"/>
      <c r="CJ1472" s="5"/>
      <c r="CK1472" s="5"/>
      <c r="CL1472" s="5"/>
      <c r="CM1472" s="5"/>
      <c r="CN1472" s="5"/>
      <c r="CO1472" s="5"/>
      <c r="CP1472" s="5"/>
      <c r="CQ1472" s="5"/>
      <c r="CR1472" s="5"/>
      <c r="CS1472" s="5"/>
      <c r="CT1472" s="5"/>
      <c r="CU1472" s="5"/>
      <c r="CV1472" s="5"/>
      <c r="CW1472" s="5"/>
      <c r="CX1472" s="5"/>
      <c r="CY1472" s="5"/>
      <c r="CZ1472" s="5"/>
      <c r="DA1472" s="5"/>
      <c r="DB1472" s="5"/>
      <c r="DC1472" s="5"/>
      <c r="DD1472" s="5"/>
      <c r="DE1472" s="5"/>
      <c r="DF1472" s="5"/>
      <c r="DG1472" s="5"/>
      <c r="DH1472" s="5"/>
      <c r="DI1472" s="5"/>
      <c r="DJ1472" s="5"/>
      <c r="DK1472" s="5"/>
      <c r="DL1472" s="5"/>
      <c r="DM1472" s="5"/>
      <c r="DN1472" s="5"/>
      <c r="DO1472" s="5"/>
      <c r="DP1472" s="5"/>
      <c r="DQ1472" s="5"/>
      <c r="DR1472" s="5"/>
      <c r="DS1472" s="5"/>
      <c r="DT1472" s="5"/>
      <c r="DU1472" s="5"/>
      <c r="DV1472" s="5"/>
      <c r="DW1472" s="5"/>
      <c r="DX1472" s="5"/>
      <c r="DY1472" s="5"/>
      <c r="DZ1472" s="5"/>
      <c r="EA1472" s="5"/>
      <c r="EB1472" s="5"/>
      <c r="EC1472" s="5"/>
      <c r="ED1472" s="5"/>
      <c r="EE1472" s="5"/>
      <c r="EF1472" s="5"/>
      <c r="EG1472" s="5"/>
      <c r="EH1472" s="5"/>
      <c r="EI1472" s="5"/>
      <c r="EJ1472" s="5"/>
      <c r="EK1472" s="5"/>
      <c r="EL1472" s="5"/>
      <c r="EM1472" s="5"/>
      <c r="EN1472" s="5"/>
      <c r="EO1472" s="5"/>
      <c r="EP1472" s="5"/>
      <c r="EQ1472" s="5"/>
      <c r="ER1472" s="5"/>
      <c r="ES1472" s="5"/>
      <c r="ET1472" s="5"/>
      <c r="EU1472" s="5"/>
      <c r="EV1472" s="5"/>
      <c r="EW1472" s="5"/>
      <c r="EX1472" s="5"/>
      <c r="EY1472" s="5"/>
      <c r="EZ1472" s="5"/>
      <c r="FA1472" s="5"/>
      <c r="FB1472" s="5"/>
      <c r="FC1472" s="5"/>
      <c r="FD1472" s="5"/>
      <c r="FE1472" s="5"/>
      <c r="FF1472" s="5"/>
      <c r="FG1472" s="5"/>
      <c r="FH1472" s="5"/>
      <c r="FI1472" s="5"/>
      <c r="FJ1472" s="5"/>
      <c r="FK1472" s="5"/>
      <c r="FL1472" s="5"/>
      <c r="FM1472" s="5"/>
      <c r="FN1472" s="5"/>
      <c r="FO1472" s="5"/>
      <c r="FP1472" s="5"/>
      <c r="FQ1472" s="5"/>
      <c r="FR1472" s="5"/>
      <c r="FS1472" s="5"/>
      <c r="FT1472" s="5"/>
      <c r="FU1472" s="5"/>
      <c r="FV1472" s="5"/>
      <c r="FW1472" s="5"/>
      <c r="FX1472" s="5"/>
      <c r="FY1472" s="5"/>
      <c r="FZ1472" s="5"/>
      <c r="GA1472" s="5"/>
      <c r="GB1472" s="5"/>
      <c r="GC1472" s="5"/>
      <c r="GD1472" s="5"/>
      <c r="GE1472" s="5"/>
      <c r="GF1472" s="5"/>
      <c r="GG1472" s="5"/>
      <c r="GH1472" s="5"/>
      <c r="GI1472" s="5"/>
      <c r="GJ1472" s="5"/>
      <c r="GK1472" s="5"/>
      <c r="GL1472" s="5"/>
      <c r="GM1472" s="5"/>
      <c r="GN1472" s="5"/>
      <c r="GO1472" s="5"/>
      <c r="GP1472" s="5"/>
      <c r="GQ1472" s="5"/>
      <c r="GR1472" s="5"/>
      <c r="GS1472" s="5"/>
      <c r="GT1472" s="5"/>
      <c r="GU1472" s="5"/>
      <c r="GV1472" s="5"/>
      <c r="GW1472" s="5"/>
      <c r="GX1472" s="5"/>
      <c r="GY1472" s="5"/>
      <c r="GZ1472" s="5"/>
      <c r="HA1472" s="5"/>
      <c r="HB1472" s="5"/>
      <c r="HC1472" s="5"/>
      <c r="HD1472" s="5"/>
      <c r="HE1472" s="5"/>
      <c r="HF1472" s="5"/>
      <c r="HG1472" s="5"/>
      <c r="HH1472" s="5"/>
      <c r="HI1472" s="5"/>
      <c r="HJ1472" s="5"/>
      <c r="HK1472" s="5"/>
      <c r="HL1472" s="5"/>
      <c r="HM1472" s="5"/>
      <c r="HN1472" s="5"/>
      <c r="HO1472" s="5"/>
      <c r="HP1472" s="5"/>
      <c r="HQ1472" s="5"/>
      <c r="HR1472" s="5"/>
      <c r="HS1472" s="5"/>
      <c r="HT1472" s="5"/>
      <c r="HU1472" s="5"/>
      <c r="HV1472" s="5"/>
      <c r="HW1472" s="5"/>
      <c r="HX1472" s="5"/>
      <c r="HY1472" s="5"/>
      <c r="HZ1472" s="5"/>
      <c r="IA1472" s="5"/>
      <c r="IB1472" s="5"/>
      <c r="IC1472" s="5"/>
      <c r="ID1472" s="5"/>
      <c r="IE1472" s="5"/>
      <c r="IF1472" s="5"/>
      <c r="IG1472" s="5"/>
      <c r="IH1472" s="5"/>
      <c r="II1472" s="5"/>
      <c r="IJ1472" s="5"/>
      <c r="IK1472" s="5"/>
      <c r="IL1472" s="5"/>
      <c r="IM1472" s="5"/>
      <c r="IN1472" s="5"/>
      <c r="IO1472" s="5"/>
      <c r="IP1472" s="5"/>
      <c r="IQ1472" s="5"/>
      <c r="IR1472" s="5"/>
      <c r="IS1472" s="5"/>
      <c r="IT1472" s="5"/>
      <c r="IU1472" s="5"/>
      <c r="IV1472" s="5"/>
      <c r="IW1472" s="5"/>
      <c r="IX1472" s="5"/>
      <c r="IY1472" s="5"/>
      <c r="IZ1472" s="5"/>
      <c r="JA1472" s="5"/>
      <c r="JB1472" s="5"/>
      <c r="JC1472" s="5"/>
      <c r="JD1472" s="5"/>
      <c r="JE1472" s="5"/>
      <c r="JF1472" s="5"/>
      <c r="JG1472" s="5"/>
      <c r="JH1472" s="5"/>
      <c r="JI1472" s="5"/>
      <c r="JJ1472" s="5"/>
      <c r="JK1472" s="5"/>
      <c r="JL1472" s="5"/>
      <c r="JM1472" s="5"/>
      <c r="JN1472" s="5"/>
      <c r="JO1472" s="5"/>
      <c r="JP1472" s="5"/>
      <c r="JQ1472" s="5"/>
      <c r="JR1472" s="5"/>
      <c r="JS1472" s="5"/>
      <c r="JT1472" s="5"/>
      <c r="JU1472" s="5"/>
      <c r="JV1472" s="5"/>
      <c r="JW1472" s="5"/>
      <c r="JX1472" s="5"/>
      <c r="JY1472" s="5"/>
      <c r="JZ1472" s="5"/>
      <c r="KA1472" s="5"/>
      <c r="KB1472" s="5"/>
      <c r="KC1472" s="5"/>
      <c r="KD1472" s="5"/>
      <c r="KE1472" s="5"/>
      <c r="KF1472" s="5"/>
      <c r="KG1472" s="5"/>
      <c r="KH1472" s="5"/>
      <c r="KI1472" s="5"/>
      <c r="KJ1472" s="5"/>
      <c r="KK1472" s="5"/>
      <c r="KL1472" s="5"/>
      <c r="KM1472" s="5"/>
      <c r="KN1472" s="5"/>
      <c r="KO1472" s="5"/>
      <c r="KP1472" s="5"/>
      <c r="KQ1472" s="5"/>
      <c r="KR1472" s="5"/>
      <c r="KS1472" s="5"/>
      <c r="KT1472" s="5"/>
      <c r="KU1472" s="5"/>
      <c r="KV1472" s="5"/>
      <c r="KW1472" s="5"/>
      <c r="KX1472" s="5"/>
      <c r="KY1472" s="5"/>
      <c r="KZ1472" s="5"/>
      <c r="LA1472" s="5"/>
      <c r="LB1472" s="5"/>
      <c r="LC1472" s="5"/>
      <c r="LD1472" s="5"/>
      <c r="LE1472" s="5"/>
      <c r="LF1472" s="5"/>
      <c r="LG1472" s="5"/>
      <c r="LH1472" s="5"/>
      <c r="LI1472" s="5"/>
      <c r="LJ1472" s="5"/>
      <c r="LK1472" s="5"/>
      <c r="LL1472" s="5"/>
      <c r="LM1472" s="5"/>
      <c r="LN1472" s="5"/>
      <c r="LO1472" s="5"/>
      <c r="LP1472" s="5"/>
      <c r="LQ1472" s="5"/>
      <c r="LR1472" s="5"/>
      <c r="LS1472" s="5"/>
      <c r="LT1472" s="5"/>
      <c r="LU1472" s="5"/>
      <c r="LV1472" s="5"/>
      <c r="LW1472" s="5"/>
      <c r="LX1472" s="5"/>
      <c r="LY1472" s="5"/>
      <c r="LZ1472" s="5"/>
      <c r="MA1472" s="5"/>
      <c r="MB1472" s="5"/>
      <c r="MC1472" s="5"/>
      <c r="MD1472" s="5"/>
      <c r="ME1472" s="5"/>
      <c r="MF1472" s="5"/>
      <c r="MG1472" s="5"/>
      <c r="MH1472" s="5"/>
      <c r="MI1472" s="5"/>
      <c r="MJ1472" s="5"/>
      <c r="MK1472" s="5"/>
      <c r="ML1472" s="5"/>
      <c r="MM1472" s="5"/>
      <c r="MN1472" s="5"/>
      <c r="MO1472" s="5"/>
      <c r="MP1472" s="5"/>
      <c r="MQ1472" s="5"/>
      <c r="MR1472" s="5"/>
      <c r="MS1472" s="5"/>
      <c r="MT1472" s="5"/>
      <c r="MU1472" s="5"/>
      <c r="MV1472" s="5"/>
      <c r="MW1472" s="5"/>
      <c r="MX1472" s="5"/>
      <c r="MY1472" s="5"/>
      <c r="MZ1472" s="5"/>
      <c r="NA1472" s="5"/>
      <c r="NB1472" s="5"/>
      <c r="NC1472" s="5"/>
      <c r="ND1472" s="5"/>
      <c r="NE1472" s="5"/>
      <c r="NF1472" s="5"/>
      <c r="NG1472" s="5"/>
      <c r="NH1472" s="5"/>
      <c r="NI1472" s="5"/>
      <c r="NJ1472" s="5"/>
      <c r="NK1472" s="5"/>
      <c r="NL1472" s="5"/>
      <c r="NM1472" s="5"/>
      <c r="NN1472" s="5"/>
      <c r="NO1472" s="5"/>
      <c r="NP1472" s="5"/>
      <c r="NQ1472" s="5"/>
      <c r="NR1472" s="5"/>
      <c r="NS1472" s="5"/>
      <c r="NT1472" s="5"/>
      <c r="NU1472" s="5"/>
      <c r="NV1472" s="5"/>
      <c r="NW1472" s="5"/>
      <c r="NX1472" s="5"/>
      <c r="NY1472" s="5"/>
      <c r="NZ1472" s="5"/>
      <c r="OA1472" s="5"/>
      <c r="OB1472" s="5"/>
      <c r="OC1472" s="5"/>
      <c r="OD1472" s="5"/>
      <c r="OE1472" s="5"/>
      <c r="OF1472" s="5"/>
      <c r="OG1472" s="5"/>
      <c r="OH1472" s="5"/>
      <c r="OI1472" s="5"/>
      <c r="OJ1472" s="5"/>
      <c r="OK1472" s="5"/>
      <c r="OL1472" s="5"/>
      <c r="OM1472" s="5"/>
      <c r="ON1472" s="5"/>
      <c r="OO1472" s="5"/>
      <c r="OP1472" s="5"/>
      <c r="OQ1472" s="5"/>
      <c r="OR1472" s="5"/>
      <c r="OS1472" s="5"/>
      <c r="OT1472" s="5"/>
      <c r="OU1472" s="5"/>
      <c r="OV1472" s="5"/>
      <c r="OW1472" s="5"/>
      <c r="OX1472" s="5"/>
      <c r="OY1472" s="5"/>
      <c r="OZ1472" s="5"/>
      <c r="PA1472" s="5"/>
      <c r="PB1472" s="5"/>
      <c r="PC1472" s="5"/>
      <c r="PD1472" s="5"/>
      <c r="PE1472" s="5"/>
      <c r="PF1472" s="5"/>
      <c r="PG1472" s="5"/>
      <c r="PH1472" s="5"/>
      <c r="PI1472" s="5"/>
      <c r="PJ1472" s="5"/>
      <c r="PK1472" s="5"/>
      <c r="PL1472" s="5"/>
      <c r="PM1472" s="5"/>
      <c r="PN1472" s="5"/>
      <c r="PO1472" s="5"/>
      <c r="PP1472" s="5"/>
      <c r="PQ1472" s="5"/>
      <c r="PR1472" s="5"/>
      <c r="PS1472" s="5"/>
      <c r="PT1472" s="5"/>
      <c r="PU1472" s="5"/>
      <c r="PV1472" s="5"/>
      <c r="PW1472" s="5"/>
      <c r="PX1472" s="5"/>
      <c r="PY1472" s="5"/>
      <c r="PZ1472" s="5"/>
      <c r="QA1472" s="5"/>
      <c r="QB1472" s="5"/>
      <c r="QC1472" s="5"/>
      <c r="QD1472" s="5"/>
      <c r="QE1472" s="5"/>
      <c r="QF1472" s="5"/>
      <c r="QG1472" s="5"/>
      <c r="QH1472" s="5"/>
      <c r="QI1472" s="5"/>
      <c r="QJ1472" s="5"/>
      <c r="QK1472" s="5"/>
      <c r="QL1472" s="5"/>
      <c r="QM1472" s="5"/>
      <c r="QN1472" s="5"/>
      <c r="QO1472" s="5"/>
      <c r="QP1472" s="5"/>
      <c r="QQ1472" s="5"/>
      <c r="QR1472" s="5"/>
      <c r="QS1472" s="5"/>
      <c r="QT1472" s="5"/>
      <c r="QU1472" s="5"/>
      <c r="QV1472" s="5"/>
      <c r="QW1472" s="5"/>
      <c r="QX1472" s="5"/>
      <c r="QY1472" s="5"/>
      <c r="QZ1472" s="5"/>
      <c r="RA1472" s="5"/>
      <c r="RB1472" s="5"/>
      <c r="RC1472" s="5"/>
      <c r="RD1472" s="5"/>
      <c r="RE1472" s="5"/>
      <c r="RF1472" s="5"/>
      <c r="RG1472" s="5"/>
      <c r="RH1472" s="5"/>
      <c r="RI1472" s="5"/>
      <c r="RJ1472" s="5"/>
      <c r="RK1472" s="5"/>
      <c r="RL1472" s="5"/>
      <c r="RM1472" s="5"/>
      <c r="RN1472" s="5"/>
      <c r="RO1472" s="5"/>
      <c r="RP1472" s="5"/>
      <c r="RQ1472" s="5"/>
      <c r="RR1472" s="5"/>
      <c r="RS1472" s="5"/>
      <c r="RT1472" s="5"/>
      <c r="RU1472" s="5"/>
      <c r="RV1472" s="5"/>
      <c r="RW1472" s="5"/>
      <c r="RX1472" s="5"/>
      <c r="RY1472" s="5"/>
      <c r="RZ1472" s="5"/>
      <c r="SA1472" s="5"/>
      <c r="SB1472" s="5"/>
      <c r="SC1472" s="5"/>
      <c r="SD1472" s="5"/>
      <c r="SE1472" s="5"/>
      <c r="SF1472" s="5"/>
      <c r="SG1472" s="5"/>
      <c r="SH1472" s="5"/>
      <c r="SI1472" s="5"/>
      <c r="SJ1472" s="5"/>
      <c r="SK1472" s="5"/>
      <c r="SL1472" s="5"/>
      <c r="SM1472" s="5"/>
      <c r="SN1472" s="5"/>
      <c r="SO1472" s="5"/>
      <c r="SP1472" s="5"/>
      <c r="SQ1472" s="5"/>
      <c r="SR1472" s="5"/>
      <c r="SS1472" s="5"/>
      <c r="ST1472" s="5"/>
      <c r="SU1472" s="5"/>
      <c r="SV1472" s="5"/>
      <c r="SW1472" s="5"/>
      <c r="SX1472" s="5"/>
      <c r="SY1472" s="5"/>
      <c r="SZ1472" s="5"/>
      <c r="TA1472" s="5"/>
      <c r="TB1472" s="5"/>
      <c r="TC1472" s="5"/>
      <c r="TD1472" s="5"/>
      <c r="TE1472" s="5"/>
      <c r="TF1472" s="5"/>
      <c r="TG1472" s="5"/>
      <c r="TH1472" s="5"/>
      <c r="TI1472" s="5"/>
      <c r="TJ1472" s="5"/>
      <c r="TK1472" s="5"/>
      <c r="TL1472" s="5"/>
      <c r="TM1472" s="5"/>
      <c r="TN1472" s="5"/>
      <c r="TO1472" s="5"/>
      <c r="TP1472" s="5"/>
      <c r="TQ1472" s="5"/>
      <c r="TR1472" s="5"/>
      <c r="TS1472" s="5"/>
      <c r="TT1472" s="5"/>
      <c r="TU1472" s="5"/>
      <c r="TV1472" s="5"/>
      <c r="TW1472" s="5"/>
      <c r="TX1472" s="5"/>
      <c r="TY1472" s="5"/>
      <c r="TZ1472" s="5"/>
      <c r="UA1472" s="5"/>
      <c r="UB1472" s="5"/>
      <c r="UC1472" s="5"/>
      <c r="UD1472" s="5"/>
      <c r="UE1472" s="5"/>
      <c r="UF1472" s="5"/>
      <c r="UG1472" s="5"/>
      <c r="UH1472" s="5"/>
      <c r="UI1472" s="5"/>
      <c r="UJ1472" s="5"/>
      <c r="UK1472" s="5"/>
      <c r="UL1472" s="5"/>
      <c r="UM1472" s="5"/>
      <c r="UN1472" s="5"/>
      <c r="UO1472" s="5"/>
      <c r="UP1472" s="5"/>
      <c r="UQ1472" s="5"/>
      <c r="UR1472" s="5"/>
      <c r="US1472" s="5"/>
      <c r="UT1472" s="5"/>
      <c r="UU1472" s="5"/>
      <c r="UV1472" s="5"/>
      <c r="UW1472" s="5"/>
      <c r="UX1472" s="5"/>
      <c r="UY1472" s="5"/>
      <c r="UZ1472" s="5"/>
      <c r="VA1472" s="5"/>
      <c r="VB1472" s="5"/>
      <c r="VC1472" s="5"/>
      <c r="VD1472" s="5"/>
      <c r="VE1472" s="5"/>
      <c r="VF1472" s="5"/>
      <c r="VG1472" s="5"/>
      <c r="VH1472" s="5"/>
      <c r="VI1472" s="5"/>
      <c r="VJ1472" s="5"/>
      <c r="VK1472" s="5"/>
      <c r="VL1472" s="5"/>
      <c r="VM1472" s="5"/>
      <c r="VN1472" s="5"/>
      <c r="VO1472" s="5"/>
      <c r="VP1472" s="5"/>
      <c r="VQ1472" s="5"/>
      <c r="VR1472" s="5"/>
      <c r="VS1472" s="5"/>
      <c r="VT1472" s="5"/>
      <c r="VU1472" s="5"/>
      <c r="VV1472" s="5"/>
      <c r="VW1472" s="5"/>
      <c r="VX1472" s="5"/>
      <c r="VY1472" s="5"/>
      <c r="VZ1472" s="5"/>
      <c r="WA1472" s="5"/>
      <c r="WB1472" s="5"/>
      <c r="WC1472" s="5"/>
      <c r="WD1472" s="5"/>
      <c r="WE1472" s="5"/>
      <c r="WF1472" s="5"/>
      <c r="WG1472" s="5"/>
      <c r="WH1472" s="5"/>
      <c r="WI1472" s="5"/>
      <c r="WJ1472" s="5"/>
      <c r="WK1472" s="5"/>
      <c r="WL1472" s="5"/>
      <c r="WM1472" s="5"/>
      <c r="WN1472" s="5"/>
      <c r="WO1472" s="5"/>
      <c r="WP1472" s="5"/>
      <c r="WQ1472" s="5"/>
      <c r="WR1472" s="5"/>
      <c r="WS1472" s="5"/>
      <c r="WT1472" s="5"/>
      <c r="WU1472" s="5"/>
      <c r="WV1472" s="5"/>
      <c r="WW1472" s="5"/>
      <c r="WX1472" s="5"/>
      <c r="WY1472" s="5"/>
      <c r="WZ1472" s="5"/>
      <c r="XA1472" s="5"/>
      <c r="XB1472" s="5"/>
      <c r="XC1472" s="5"/>
      <c r="XD1472" s="5"/>
      <c r="XE1472" s="5"/>
      <c r="XF1472" s="5"/>
      <c r="XG1472" s="5"/>
      <c r="XH1472" s="5"/>
      <c r="XI1472" s="5"/>
      <c r="XJ1472" s="5"/>
      <c r="XK1472" s="5"/>
      <c r="XL1472" s="5"/>
      <c r="XM1472" s="5"/>
      <c r="XN1472" s="5"/>
      <c r="XO1472" s="5"/>
      <c r="XP1472" s="5"/>
      <c r="XQ1472" s="5"/>
      <c r="XR1472" s="5"/>
      <c r="XS1472" s="5"/>
      <c r="XT1472" s="5"/>
      <c r="XU1472" s="5"/>
      <c r="XV1472" s="5"/>
      <c r="XW1472" s="5"/>
      <c r="XX1472" s="5"/>
      <c r="XY1472" s="5"/>
      <c r="XZ1472" s="5"/>
      <c r="YA1472" s="5"/>
      <c r="YB1472" s="5"/>
      <c r="YC1472" s="5"/>
      <c r="YD1472" s="5"/>
      <c r="YE1472" s="5"/>
      <c r="YF1472" s="5"/>
      <c r="YG1472" s="5"/>
      <c r="YH1472" s="5"/>
      <c r="YI1472" s="5"/>
      <c r="YJ1472" s="5"/>
      <c r="YK1472" s="5"/>
      <c r="YL1472" s="5"/>
      <c r="YM1472" s="5"/>
      <c r="YN1472" s="5"/>
      <c r="YO1472" s="5"/>
      <c r="YP1472" s="5"/>
      <c r="YQ1472" s="5"/>
      <c r="YR1472" s="5"/>
      <c r="YS1472" s="5"/>
      <c r="YT1472" s="5"/>
      <c r="YU1472" s="5"/>
      <c r="YV1472" s="5"/>
      <c r="YW1472" s="5"/>
      <c r="YX1472" s="5"/>
      <c r="YY1472" s="5"/>
      <c r="YZ1472" s="5"/>
      <c r="ZA1472" s="5"/>
      <c r="ZB1472" s="5"/>
      <c r="ZC1472" s="5"/>
      <c r="ZD1472" s="5"/>
      <c r="ZE1472" s="5"/>
      <c r="ZF1472" s="5"/>
      <c r="ZG1472" s="5"/>
      <c r="ZH1472" s="5"/>
      <c r="ZI1472" s="5"/>
      <c r="ZJ1472" s="5"/>
      <c r="ZK1472" s="5"/>
      <c r="ZL1472" s="5"/>
      <c r="ZM1472" s="5"/>
      <c r="ZN1472" s="5"/>
      <c r="ZO1472" s="5"/>
      <c r="ZP1472" s="5"/>
      <c r="ZQ1472" s="5"/>
      <c r="ZR1472" s="5"/>
      <c r="ZS1472" s="5"/>
      <c r="ZT1472" s="5"/>
      <c r="ZU1472" s="5"/>
      <c r="ZV1472" s="5"/>
      <c r="ZW1472" s="5"/>
      <c r="ZX1472" s="5"/>
      <c r="ZY1472" s="5"/>
      <c r="ZZ1472" s="5"/>
      <c r="AAA1472" s="5"/>
      <c r="AAB1472" s="5"/>
      <c r="AAC1472" s="5"/>
      <c r="AAD1472" s="5"/>
      <c r="AAE1472" s="5"/>
      <c r="AAF1472" s="5"/>
      <c r="AAG1472" s="5"/>
      <c r="AAH1472" s="5"/>
      <c r="AAI1472" s="5"/>
      <c r="AAJ1472" s="5"/>
      <c r="AAK1472" s="5"/>
      <c r="AAL1472" s="5"/>
      <c r="AAM1472" s="5"/>
      <c r="AAN1472" s="5"/>
      <c r="AAO1472" s="5"/>
      <c r="AAP1472" s="5"/>
      <c r="AAQ1472" s="5"/>
      <c r="AAR1472" s="5"/>
      <c r="AAS1472" s="5"/>
      <c r="AAT1472" s="5"/>
      <c r="AAU1472" s="5"/>
      <c r="AAV1472" s="5"/>
      <c r="AAW1472" s="5"/>
      <c r="AAX1472" s="5"/>
      <c r="AAY1472" s="5"/>
      <c r="AAZ1472" s="5"/>
      <c r="ABA1472" s="5"/>
      <c r="ABB1472" s="5"/>
      <c r="ABC1472" s="5"/>
      <c r="ABD1472" s="5"/>
      <c r="ABE1472" s="5"/>
      <c r="ABF1472" s="5"/>
      <c r="ABG1472" s="5"/>
      <c r="ABH1472" s="5"/>
      <c r="ABI1472" s="5"/>
      <c r="ABJ1472" s="5"/>
      <c r="ABK1472" s="5"/>
      <c r="ABL1472" s="5"/>
      <c r="ABM1472" s="5"/>
      <c r="ABN1472" s="5"/>
      <c r="ABO1472" s="5"/>
      <c r="ABP1472" s="5"/>
      <c r="ABQ1472" s="5"/>
      <c r="ABR1472" s="5"/>
      <c r="ABS1472" s="5"/>
      <c r="ABT1472" s="5"/>
      <c r="ABU1472" s="5"/>
      <c r="ABV1472" s="5"/>
      <c r="ABW1472" s="5"/>
      <c r="ABX1472" s="5"/>
      <c r="ABY1472" s="5"/>
      <c r="ABZ1472" s="5"/>
      <c r="ACA1472" s="5"/>
      <c r="ACB1472" s="5"/>
      <c r="ACC1472" s="5"/>
      <c r="ACD1472" s="5"/>
      <c r="ACE1472" s="5"/>
      <c r="ACF1472" s="5"/>
      <c r="ACG1472" s="5"/>
      <c r="ACH1472" s="5"/>
      <c r="ACI1472" s="5"/>
      <c r="ACJ1472" s="5"/>
      <c r="ACK1472" s="5"/>
      <c r="ACL1472" s="5"/>
      <c r="ACM1472" s="5"/>
      <c r="ACN1472" s="5"/>
      <c r="ACO1472" s="5"/>
      <c r="ACP1472" s="5"/>
      <c r="ACQ1472" s="5"/>
      <c r="ACR1472" s="5"/>
      <c r="ACS1472" s="5"/>
      <c r="ACT1472" s="5"/>
      <c r="ACU1472" s="5"/>
      <c r="ACV1472" s="5"/>
      <c r="ACW1472" s="5"/>
      <c r="ACX1472" s="5"/>
      <c r="ACY1472" s="5"/>
      <c r="ACZ1472" s="5"/>
      <c r="ADA1472" s="5"/>
      <c r="ADB1472" s="5"/>
      <c r="ADC1472" s="5"/>
      <c r="ADD1472" s="5"/>
      <c r="ADE1472" s="5"/>
      <c r="ADF1472" s="5"/>
      <c r="ADG1472" s="5"/>
      <c r="ADH1472" s="5"/>
      <c r="ADI1472" s="5"/>
      <c r="ADJ1472" s="5"/>
      <c r="ADK1472" s="5"/>
      <c r="ADL1472" s="5"/>
      <c r="ADM1472" s="5"/>
      <c r="ADN1472" s="5"/>
      <c r="ADO1472" s="5"/>
      <c r="ADP1472" s="5"/>
      <c r="ADQ1472" s="5"/>
      <c r="ADR1472" s="5"/>
      <c r="ADS1472" s="5"/>
      <c r="ADT1472" s="5"/>
      <c r="ADU1472" s="5"/>
      <c r="ADV1472" s="5"/>
      <c r="ADW1472" s="5"/>
      <c r="ADX1472" s="5"/>
      <c r="ADY1472" s="5"/>
      <c r="ADZ1472" s="5"/>
      <c r="AEA1472" s="5"/>
      <c r="AEB1472" s="5"/>
      <c r="AEC1472" s="5"/>
      <c r="AED1472" s="5"/>
      <c r="AEE1472" s="5"/>
      <c r="AEF1472" s="5"/>
      <c r="AEG1472" s="5"/>
      <c r="AEH1472" s="5"/>
      <c r="AEI1472" s="5"/>
      <c r="AEJ1472" s="5"/>
      <c r="AEK1472" s="5"/>
      <c r="AEL1472" s="5"/>
      <c r="AEM1472" s="5"/>
      <c r="AEN1472" s="5"/>
      <c r="AEO1472" s="5"/>
      <c r="AEP1472" s="5"/>
      <c r="AEQ1472" s="5"/>
      <c r="AER1472" s="5"/>
      <c r="AES1472" s="5"/>
      <c r="AET1472" s="5"/>
      <c r="AEU1472" s="5"/>
      <c r="AEV1472" s="5"/>
      <c r="AEW1472" s="5"/>
      <c r="AEX1472" s="5"/>
      <c r="AEY1472" s="5"/>
      <c r="AEZ1472" s="5"/>
      <c r="AFA1472" s="5"/>
      <c r="AFB1472" s="5"/>
      <c r="AFC1472" s="5"/>
      <c r="AFD1472" s="5"/>
      <c r="AFE1472" s="5"/>
      <c r="AFF1472" s="5"/>
      <c r="AFG1472" s="5"/>
      <c r="AFH1472" s="5"/>
      <c r="AFI1472" s="5"/>
      <c r="AFJ1472" s="5"/>
      <c r="AFK1472" s="5"/>
      <c r="AFL1472" s="5"/>
      <c r="AFM1472" s="5"/>
      <c r="AFN1472" s="5"/>
      <c r="AFO1472" s="5"/>
      <c r="AFP1472" s="5"/>
      <c r="AFQ1472" s="5"/>
      <c r="AFR1472" s="5"/>
      <c r="AFS1472" s="5"/>
      <c r="AFT1472" s="5"/>
      <c r="AFU1472" s="5"/>
      <c r="AFV1472" s="5"/>
      <c r="AFW1472" s="5"/>
      <c r="AFX1472" s="5"/>
      <c r="AFY1472" s="5"/>
      <c r="AFZ1472" s="5"/>
      <c r="AGA1472" s="5"/>
      <c r="AGB1472" s="5"/>
      <c r="AGC1472" s="5"/>
      <c r="AGD1472" s="5"/>
      <c r="AGE1472" s="5"/>
      <c r="AGF1472" s="5"/>
      <c r="AGG1472" s="5"/>
      <c r="AGH1472" s="5"/>
      <c r="AGI1472" s="5"/>
      <c r="AGJ1472" s="5"/>
      <c r="AGK1472" s="5"/>
      <c r="AGL1472" s="5"/>
      <c r="AGM1472" s="5"/>
      <c r="AGN1472" s="5"/>
      <c r="AGO1472" s="5"/>
      <c r="AGP1472" s="5"/>
      <c r="AGQ1472" s="5"/>
      <c r="AGR1472" s="5"/>
      <c r="AGS1472" s="5"/>
      <c r="AGT1472" s="5"/>
      <c r="AGU1472" s="5"/>
      <c r="AGV1472" s="5"/>
      <c r="AGW1472" s="5"/>
      <c r="AGX1472" s="5"/>
      <c r="AGY1472" s="5"/>
      <c r="AGZ1472" s="5"/>
      <c r="AHA1472" s="5"/>
      <c r="AHB1472" s="5"/>
      <c r="AHC1472" s="5"/>
      <c r="AHD1472" s="5"/>
      <c r="AHE1472" s="5"/>
      <c r="AHF1472" s="5"/>
      <c r="AHG1472" s="5"/>
      <c r="AHH1472" s="5"/>
      <c r="AHI1472" s="5"/>
      <c r="AHJ1472" s="5"/>
      <c r="AHK1472" s="5"/>
      <c r="AHL1472" s="5"/>
      <c r="AHM1472" s="5"/>
      <c r="AHN1472" s="5"/>
      <c r="AHO1472" s="5"/>
      <c r="AHP1472" s="5"/>
      <c r="AHQ1472" s="5"/>
      <c r="AHR1472" s="5"/>
      <c r="AHS1472" s="5"/>
      <c r="AHT1472" s="5"/>
      <c r="AHU1472" s="5"/>
      <c r="AHV1472" s="5"/>
      <c r="AHW1472" s="5"/>
      <c r="AHX1472" s="5"/>
      <c r="AHY1472" s="5"/>
      <c r="AHZ1472" s="5"/>
      <c r="AIA1472" s="5"/>
      <c r="AIB1472" s="5"/>
      <c r="AIC1472" s="5"/>
      <c r="AID1472" s="5"/>
      <c r="AIE1472" s="5"/>
      <c r="AIF1472" s="5"/>
      <c r="AIG1472" s="5"/>
      <c r="AIH1472" s="5"/>
      <c r="AII1472" s="5"/>
      <c r="AIJ1472" s="5"/>
      <c r="AIK1472" s="5"/>
      <c r="AIL1472" s="5"/>
      <c r="AIM1472" s="5"/>
      <c r="AIN1472" s="5"/>
      <c r="AIO1472" s="5"/>
      <c r="AIP1472" s="5"/>
      <c r="AIQ1472" s="5"/>
      <c r="AIR1472" s="5"/>
      <c r="AIS1472" s="5"/>
      <c r="AIT1472" s="5"/>
      <c r="AIU1472" s="5"/>
      <c r="AIV1472" s="5"/>
      <c r="AIW1472" s="5"/>
      <c r="AIX1472" s="5"/>
      <c r="AIY1472" s="5"/>
      <c r="AIZ1472" s="5"/>
      <c r="AJA1472" s="5"/>
      <c r="AJB1472" s="5"/>
      <c r="AJC1472" s="5"/>
      <c r="AJD1472" s="5"/>
      <c r="AJE1472" s="5"/>
      <c r="AJF1472" s="5"/>
      <c r="AJG1472" s="5"/>
      <c r="AJH1472" s="5"/>
      <c r="AJI1472" s="5"/>
      <c r="AJJ1472" s="5"/>
      <c r="AJK1472" s="5"/>
      <c r="AJL1472" s="5"/>
      <c r="AJM1472" s="5"/>
      <c r="AJN1472" s="5"/>
      <c r="AJO1472" s="5"/>
      <c r="AJP1472" s="5"/>
      <c r="AJQ1472" s="5"/>
      <c r="AJR1472" s="5"/>
      <c r="AJS1472" s="5"/>
      <c r="AJT1472" s="5"/>
      <c r="AJU1472" s="5"/>
      <c r="AJV1472" s="5"/>
      <c r="AJW1472" s="5"/>
      <c r="AJX1472" s="5"/>
      <c r="AJY1472" s="5"/>
      <c r="AJZ1472" s="5"/>
      <c r="AKA1472" s="5"/>
      <c r="AKB1472" s="5"/>
      <c r="AKC1472" s="5"/>
      <c r="AKD1472" s="5"/>
      <c r="AKE1472" s="5"/>
      <c r="AKF1472" s="5"/>
      <c r="AKG1472" s="5"/>
      <c r="AKH1472" s="5"/>
      <c r="AKI1472" s="5"/>
      <c r="AKJ1472" s="5"/>
      <c r="AKK1472" s="5"/>
      <c r="AKL1472" s="5"/>
      <c r="AKM1472" s="5"/>
      <c r="AKN1472" s="5"/>
      <c r="AKO1472" s="5"/>
      <c r="AKP1472" s="5"/>
      <c r="AKQ1472" s="5"/>
      <c r="AKR1472" s="5"/>
      <c r="AKS1472" s="5"/>
      <c r="AKT1472" s="5"/>
      <c r="AKU1472" s="5"/>
      <c r="AKV1472" s="5"/>
      <c r="AKW1472" s="5"/>
      <c r="AKX1472" s="5"/>
      <c r="AKY1472" s="5"/>
      <c r="AKZ1472" s="5"/>
      <c r="ALA1472" s="5"/>
      <c r="ALB1472" s="5"/>
      <c r="ALC1472" s="5"/>
      <c r="ALD1472" s="5"/>
      <c r="ALE1472" s="5"/>
      <c r="ALF1472" s="5"/>
      <c r="ALG1472" s="5"/>
      <c r="ALH1472" s="5"/>
      <c r="ALI1472" s="5"/>
      <c r="ALJ1472" s="5"/>
      <c r="ALK1472" s="5"/>
      <c r="ALL1472" s="5"/>
      <c r="ALM1472" s="5"/>
      <c r="ALN1472" s="5"/>
      <c r="ALO1472" s="5"/>
      <c r="ALP1472" s="5"/>
      <c r="ALQ1472" s="5"/>
      <c r="ALR1472" s="5"/>
      <c r="ALS1472" s="5"/>
      <c r="ALT1472" s="5"/>
      <c r="ALU1472" s="5"/>
      <c r="ALV1472" s="5"/>
      <c r="ALW1472" s="5"/>
      <c r="ALX1472" s="5"/>
      <c r="ALY1472" s="5"/>
      <c r="ALZ1472" s="5"/>
      <c r="AMA1472" s="5"/>
      <c r="AMB1472" s="5"/>
      <c r="AMC1472" s="5"/>
      <c r="AMD1472" s="5"/>
      <c r="AME1472" s="5"/>
      <c r="AMF1472" s="5"/>
      <c r="AMG1472" s="5"/>
      <c r="AMH1472" s="5"/>
      <c r="AMI1472" s="5"/>
      <c r="AMJ1472" s="5"/>
      <c r="AMK1472" s="5"/>
      <c r="AML1472" s="5"/>
      <c r="AMM1472" s="5"/>
      <c r="AMN1472" s="5"/>
      <c r="AMO1472" s="5"/>
      <c r="AMP1472" s="5"/>
      <c r="AMQ1472" s="5"/>
      <c r="AMR1472" s="5"/>
      <c r="AMS1472" s="5"/>
      <c r="AMT1472" s="5"/>
      <c r="AMU1472" s="5"/>
      <c r="AMV1472" s="5"/>
      <c r="AMW1472" s="5"/>
      <c r="AMX1472" s="5"/>
      <c r="AMY1472" s="5"/>
      <c r="AMZ1472" s="5"/>
      <c r="ANA1472" s="5"/>
      <c r="ANB1472" s="5"/>
      <c r="ANC1472" s="5"/>
      <c r="AND1472" s="5"/>
      <c r="ANE1472" s="5"/>
      <c r="ANF1472" s="5"/>
      <c r="ANG1472" s="5"/>
      <c r="ANH1472" s="5"/>
      <c r="ANI1472" s="5"/>
      <c r="ANJ1472" s="5"/>
      <c r="ANK1472" s="5"/>
      <c r="ANL1472" s="5"/>
      <c r="ANM1472" s="5"/>
      <c r="ANN1472" s="5"/>
      <c r="ANO1472" s="5"/>
      <c r="ANP1472" s="5"/>
      <c r="ANQ1472" s="5"/>
      <c r="ANR1472" s="5"/>
      <c r="ANS1472" s="5"/>
      <c r="ANT1472" s="5"/>
      <c r="ANU1472" s="5"/>
      <c r="ANV1472" s="5"/>
      <c r="ANW1472" s="5"/>
      <c r="ANX1472" s="5"/>
      <c r="ANY1472" s="5"/>
      <c r="ANZ1472" s="5"/>
      <c r="AOA1472" s="5"/>
      <c r="AOB1472" s="5"/>
      <c r="AOC1472" s="5"/>
      <c r="AOD1472" s="5"/>
      <c r="AOE1472" s="5"/>
      <c r="AOF1472" s="5"/>
      <c r="AOG1472" s="5"/>
      <c r="AOH1472" s="5"/>
      <c r="AOI1472" s="5"/>
      <c r="AOJ1472" s="5"/>
      <c r="AOK1472" s="5"/>
      <c r="AOL1472" s="5"/>
      <c r="AOM1472" s="5"/>
      <c r="AON1472" s="5"/>
      <c r="AOO1472" s="5"/>
      <c r="AOP1472" s="5"/>
      <c r="AOQ1472" s="5"/>
      <c r="AOR1472" s="5"/>
      <c r="AOS1472" s="5"/>
      <c r="AOT1472" s="5"/>
      <c r="AOU1472" s="5"/>
      <c r="AOV1472" s="5"/>
      <c r="AOW1472" s="5"/>
      <c r="AOX1472" s="5"/>
      <c r="AOY1472" s="5"/>
      <c r="AOZ1472" s="5"/>
      <c r="APA1472" s="5"/>
      <c r="APB1472" s="5"/>
      <c r="APC1472" s="5"/>
      <c r="APD1472" s="5"/>
      <c r="APE1472" s="5"/>
      <c r="APF1472" s="5"/>
      <c r="APG1472" s="5"/>
      <c r="APH1472" s="5"/>
      <c r="API1472" s="5"/>
      <c r="APJ1472" s="5"/>
      <c r="APK1472" s="5"/>
      <c r="APL1472" s="5"/>
      <c r="APM1472" s="5"/>
      <c r="APN1472" s="5"/>
      <c r="APO1472" s="5"/>
      <c r="APP1472" s="5"/>
      <c r="APQ1472" s="5"/>
      <c r="APR1472" s="5"/>
      <c r="APS1472" s="5"/>
      <c r="APT1472" s="5"/>
      <c r="APU1472" s="5"/>
      <c r="APV1472" s="5"/>
      <c r="APW1472" s="5"/>
      <c r="APX1472" s="5"/>
      <c r="APY1472" s="5"/>
      <c r="APZ1472" s="5"/>
      <c r="AQA1472" s="5"/>
      <c r="AQB1472" s="5"/>
      <c r="AQC1472" s="5"/>
      <c r="AQD1472" s="5"/>
      <c r="AQE1472" s="5"/>
      <c r="AQF1472" s="5"/>
      <c r="AQG1472" s="5"/>
      <c r="AQH1472" s="5"/>
      <c r="AQI1472" s="5"/>
      <c r="AQJ1472" s="5"/>
      <c r="AQK1472" s="5"/>
      <c r="AQL1472" s="5"/>
      <c r="AQM1472" s="5"/>
      <c r="AQN1472" s="5"/>
      <c r="AQO1472" s="5"/>
      <c r="AQP1472" s="5"/>
      <c r="AQQ1472" s="5"/>
      <c r="AQR1472" s="5"/>
      <c r="AQS1472" s="5"/>
      <c r="AQT1472" s="5"/>
      <c r="AQU1472" s="5"/>
      <c r="AQV1472" s="5"/>
      <c r="AQW1472" s="5"/>
      <c r="AQX1472" s="5"/>
      <c r="AQY1472" s="5"/>
      <c r="AQZ1472" s="5"/>
      <c r="ARA1472" s="5"/>
      <c r="ARB1472" s="5"/>
      <c r="ARC1472" s="5"/>
      <c r="ARD1472" s="5"/>
      <c r="ARE1472" s="5"/>
      <c r="ARF1472" s="5"/>
      <c r="ARG1472" s="5"/>
      <c r="ARH1472" s="5"/>
      <c r="ARI1472" s="5"/>
      <c r="ARJ1472" s="5"/>
      <c r="ARK1472" s="5"/>
      <c r="ARL1472" s="5"/>
      <c r="ARM1472" s="5"/>
      <c r="ARN1472" s="5"/>
      <c r="ARO1472" s="5"/>
      <c r="ARP1472" s="5"/>
      <c r="ARQ1472" s="5"/>
      <c r="ARR1472" s="5"/>
      <c r="ARS1472" s="5"/>
      <c r="ART1472" s="5"/>
      <c r="ARU1472" s="5"/>
      <c r="ARV1472" s="5"/>
      <c r="ARW1472" s="5"/>
      <c r="ARX1472" s="5"/>
      <c r="ARY1472" s="5"/>
      <c r="ARZ1472" s="5"/>
      <c r="ASA1472" s="5"/>
      <c r="ASB1472" s="5"/>
      <c r="ASC1472" s="5"/>
      <c r="ASD1472" s="5"/>
      <c r="ASE1472" s="5"/>
      <c r="ASF1472" s="5"/>
      <c r="ASG1472" s="5"/>
      <c r="ASH1472" s="5"/>
      <c r="ASI1472" s="5"/>
      <c r="ASJ1472" s="5"/>
      <c r="ASK1472" s="5"/>
      <c r="ASL1472" s="5"/>
      <c r="ASM1472" s="5"/>
      <c r="ASN1472" s="5"/>
      <c r="ASO1472" s="5"/>
      <c r="ASP1472" s="5"/>
      <c r="ASQ1472" s="5"/>
      <c r="ASR1472" s="5"/>
      <c r="ASS1472" s="5"/>
      <c r="AST1472" s="5"/>
      <c r="ASU1472" s="5"/>
      <c r="ASV1472" s="5"/>
      <c r="ASW1472" s="5"/>
      <c r="ASX1472" s="5"/>
      <c r="ASY1472" s="5"/>
      <c r="ASZ1472" s="5"/>
      <c r="ATA1472" s="5"/>
      <c r="ATB1472" s="5"/>
      <c r="ATC1472" s="5"/>
      <c r="ATD1472" s="5"/>
      <c r="ATE1472" s="5"/>
      <c r="ATF1472" s="5"/>
      <c r="ATG1472" s="5"/>
      <c r="ATH1472" s="5"/>
      <c r="ATI1472" s="5"/>
      <c r="ATJ1472" s="5"/>
      <c r="ATK1472" s="5"/>
      <c r="ATL1472" s="5"/>
      <c r="ATM1472" s="5"/>
      <c r="ATN1472" s="5"/>
      <c r="ATO1472" s="5"/>
      <c r="ATP1472" s="5"/>
      <c r="ATQ1472" s="5"/>
      <c r="ATR1472" s="5"/>
      <c r="ATS1472" s="5"/>
      <c r="ATT1472" s="5"/>
      <c r="ATU1472" s="5"/>
      <c r="ATV1472" s="5"/>
      <c r="ATW1472" s="5"/>
      <c r="ATX1472" s="5"/>
    </row>
    <row r="1473" spans="1:1220" s="68" customFormat="1" ht="12.75" customHeight="1" x14ac:dyDescent="0.35">
      <c r="A1473" s="76" t="s">
        <v>643</v>
      </c>
      <c r="B1473" s="99" t="s">
        <v>4053</v>
      </c>
      <c r="C1473" s="76" t="s">
        <v>4054</v>
      </c>
      <c r="D1473" s="142"/>
      <c r="E1473" s="76"/>
      <c r="F1473" s="5"/>
      <c r="G1473" s="5"/>
      <c r="H1473" s="5"/>
      <c r="I1473" s="5"/>
      <c r="J1473" s="5"/>
      <c r="K1473" s="5"/>
      <c r="L1473" s="5"/>
      <c r="M1473" s="5"/>
      <c r="N1473" s="5"/>
      <c r="O1473" s="5"/>
      <c r="P1473" s="5"/>
      <c r="Q1473" s="5"/>
      <c r="R1473" s="5"/>
      <c r="S1473" s="5"/>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c r="AT1473" s="5"/>
      <c r="AU1473" s="5"/>
      <c r="AV1473" s="5"/>
      <c r="AW1473" s="5"/>
      <c r="AX1473" s="5"/>
      <c r="AY1473" s="5"/>
      <c r="AZ1473" s="5"/>
      <c r="BA1473" s="5"/>
      <c r="BB1473" s="5"/>
      <c r="BC1473" s="5"/>
      <c r="BD1473" s="5"/>
      <c r="BE1473" s="5"/>
      <c r="BF1473" s="5"/>
      <c r="BG1473" s="5"/>
      <c r="BH1473" s="5"/>
      <c r="BI1473" s="5"/>
      <c r="BJ1473" s="5"/>
      <c r="BK1473" s="5"/>
      <c r="BL1473" s="5"/>
      <c r="BM1473" s="5"/>
      <c r="BN1473" s="5"/>
      <c r="BO1473" s="5"/>
      <c r="BP1473" s="5"/>
      <c r="BQ1473" s="5"/>
      <c r="BR1473" s="5"/>
      <c r="BS1473" s="5"/>
      <c r="BT1473" s="5"/>
      <c r="BU1473" s="5"/>
      <c r="BV1473" s="5"/>
      <c r="BW1473" s="5"/>
      <c r="BX1473" s="5"/>
      <c r="BY1473" s="5"/>
      <c r="BZ1473" s="5"/>
      <c r="CA1473" s="5"/>
      <c r="CB1473" s="5"/>
      <c r="CC1473" s="5"/>
      <c r="CD1473" s="5"/>
      <c r="CE1473" s="5"/>
      <c r="CF1473" s="5"/>
      <c r="CG1473" s="5"/>
      <c r="CH1473" s="5"/>
      <c r="CI1473" s="5"/>
      <c r="CJ1473" s="5"/>
      <c r="CK1473" s="5"/>
      <c r="CL1473" s="5"/>
      <c r="CM1473" s="5"/>
      <c r="CN1473" s="5"/>
      <c r="CO1473" s="5"/>
      <c r="CP1473" s="5"/>
      <c r="CQ1473" s="5"/>
      <c r="CR1473" s="5"/>
      <c r="CS1473" s="5"/>
      <c r="CT1473" s="5"/>
      <c r="CU1473" s="5"/>
      <c r="CV1473" s="5"/>
      <c r="CW1473" s="5"/>
      <c r="CX1473" s="5"/>
      <c r="CY1473" s="5"/>
      <c r="CZ1473" s="5"/>
      <c r="DA1473" s="5"/>
      <c r="DB1473" s="5"/>
      <c r="DC1473" s="5"/>
      <c r="DD1473" s="5"/>
      <c r="DE1473" s="5"/>
      <c r="DF1473" s="5"/>
      <c r="DG1473" s="5"/>
      <c r="DH1473" s="5"/>
      <c r="DI1473" s="5"/>
      <c r="DJ1473" s="5"/>
      <c r="DK1473" s="5"/>
      <c r="DL1473" s="5"/>
      <c r="DM1473" s="5"/>
      <c r="DN1473" s="5"/>
      <c r="DO1473" s="5"/>
      <c r="DP1473" s="5"/>
      <c r="DQ1473" s="5"/>
      <c r="DR1473" s="5"/>
      <c r="DS1473" s="5"/>
      <c r="DT1473" s="5"/>
      <c r="DU1473" s="5"/>
      <c r="DV1473" s="5"/>
      <c r="DW1473" s="5"/>
      <c r="DX1473" s="5"/>
      <c r="DY1473" s="5"/>
      <c r="DZ1473" s="5"/>
      <c r="EA1473" s="5"/>
      <c r="EB1473" s="5"/>
      <c r="EC1473" s="5"/>
      <c r="ED1473" s="5"/>
      <c r="EE1473" s="5"/>
      <c r="EF1473" s="5"/>
      <c r="EG1473" s="5"/>
      <c r="EH1473" s="5"/>
      <c r="EI1473" s="5"/>
      <c r="EJ1473" s="5"/>
      <c r="EK1473" s="5"/>
      <c r="EL1473" s="5"/>
      <c r="EM1473" s="5"/>
      <c r="EN1473" s="5"/>
      <c r="EO1473" s="5"/>
      <c r="EP1473" s="5"/>
      <c r="EQ1473" s="5"/>
      <c r="ER1473" s="5"/>
      <c r="ES1473" s="5"/>
      <c r="ET1473" s="5"/>
      <c r="EU1473" s="5"/>
      <c r="EV1473" s="5"/>
      <c r="EW1473" s="5"/>
      <c r="EX1473" s="5"/>
      <c r="EY1473" s="5"/>
      <c r="EZ1473" s="5"/>
      <c r="FA1473" s="5"/>
      <c r="FB1473" s="5"/>
      <c r="FC1473" s="5"/>
      <c r="FD1473" s="5"/>
      <c r="FE1473" s="5"/>
      <c r="FF1473" s="5"/>
      <c r="FG1473" s="5"/>
      <c r="FH1473" s="5"/>
      <c r="FI1473" s="5"/>
      <c r="FJ1473" s="5"/>
      <c r="FK1473" s="5"/>
      <c r="FL1473" s="5"/>
      <c r="FM1473" s="5"/>
      <c r="FN1473" s="5"/>
      <c r="FO1473" s="5"/>
      <c r="FP1473" s="5"/>
      <c r="FQ1473" s="5"/>
      <c r="FR1473" s="5"/>
      <c r="FS1473" s="5"/>
      <c r="FT1473" s="5"/>
      <c r="FU1473" s="5"/>
      <c r="FV1473" s="5"/>
      <c r="FW1473" s="5"/>
      <c r="FX1473" s="5"/>
      <c r="FY1473" s="5"/>
      <c r="FZ1473" s="5"/>
      <c r="GA1473" s="5"/>
      <c r="GB1473" s="5"/>
      <c r="GC1473" s="5"/>
      <c r="GD1473" s="5"/>
      <c r="GE1473" s="5"/>
      <c r="GF1473" s="5"/>
      <c r="GG1473" s="5"/>
      <c r="GH1473" s="5"/>
      <c r="GI1473" s="5"/>
      <c r="GJ1473" s="5"/>
      <c r="GK1473" s="5"/>
      <c r="GL1473" s="5"/>
      <c r="GM1473" s="5"/>
      <c r="GN1473" s="5"/>
      <c r="GO1473" s="5"/>
      <c r="GP1473" s="5"/>
      <c r="GQ1473" s="5"/>
      <c r="GR1473" s="5"/>
      <c r="GS1473" s="5"/>
      <c r="GT1473" s="5"/>
      <c r="GU1473" s="5"/>
      <c r="GV1473" s="5"/>
      <c r="GW1473" s="5"/>
      <c r="GX1473" s="5"/>
      <c r="GY1473" s="5"/>
      <c r="GZ1473" s="5"/>
      <c r="HA1473" s="5"/>
      <c r="HB1473" s="5"/>
      <c r="HC1473" s="5"/>
      <c r="HD1473" s="5"/>
      <c r="HE1473" s="5"/>
      <c r="HF1473" s="5"/>
      <c r="HG1473" s="5"/>
      <c r="HH1473" s="5"/>
      <c r="HI1473" s="5"/>
      <c r="HJ1473" s="5"/>
      <c r="HK1473" s="5"/>
      <c r="HL1473" s="5"/>
      <c r="HM1473" s="5"/>
      <c r="HN1473" s="5"/>
      <c r="HO1473" s="5"/>
      <c r="HP1473" s="5"/>
      <c r="HQ1473" s="5"/>
      <c r="HR1473" s="5"/>
      <c r="HS1473" s="5"/>
      <c r="HT1473" s="5"/>
      <c r="HU1473" s="5"/>
      <c r="HV1473" s="5"/>
      <c r="HW1473" s="5"/>
      <c r="HX1473" s="5"/>
      <c r="HY1473" s="5"/>
      <c r="HZ1473" s="5"/>
      <c r="IA1473" s="5"/>
      <c r="IB1473" s="5"/>
      <c r="IC1473" s="5"/>
      <c r="ID1473" s="5"/>
      <c r="IE1473" s="5"/>
      <c r="IF1473" s="5"/>
      <c r="IG1473" s="5"/>
      <c r="IH1473" s="5"/>
      <c r="II1473" s="5"/>
      <c r="IJ1473" s="5"/>
      <c r="IK1473" s="5"/>
      <c r="IL1473" s="5"/>
      <c r="IM1473" s="5"/>
      <c r="IN1473" s="5"/>
      <c r="IO1473" s="5"/>
      <c r="IP1473" s="5"/>
      <c r="IQ1473" s="5"/>
      <c r="IR1473" s="5"/>
      <c r="IS1473" s="5"/>
      <c r="IT1473" s="5"/>
      <c r="IU1473" s="5"/>
      <c r="IV1473" s="5"/>
      <c r="IW1473" s="5"/>
      <c r="IX1473" s="5"/>
      <c r="IY1473" s="5"/>
      <c r="IZ1473" s="5"/>
      <c r="JA1473" s="5"/>
      <c r="JB1473" s="5"/>
      <c r="JC1473" s="5"/>
      <c r="JD1473" s="5"/>
      <c r="JE1473" s="5"/>
      <c r="JF1473" s="5"/>
      <c r="JG1473" s="5"/>
      <c r="JH1473" s="5"/>
      <c r="JI1473" s="5"/>
      <c r="JJ1473" s="5"/>
      <c r="JK1473" s="5"/>
      <c r="JL1473" s="5"/>
      <c r="JM1473" s="5"/>
      <c r="JN1473" s="5"/>
      <c r="JO1473" s="5"/>
      <c r="JP1473" s="5"/>
      <c r="JQ1473" s="5"/>
      <c r="JR1473" s="5"/>
      <c r="JS1473" s="5"/>
      <c r="JT1473" s="5"/>
      <c r="JU1473" s="5"/>
      <c r="JV1473" s="5"/>
      <c r="JW1473" s="5"/>
      <c r="JX1473" s="5"/>
      <c r="JY1473" s="5"/>
      <c r="JZ1473" s="5"/>
      <c r="KA1473" s="5"/>
      <c r="KB1473" s="5"/>
      <c r="KC1473" s="5"/>
      <c r="KD1473" s="5"/>
      <c r="KE1473" s="5"/>
      <c r="KF1473" s="5"/>
      <c r="KG1473" s="5"/>
      <c r="KH1473" s="5"/>
      <c r="KI1473" s="5"/>
      <c r="KJ1473" s="5"/>
      <c r="KK1473" s="5"/>
      <c r="KL1473" s="5"/>
      <c r="KM1473" s="5"/>
      <c r="KN1473" s="5"/>
      <c r="KO1473" s="5"/>
      <c r="KP1473" s="5"/>
      <c r="KQ1473" s="5"/>
      <c r="KR1473" s="5"/>
      <c r="KS1473" s="5"/>
      <c r="KT1473" s="5"/>
      <c r="KU1473" s="5"/>
      <c r="KV1473" s="5"/>
      <c r="KW1473" s="5"/>
      <c r="KX1473" s="5"/>
      <c r="KY1473" s="5"/>
      <c r="KZ1473" s="5"/>
      <c r="LA1473" s="5"/>
      <c r="LB1473" s="5"/>
      <c r="LC1473" s="5"/>
      <c r="LD1473" s="5"/>
      <c r="LE1473" s="5"/>
      <c r="LF1473" s="5"/>
      <c r="LG1473" s="5"/>
      <c r="LH1473" s="5"/>
      <c r="LI1473" s="5"/>
      <c r="LJ1473" s="5"/>
      <c r="LK1473" s="5"/>
      <c r="LL1473" s="5"/>
      <c r="LM1473" s="5"/>
      <c r="LN1473" s="5"/>
      <c r="LO1473" s="5"/>
      <c r="LP1473" s="5"/>
      <c r="LQ1473" s="5"/>
      <c r="LR1473" s="5"/>
      <c r="LS1473" s="5"/>
      <c r="LT1473" s="5"/>
      <c r="LU1473" s="5"/>
      <c r="LV1473" s="5"/>
      <c r="LW1473" s="5"/>
      <c r="LX1473" s="5"/>
      <c r="LY1473" s="5"/>
      <c r="LZ1473" s="5"/>
      <c r="MA1473" s="5"/>
      <c r="MB1473" s="5"/>
      <c r="MC1473" s="5"/>
      <c r="MD1473" s="5"/>
      <c r="ME1473" s="5"/>
      <c r="MF1473" s="5"/>
      <c r="MG1473" s="5"/>
      <c r="MH1473" s="5"/>
      <c r="MI1473" s="5"/>
      <c r="MJ1473" s="5"/>
      <c r="MK1473" s="5"/>
      <c r="ML1473" s="5"/>
      <c r="MM1473" s="5"/>
      <c r="MN1473" s="5"/>
      <c r="MO1473" s="5"/>
      <c r="MP1473" s="5"/>
      <c r="MQ1473" s="5"/>
      <c r="MR1473" s="5"/>
      <c r="MS1473" s="5"/>
      <c r="MT1473" s="5"/>
      <c r="MU1473" s="5"/>
      <c r="MV1473" s="5"/>
      <c r="MW1473" s="5"/>
      <c r="MX1473" s="5"/>
      <c r="MY1473" s="5"/>
      <c r="MZ1473" s="5"/>
      <c r="NA1473" s="5"/>
      <c r="NB1473" s="5"/>
      <c r="NC1473" s="5"/>
      <c r="ND1473" s="5"/>
      <c r="NE1473" s="5"/>
      <c r="NF1473" s="5"/>
      <c r="NG1473" s="5"/>
      <c r="NH1473" s="5"/>
      <c r="NI1473" s="5"/>
      <c r="NJ1473" s="5"/>
      <c r="NK1473" s="5"/>
      <c r="NL1473" s="5"/>
      <c r="NM1473" s="5"/>
      <c r="NN1473" s="5"/>
      <c r="NO1473" s="5"/>
      <c r="NP1473" s="5"/>
      <c r="NQ1473" s="5"/>
      <c r="NR1473" s="5"/>
      <c r="NS1473" s="5"/>
      <c r="NT1473" s="5"/>
      <c r="NU1473" s="5"/>
      <c r="NV1473" s="5"/>
      <c r="NW1473" s="5"/>
      <c r="NX1473" s="5"/>
      <c r="NY1473" s="5"/>
      <c r="NZ1473" s="5"/>
      <c r="OA1473" s="5"/>
      <c r="OB1473" s="5"/>
      <c r="OC1473" s="5"/>
      <c r="OD1473" s="5"/>
      <c r="OE1473" s="5"/>
      <c r="OF1473" s="5"/>
      <c r="OG1473" s="5"/>
      <c r="OH1473" s="5"/>
      <c r="OI1473" s="5"/>
      <c r="OJ1473" s="5"/>
      <c r="OK1473" s="5"/>
      <c r="OL1473" s="5"/>
      <c r="OM1473" s="5"/>
      <c r="ON1473" s="5"/>
      <c r="OO1473" s="5"/>
      <c r="OP1473" s="5"/>
      <c r="OQ1473" s="5"/>
      <c r="OR1473" s="5"/>
      <c r="OS1473" s="5"/>
      <c r="OT1473" s="5"/>
      <c r="OU1473" s="5"/>
      <c r="OV1473" s="5"/>
      <c r="OW1473" s="5"/>
      <c r="OX1473" s="5"/>
      <c r="OY1473" s="5"/>
      <c r="OZ1473" s="5"/>
      <c r="PA1473" s="5"/>
      <c r="PB1473" s="5"/>
      <c r="PC1473" s="5"/>
      <c r="PD1473" s="5"/>
      <c r="PE1473" s="5"/>
      <c r="PF1473" s="5"/>
      <c r="PG1473" s="5"/>
      <c r="PH1473" s="5"/>
      <c r="PI1473" s="5"/>
      <c r="PJ1473" s="5"/>
      <c r="PK1473" s="5"/>
      <c r="PL1473" s="5"/>
      <c r="PM1473" s="5"/>
      <c r="PN1473" s="5"/>
      <c r="PO1473" s="5"/>
      <c r="PP1473" s="5"/>
      <c r="PQ1473" s="5"/>
      <c r="PR1473" s="5"/>
      <c r="PS1473" s="5"/>
      <c r="PT1473" s="5"/>
      <c r="PU1473" s="5"/>
      <c r="PV1473" s="5"/>
      <c r="PW1473" s="5"/>
      <c r="PX1473" s="5"/>
      <c r="PY1473" s="5"/>
      <c r="PZ1473" s="5"/>
      <c r="QA1473" s="5"/>
      <c r="QB1473" s="5"/>
      <c r="QC1473" s="5"/>
      <c r="QD1473" s="5"/>
      <c r="QE1473" s="5"/>
      <c r="QF1473" s="5"/>
      <c r="QG1473" s="5"/>
      <c r="QH1473" s="5"/>
      <c r="QI1473" s="5"/>
      <c r="QJ1473" s="5"/>
      <c r="QK1473" s="5"/>
      <c r="QL1473" s="5"/>
      <c r="QM1473" s="5"/>
      <c r="QN1473" s="5"/>
      <c r="QO1473" s="5"/>
      <c r="QP1473" s="5"/>
      <c r="QQ1473" s="5"/>
      <c r="QR1473" s="5"/>
      <c r="QS1473" s="5"/>
      <c r="QT1473" s="5"/>
      <c r="QU1473" s="5"/>
      <c r="QV1473" s="5"/>
      <c r="QW1473" s="5"/>
      <c r="QX1473" s="5"/>
      <c r="QY1473" s="5"/>
      <c r="QZ1473" s="5"/>
      <c r="RA1473" s="5"/>
      <c r="RB1473" s="5"/>
      <c r="RC1473" s="5"/>
      <c r="RD1473" s="5"/>
      <c r="RE1473" s="5"/>
      <c r="RF1473" s="5"/>
      <c r="RG1473" s="5"/>
      <c r="RH1473" s="5"/>
      <c r="RI1473" s="5"/>
      <c r="RJ1473" s="5"/>
      <c r="RK1473" s="5"/>
      <c r="RL1473" s="5"/>
      <c r="RM1473" s="5"/>
      <c r="RN1473" s="5"/>
      <c r="RO1473" s="5"/>
      <c r="RP1473" s="5"/>
      <c r="RQ1473" s="5"/>
      <c r="RR1473" s="5"/>
      <c r="RS1473" s="5"/>
      <c r="RT1473" s="5"/>
      <c r="RU1473" s="5"/>
      <c r="RV1473" s="5"/>
      <c r="RW1473" s="5"/>
      <c r="RX1473" s="5"/>
      <c r="RY1473" s="5"/>
      <c r="RZ1473" s="5"/>
      <c r="SA1473" s="5"/>
      <c r="SB1473" s="5"/>
      <c r="SC1473" s="5"/>
      <c r="SD1473" s="5"/>
      <c r="SE1473" s="5"/>
      <c r="SF1473" s="5"/>
      <c r="SG1473" s="5"/>
      <c r="SH1473" s="5"/>
      <c r="SI1473" s="5"/>
      <c r="SJ1473" s="5"/>
      <c r="SK1473" s="5"/>
      <c r="SL1473" s="5"/>
      <c r="SM1473" s="5"/>
      <c r="SN1473" s="5"/>
      <c r="SO1473" s="5"/>
      <c r="SP1473" s="5"/>
      <c r="SQ1473" s="5"/>
      <c r="SR1473" s="5"/>
      <c r="SS1473" s="5"/>
      <c r="ST1473" s="5"/>
      <c r="SU1473" s="5"/>
      <c r="SV1473" s="5"/>
      <c r="SW1473" s="5"/>
      <c r="SX1473" s="5"/>
      <c r="SY1473" s="5"/>
      <c r="SZ1473" s="5"/>
      <c r="TA1473" s="5"/>
      <c r="TB1473" s="5"/>
      <c r="TC1473" s="5"/>
      <c r="TD1473" s="5"/>
      <c r="TE1473" s="5"/>
      <c r="TF1473" s="5"/>
      <c r="TG1473" s="5"/>
      <c r="TH1473" s="5"/>
      <c r="TI1473" s="5"/>
      <c r="TJ1473" s="5"/>
      <c r="TK1473" s="5"/>
      <c r="TL1473" s="5"/>
      <c r="TM1473" s="5"/>
      <c r="TN1473" s="5"/>
      <c r="TO1473" s="5"/>
      <c r="TP1473" s="5"/>
      <c r="TQ1473" s="5"/>
      <c r="TR1473" s="5"/>
      <c r="TS1473" s="5"/>
      <c r="TT1473" s="5"/>
      <c r="TU1473" s="5"/>
      <c r="TV1473" s="5"/>
      <c r="TW1473" s="5"/>
      <c r="TX1473" s="5"/>
      <c r="TY1473" s="5"/>
      <c r="TZ1473" s="5"/>
      <c r="UA1473" s="5"/>
      <c r="UB1473" s="5"/>
      <c r="UC1473" s="5"/>
      <c r="UD1473" s="5"/>
      <c r="UE1473" s="5"/>
      <c r="UF1473" s="5"/>
      <c r="UG1473" s="5"/>
      <c r="UH1473" s="5"/>
      <c r="UI1473" s="5"/>
      <c r="UJ1473" s="5"/>
      <c r="UK1473" s="5"/>
      <c r="UL1473" s="5"/>
      <c r="UM1473" s="5"/>
      <c r="UN1473" s="5"/>
      <c r="UO1473" s="5"/>
      <c r="UP1473" s="5"/>
      <c r="UQ1473" s="5"/>
      <c r="UR1473" s="5"/>
      <c r="US1473" s="5"/>
      <c r="UT1473" s="5"/>
      <c r="UU1473" s="5"/>
      <c r="UV1473" s="5"/>
      <c r="UW1473" s="5"/>
      <c r="UX1473" s="5"/>
      <c r="UY1473" s="5"/>
      <c r="UZ1473" s="5"/>
      <c r="VA1473" s="5"/>
      <c r="VB1473" s="5"/>
      <c r="VC1473" s="5"/>
      <c r="VD1473" s="5"/>
      <c r="VE1473" s="5"/>
      <c r="VF1473" s="5"/>
      <c r="VG1473" s="5"/>
      <c r="VH1473" s="5"/>
      <c r="VI1473" s="5"/>
      <c r="VJ1473" s="5"/>
      <c r="VK1473" s="5"/>
      <c r="VL1473" s="5"/>
      <c r="VM1473" s="5"/>
      <c r="VN1473" s="5"/>
      <c r="VO1473" s="5"/>
      <c r="VP1473" s="5"/>
      <c r="VQ1473" s="5"/>
      <c r="VR1473" s="5"/>
      <c r="VS1473" s="5"/>
      <c r="VT1473" s="5"/>
      <c r="VU1473" s="5"/>
      <c r="VV1473" s="5"/>
      <c r="VW1473" s="5"/>
      <c r="VX1473" s="5"/>
      <c r="VY1473" s="5"/>
      <c r="VZ1473" s="5"/>
      <c r="WA1473" s="5"/>
      <c r="WB1473" s="5"/>
      <c r="WC1473" s="5"/>
      <c r="WD1473" s="5"/>
      <c r="WE1473" s="5"/>
      <c r="WF1473" s="5"/>
      <c r="WG1473" s="5"/>
      <c r="WH1473" s="5"/>
      <c r="WI1473" s="5"/>
      <c r="WJ1473" s="5"/>
      <c r="WK1473" s="5"/>
      <c r="WL1473" s="5"/>
      <c r="WM1473" s="5"/>
      <c r="WN1473" s="5"/>
      <c r="WO1473" s="5"/>
      <c r="WP1473" s="5"/>
      <c r="WQ1473" s="5"/>
      <c r="WR1473" s="5"/>
      <c r="WS1473" s="5"/>
      <c r="WT1473" s="5"/>
      <c r="WU1473" s="5"/>
      <c r="WV1473" s="5"/>
      <c r="WW1473" s="5"/>
      <c r="WX1473" s="5"/>
      <c r="WY1473" s="5"/>
      <c r="WZ1473" s="5"/>
      <c r="XA1473" s="5"/>
      <c r="XB1473" s="5"/>
      <c r="XC1473" s="5"/>
      <c r="XD1473" s="5"/>
      <c r="XE1473" s="5"/>
      <c r="XF1473" s="5"/>
      <c r="XG1473" s="5"/>
      <c r="XH1473" s="5"/>
      <c r="XI1473" s="5"/>
      <c r="XJ1473" s="5"/>
      <c r="XK1473" s="5"/>
      <c r="XL1473" s="5"/>
      <c r="XM1473" s="5"/>
      <c r="XN1473" s="5"/>
      <c r="XO1473" s="5"/>
      <c r="XP1473" s="5"/>
      <c r="XQ1473" s="5"/>
      <c r="XR1473" s="5"/>
      <c r="XS1473" s="5"/>
      <c r="XT1473" s="5"/>
      <c r="XU1473" s="5"/>
      <c r="XV1473" s="5"/>
      <c r="XW1473" s="5"/>
      <c r="XX1473" s="5"/>
      <c r="XY1473" s="5"/>
      <c r="XZ1473" s="5"/>
      <c r="YA1473" s="5"/>
      <c r="YB1473" s="5"/>
      <c r="YC1473" s="5"/>
      <c r="YD1473" s="5"/>
      <c r="YE1473" s="5"/>
      <c r="YF1473" s="5"/>
      <c r="YG1473" s="5"/>
      <c r="YH1473" s="5"/>
      <c r="YI1473" s="5"/>
      <c r="YJ1473" s="5"/>
      <c r="YK1473" s="5"/>
      <c r="YL1473" s="5"/>
      <c r="YM1473" s="5"/>
      <c r="YN1473" s="5"/>
      <c r="YO1473" s="5"/>
      <c r="YP1473" s="5"/>
      <c r="YQ1473" s="5"/>
      <c r="YR1473" s="5"/>
      <c r="YS1473" s="5"/>
      <c r="YT1473" s="5"/>
      <c r="YU1473" s="5"/>
      <c r="YV1473" s="5"/>
      <c r="YW1473" s="5"/>
      <c r="YX1473" s="5"/>
      <c r="YY1473" s="5"/>
      <c r="YZ1473" s="5"/>
      <c r="ZA1473" s="5"/>
      <c r="ZB1473" s="5"/>
      <c r="ZC1473" s="5"/>
      <c r="ZD1473" s="5"/>
      <c r="ZE1473" s="5"/>
      <c r="ZF1473" s="5"/>
      <c r="ZG1473" s="5"/>
      <c r="ZH1473" s="5"/>
      <c r="ZI1473" s="5"/>
      <c r="ZJ1473" s="5"/>
      <c r="ZK1473" s="5"/>
      <c r="ZL1473" s="5"/>
      <c r="ZM1473" s="5"/>
      <c r="ZN1473" s="5"/>
      <c r="ZO1473" s="5"/>
      <c r="ZP1473" s="5"/>
      <c r="ZQ1473" s="5"/>
      <c r="ZR1473" s="5"/>
      <c r="ZS1473" s="5"/>
      <c r="ZT1473" s="5"/>
      <c r="ZU1473" s="5"/>
      <c r="ZV1473" s="5"/>
      <c r="ZW1473" s="5"/>
      <c r="ZX1473" s="5"/>
      <c r="ZY1473" s="5"/>
      <c r="ZZ1473" s="5"/>
      <c r="AAA1473" s="5"/>
      <c r="AAB1473" s="5"/>
      <c r="AAC1473" s="5"/>
      <c r="AAD1473" s="5"/>
      <c r="AAE1473" s="5"/>
      <c r="AAF1473" s="5"/>
      <c r="AAG1473" s="5"/>
      <c r="AAH1473" s="5"/>
      <c r="AAI1473" s="5"/>
      <c r="AAJ1473" s="5"/>
      <c r="AAK1473" s="5"/>
      <c r="AAL1473" s="5"/>
      <c r="AAM1473" s="5"/>
      <c r="AAN1473" s="5"/>
      <c r="AAO1473" s="5"/>
      <c r="AAP1473" s="5"/>
      <c r="AAQ1473" s="5"/>
      <c r="AAR1473" s="5"/>
      <c r="AAS1473" s="5"/>
      <c r="AAT1473" s="5"/>
      <c r="AAU1473" s="5"/>
      <c r="AAV1473" s="5"/>
      <c r="AAW1473" s="5"/>
      <c r="AAX1473" s="5"/>
      <c r="AAY1473" s="5"/>
      <c r="AAZ1473" s="5"/>
      <c r="ABA1473" s="5"/>
      <c r="ABB1473" s="5"/>
      <c r="ABC1473" s="5"/>
      <c r="ABD1473" s="5"/>
      <c r="ABE1473" s="5"/>
      <c r="ABF1473" s="5"/>
      <c r="ABG1473" s="5"/>
      <c r="ABH1473" s="5"/>
      <c r="ABI1473" s="5"/>
      <c r="ABJ1473" s="5"/>
      <c r="ABK1473" s="5"/>
      <c r="ABL1473" s="5"/>
      <c r="ABM1473" s="5"/>
      <c r="ABN1473" s="5"/>
      <c r="ABO1473" s="5"/>
      <c r="ABP1473" s="5"/>
      <c r="ABQ1473" s="5"/>
      <c r="ABR1473" s="5"/>
      <c r="ABS1473" s="5"/>
      <c r="ABT1473" s="5"/>
      <c r="ABU1473" s="5"/>
      <c r="ABV1473" s="5"/>
      <c r="ABW1473" s="5"/>
      <c r="ABX1473" s="5"/>
      <c r="ABY1473" s="5"/>
      <c r="ABZ1473" s="5"/>
      <c r="ACA1473" s="5"/>
      <c r="ACB1473" s="5"/>
      <c r="ACC1473" s="5"/>
      <c r="ACD1473" s="5"/>
      <c r="ACE1473" s="5"/>
      <c r="ACF1473" s="5"/>
      <c r="ACG1473" s="5"/>
      <c r="ACH1473" s="5"/>
      <c r="ACI1473" s="5"/>
      <c r="ACJ1473" s="5"/>
      <c r="ACK1473" s="5"/>
      <c r="ACL1473" s="5"/>
      <c r="ACM1473" s="5"/>
      <c r="ACN1473" s="5"/>
      <c r="ACO1473" s="5"/>
      <c r="ACP1473" s="5"/>
      <c r="ACQ1473" s="5"/>
      <c r="ACR1473" s="5"/>
      <c r="ACS1473" s="5"/>
      <c r="ACT1473" s="5"/>
      <c r="ACU1473" s="5"/>
      <c r="ACV1473" s="5"/>
      <c r="ACW1473" s="5"/>
      <c r="ACX1473" s="5"/>
      <c r="ACY1473" s="5"/>
      <c r="ACZ1473" s="5"/>
      <c r="ADA1473" s="5"/>
      <c r="ADB1473" s="5"/>
      <c r="ADC1473" s="5"/>
      <c r="ADD1473" s="5"/>
      <c r="ADE1473" s="5"/>
      <c r="ADF1473" s="5"/>
      <c r="ADG1473" s="5"/>
      <c r="ADH1473" s="5"/>
      <c r="ADI1473" s="5"/>
      <c r="ADJ1473" s="5"/>
      <c r="ADK1473" s="5"/>
      <c r="ADL1473" s="5"/>
      <c r="ADM1473" s="5"/>
      <c r="ADN1473" s="5"/>
      <c r="ADO1473" s="5"/>
      <c r="ADP1473" s="5"/>
      <c r="ADQ1473" s="5"/>
      <c r="ADR1473" s="5"/>
      <c r="ADS1473" s="5"/>
      <c r="ADT1473" s="5"/>
      <c r="ADU1473" s="5"/>
      <c r="ADV1473" s="5"/>
      <c r="ADW1473" s="5"/>
      <c r="ADX1473" s="5"/>
      <c r="ADY1473" s="5"/>
      <c r="ADZ1473" s="5"/>
      <c r="AEA1473" s="5"/>
      <c r="AEB1473" s="5"/>
      <c r="AEC1473" s="5"/>
      <c r="AED1473" s="5"/>
      <c r="AEE1473" s="5"/>
      <c r="AEF1473" s="5"/>
      <c r="AEG1473" s="5"/>
      <c r="AEH1473" s="5"/>
      <c r="AEI1473" s="5"/>
      <c r="AEJ1473" s="5"/>
      <c r="AEK1473" s="5"/>
      <c r="AEL1473" s="5"/>
      <c r="AEM1473" s="5"/>
      <c r="AEN1473" s="5"/>
      <c r="AEO1473" s="5"/>
      <c r="AEP1473" s="5"/>
      <c r="AEQ1473" s="5"/>
      <c r="AER1473" s="5"/>
      <c r="AES1473" s="5"/>
      <c r="AET1473" s="5"/>
      <c r="AEU1473" s="5"/>
      <c r="AEV1473" s="5"/>
      <c r="AEW1473" s="5"/>
      <c r="AEX1473" s="5"/>
      <c r="AEY1473" s="5"/>
      <c r="AEZ1473" s="5"/>
      <c r="AFA1473" s="5"/>
      <c r="AFB1473" s="5"/>
      <c r="AFC1473" s="5"/>
      <c r="AFD1473" s="5"/>
      <c r="AFE1473" s="5"/>
      <c r="AFF1473" s="5"/>
      <c r="AFG1473" s="5"/>
      <c r="AFH1473" s="5"/>
      <c r="AFI1473" s="5"/>
      <c r="AFJ1473" s="5"/>
      <c r="AFK1473" s="5"/>
      <c r="AFL1473" s="5"/>
      <c r="AFM1473" s="5"/>
      <c r="AFN1473" s="5"/>
      <c r="AFO1473" s="5"/>
      <c r="AFP1473" s="5"/>
      <c r="AFQ1473" s="5"/>
      <c r="AFR1473" s="5"/>
      <c r="AFS1473" s="5"/>
      <c r="AFT1473" s="5"/>
      <c r="AFU1473" s="5"/>
      <c r="AFV1473" s="5"/>
      <c r="AFW1473" s="5"/>
      <c r="AFX1473" s="5"/>
      <c r="AFY1473" s="5"/>
      <c r="AFZ1473" s="5"/>
      <c r="AGA1473" s="5"/>
      <c r="AGB1473" s="5"/>
      <c r="AGC1473" s="5"/>
      <c r="AGD1473" s="5"/>
      <c r="AGE1473" s="5"/>
      <c r="AGF1473" s="5"/>
      <c r="AGG1473" s="5"/>
      <c r="AGH1473" s="5"/>
      <c r="AGI1473" s="5"/>
      <c r="AGJ1473" s="5"/>
      <c r="AGK1473" s="5"/>
      <c r="AGL1473" s="5"/>
      <c r="AGM1473" s="5"/>
      <c r="AGN1473" s="5"/>
      <c r="AGO1473" s="5"/>
      <c r="AGP1473" s="5"/>
      <c r="AGQ1473" s="5"/>
      <c r="AGR1473" s="5"/>
      <c r="AGS1473" s="5"/>
      <c r="AGT1473" s="5"/>
      <c r="AGU1473" s="5"/>
      <c r="AGV1473" s="5"/>
      <c r="AGW1473" s="5"/>
      <c r="AGX1473" s="5"/>
      <c r="AGY1473" s="5"/>
      <c r="AGZ1473" s="5"/>
      <c r="AHA1473" s="5"/>
      <c r="AHB1473" s="5"/>
      <c r="AHC1473" s="5"/>
      <c r="AHD1473" s="5"/>
      <c r="AHE1473" s="5"/>
      <c r="AHF1473" s="5"/>
      <c r="AHG1473" s="5"/>
      <c r="AHH1473" s="5"/>
      <c r="AHI1473" s="5"/>
      <c r="AHJ1473" s="5"/>
      <c r="AHK1473" s="5"/>
      <c r="AHL1473" s="5"/>
      <c r="AHM1473" s="5"/>
      <c r="AHN1473" s="5"/>
      <c r="AHO1473" s="5"/>
      <c r="AHP1473" s="5"/>
      <c r="AHQ1473" s="5"/>
      <c r="AHR1473" s="5"/>
      <c r="AHS1473" s="5"/>
      <c r="AHT1473" s="5"/>
      <c r="AHU1473" s="5"/>
      <c r="AHV1473" s="5"/>
      <c r="AHW1473" s="5"/>
      <c r="AHX1473" s="5"/>
      <c r="AHY1473" s="5"/>
      <c r="AHZ1473" s="5"/>
      <c r="AIA1473" s="5"/>
      <c r="AIB1473" s="5"/>
      <c r="AIC1473" s="5"/>
      <c r="AID1473" s="5"/>
      <c r="AIE1473" s="5"/>
      <c r="AIF1473" s="5"/>
      <c r="AIG1473" s="5"/>
      <c r="AIH1473" s="5"/>
      <c r="AII1473" s="5"/>
      <c r="AIJ1473" s="5"/>
      <c r="AIK1473" s="5"/>
      <c r="AIL1473" s="5"/>
      <c r="AIM1473" s="5"/>
      <c r="AIN1473" s="5"/>
      <c r="AIO1473" s="5"/>
      <c r="AIP1473" s="5"/>
      <c r="AIQ1473" s="5"/>
      <c r="AIR1473" s="5"/>
      <c r="AIS1473" s="5"/>
      <c r="AIT1473" s="5"/>
      <c r="AIU1473" s="5"/>
      <c r="AIV1473" s="5"/>
      <c r="AIW1473" s="5"/>
      <c r="AIX1473" s="5"/>
      <c r="AIY1473" s="5"/>
      <c r="AIZ1473" s="5"/>
      <c r="AJA1473" s="5"/>
      <c r="AJB1473" s="5"/>
      <c r="AJC1473" s="5"/>
      <c r="AJD1473" s="5"/>
      <c r="AJE1473" s="5"/>
      <c r="AJF1473" s="5"/>
      <c r="AJG1473" s="5"/>
      <c r="AJH1473" s="5"/>
      <c r="AJI1473" s="5"/>
      <c r="AJJ1473" s="5"/>
      <c r="AJK1473" s="5"/>
      <c r="AJL1473" s="5"/>
      <c r="AJM1473" s="5"/>
      <c r="AJN1473" s="5"/>
      <c r="AJO1473" s="5"/>
      <c r="AJP1473" s="5"/>
      <c r="AJQ1473" s="5"/>
      <c r="AJR1473" s="5"/>
      <c r="AJS1473" s="5"/>
      <c r="AJT1473" s="5"/>
      <c r="AJU1473" s="5"/>
      <c r="AJV1473" s="5"/>
      <c r="AJW1473" s="5"/>
      <c r="AJX1473" s="5"/>
      <c r="AJY1473" s="5"/>
      <c r="AJZ1473" s="5"/>
      <c r="AKA1473" s="5"/>
      <c r="AKB1473" s="5"/>
      <c r="AKC1473" s="5"/>
      <c r="AKD1473" s="5"/>
      <c r="AKE1473" s="5"/>
      <c r="AKF1473" s="5"/>
      <c r="AKG1473" s="5"/>
      <c r="AKH1473" s="5"/>
      <c r="AKI1473" s="5"/>
      <c r="AKJ1473" s="5"/>
      <c r="AKK1473" s="5"/>
      <c r="AKL1473" s="5"/>
      <c r="AKM1473" s="5"/>
      <c r="AKN1473" s="5"/>
      <c r="AKO1473" s="5"/>
      <c r="AKP1473" s="5"/>
      <c r="AKQ1473" s="5"/>
      <c r="AKR1473" s="5"/>
      <c r="AKS1473" s="5"/>
      <c r="AKT1473" s="5"/>
      <c r="AKU1473" s="5"/>
      <c r="AKV1473" s="5"/>
      <c r="AKW1473" s="5"/>
      <c r="AKX1473" s="5"/>
      <c r="AKY1473" s="5"/>
      <c r="AKZ1473" s="5"/>
      <c r="ALA1473" s="5"/>
      <c r="ALB1473" s="5"/>
      <c r="ALC1473" s="5"/>
      <c r="ALD1473" s="5"/>
      <c r="ALE1473" s="5"/>
      <c r="ALF1473" s="5"/>
      <c r="ALG1473" s="5"/>
      <c r="ALH1473" s="5"/>
      <c r="ALI1473" s="5"/>
      <c r="ALJ1473" s="5"/>
      <c r="ALK1473" s="5"/>
      <c r="ALL1473" s="5"/>
      <c r="ALM1473" s="5"/>
      <c r="ALN1473" s="5"/>
      <c r="ALO1473" s="5"/>
      <c r="ALP1473" s="5"/>
      <c r="ALQ1473" s="5"/>
      <c r="ALR1473" s="5"/>
      <c r="ALS1473" s="5"/>
      <c r="ALT1473" s="5"/>
      <c r="ALU1473" s="5"/>
      <c r="ALV1473" s="5"/>
      <c r="ALW1473" s="5"/>
      <c r="ALX1473" s="5"/>
      <c r="ALY1473" s="5"/>
      <c r="ALZ1473" s="5"/>
      <c r="AMA1473" s="5"/>
      <c r="AMB1473" s="5"/>
      <c r="AMC1473" s="5"/>
      <c r="AMD1473" s="5"/>
      <c r="AME1473" s="5"/>
      <c r="AMF1473" s="5"/>
      <c r="AMG1473" s="5"/>
      <c r="AMH1473" s="5"/>
      <c r="AMI1473" s="5"/>
      <c r="AMJ1473" s="5"/>
      <c r="AMK1473" s="5"/>
      <c r="AML1473" s="5"/>
      <c r="AMM1473" s="5"/>
      <c r="AMN1473" s="5"/>
      <c r="AMO1473" s="5"/>
      <c r="AMP1473" s="5"/>
      <c r="AMQ1473" s="5"/>
      <c r="AMR1473" s="5"/>
      <c r="AMS1473" s="5"/>
      <c r="AMT1473" s="5"/>
      <c r="AMU1473" s="5"/>
      <c r="AMV1473" s="5"/>
      <c r="AMW1473" s="5"/>
      <c r="AMX1473" s="5"/>
      <c r="AMY1473" s="5"/>
      <c r="AMZ1473" s="5"/>
      <c r="ANA1473" s="5"/>
      <c r="ANB1473" s="5"/>
      <c r="ANC1473" s="5"/>
      <c r="AND1473" s="5"/>
      <c r="ANE1473" s="5"/>
      <c r="ANF1473" s="5"/>
      <c r="ANG1473" s="5"/>
      <c r="ANH1473" s="5"/>
      <c r="ANI1473" s="5"/>
      <c r="ANJ1473" s="5"/>
      <c r="ANK1473" s="5"/>
      <c r="ANL1473" s="5"/>
      <c r="ANM1473" s="5"/>
      <c r="ANN1473" s="5"/>
      <c r="ANO1473" s="5"/>
      <c r="ANP1473" s="5"/>
      <c r="ANQ1473" s="5"/>
      <c r="ANR1473" s="5"/>
      <c r="ANS1473" s="5"/>
      <c r="ANT1473" s="5"/>
      <c r="ANU1473" s="5"/>
      <c r="ANV1473" s="5"/>
      <c r="ANW1473" s="5"/>
      <c r="ANX1473" s="5"/>
      <c r="ANY1473" s="5"/>
      <c r="ANZ1473" s="5"/>
      <c r="AOA1473" s="5"/>
      <c r="AOB1473" s="5"/>
      <c r="AOC1473" s="5"/>
      <c r="AOD1473" s="5"/>
      <c r="AOE1473" s="5"/>
      <c r="AOF1473" s="5"/>
      <c r="AOG1473" s="5"/>
      <c r="AOH1473" s="5"/>
      <c r="AOI1473" s="5"/>
      <c r="AOJ1473" s="5"/>
      <c r="AOK1473" s="5"/>
      <c r="AOL1473" s="5"/>
      <c r="AOM1473" s="5"/>
      <c r="AON1473" s="5"/>
      <c r="AOO1473" s="5"/>
      <c r="AOP1473" s="5"/>
      <c r="AOQ1473" s="5"/>
      <c r="AOR1473" s="5"/>
      <c r="AOS1473" s="5"/>
      <c r="AOT1473" s="5"/>
      <c r="AOU1473" s="5"/>
      <c r="AOV1473" s="5"/>
      <c r="AOW1473" s="5"/>
      <c r="AOX1473" s="5"/>
      <c r="AOY1473" s="5"/>
      <c r="AOZ1473" s="5"/>
      <c r="APA1473" s="5"/>
      <c r="APB1473" s="5"/>
      <c r="APC1473" s="5"/>
      <c r="APD1473" s="5"/>
      <c r="APE1473" s="5"/>
      <c r="APF1473" s="5"/>
      <c r="APG1473" s="5"/>
      <c r="APH1473" s="5"/>
      <c r="API1473" s="5"/>
      <c r="APJ1473" s="5"/>
      <c r="APK1473" s="5"/>
      <c r="APL1473" s="5"/>
      <c r="APM1473" s="5"/>
      <c r="APN1473" s="5"/>
      <c r="APO1473" s="5"/>
      <c r="APP1473" s="5"/>
      <c r="APQ1473" s="5"/>
      <c r="APR1473" s="5"/>
      <c r="APS1473" s="5"/>
      <c r="APT1473" s="5"/>
      <c r="APU1473" s="5"/>
      <c r="APV1473" s="5"/>
      <c r="APW1473" s="5"/>
      <c r="APX1473" s="5"/>
      <c r="APY1473" s="5"/>
      <c r="APZ1473" s="5"/>
      <c r="AQA1473" s="5"/>
      <c r="AQB1473" s="5"/>
      <c r="AQC1473" s="5"/>
      <c r="AQD1473" s="5"/>
      <c r="AQE1473" s="5"/>
      <c r="AQF1473" s="5"/>
      <c r="AQG1473" s="5"/>
      <c r="AQH1473" s="5"/>
      <c r="AQI1473" s="5"/>
      <c r="AQJ1473" s="5"/>
      <c r="AQK1473" s="5"/>
      <c r="AQL1473" s="5"/>
      <c r="AQM1473" s="5"/>
      <c r="AQN1473" s="5"/>
      <c r="AQO1473" s="5"/>
      <c r="AQP1473" s="5"/>
      <c r="AQQ1473" s="5"/>
      <c r="AQR1473" s="5"/>
      <c r="AQS1473" s="5"/>
      <c r="AQT1473" s="5"/>
      <c r="AQU1473" s="5"/>
      <c r="AQV1473" s="5"/>
      <c r="AQW1473" s="5"/>
      <c r="AQX1473" s="5"/>
      <c r="AQY1473" s="5"/>
      <c r="AQZ1473" s="5"/>
      <c r="ARA1473" s="5"/>
      <c r="ARB1473" s="5"/>
      <c r="ARC1473" s="5"/>
      <c r="ARD1473" s="5"/>
      <c r="ARE1473" s="5"/>
      <c r="ARF1473" s="5"/>
      <c r="ARG1473" s="5"/>
      <c r="ARH1473" s="5"/>
      <c r="ARI1473" s="5"/>
      <c r="ARJ1473" s="5"/>
      <c r="ARK1473" s="5"/>
      <c r="ARL1473" s="5"/>
      <c r="ARM1473" s="5"/>
      <c r="ARN1473" s="5"/>
      <c r="ARO1473" s="5"/>
      <c r="ARP1473" s="5"/>
      <c r="ARQ1473" s="5"/>
      <c r="ARR1473" s="5"/>
      <c r="ARS1473" s="5"/>
      <c r="ART1473" s="5"/>
      <c r="ARU1473" s="5"/>
      <c r="ARV1473" s="5"/>
      <c r="ARW1473" s="5"/>
      <c r="ARX1473" s="5"/>
      <c r="ARY1473" s="5"/>
      <c r="ARZ1473" s="5"/>
      <c r="ASA1473" s="5"/>
      <c r="ASB1473" s="5"/>
      <c r="ASC1473" s="5"/>
      <c r="ASD1473" s="5"/>
      <c r="ASE1473" s="5"/>
      <c r="ASF1473" s="5"/>
      <c r="ASG1473" s="5"/>
      <c r="ASH1473" s="5"/>
      <c r="ASI1473" s="5"/>
      <c r="ASJ1473" s="5"/>
      <c r="ASK1473" s="5"/>
      <c r="ASL1473" s="5"/>
      <c r="ASM1473" s="5"/>
      <c r="ASN1473" s="5"/>
      <c r="ASO1473" s="5"/>
      <c r="ASP1473" s="5"/>
      <c r="ASQ1473" s="5"/>
      <c r="ASR1473" s="5"/>
      <c r="ASS1473" s="5"/>
      <c r="AST1473" s="5"/>
      <c r="ASU1473" s="5"/>
      <c r="ASV1473" s="5"/>
      <c r="ASW1473" s="5"/>
      <c r="ASX1473" s="5"/>
      <c r="ASY1473" s="5"/>
      <c r="ASZ1473" s="5"/>
      <c r="ATA1473" s="5"/>
      <c r="ATB1473" s="5"/>
      <c r="ATC1473" s="5"/>
      <c r="ATD1473" s="5"/>
      <c r="ATE1473" s="5"/>
      <c r="ATF1473" s="5"/>
      <c r="ATG1473" s="5"/>
      <c r="ATH1473" s="5"/>
      <c r="ATI1473" s="5"/>
      <c r="ATJ1473" s="5"/>
      <c r="ATK1473" s="5"/>
      <c r="ATL1473" s="5"/>
      <c r="ATM1473" s="5"/>
      <c r="ATN1473" s="5"/>
      <c r="ATO1473" s="5"/>
      <c r="ATP1473" s="5"/>
      <c r="ATQ1473" s="5"/>
      <c r="ATR1473" s="5"/>
      <c r="ATS1473" s="5"/>
      <c r="ATT1473" s="5"/>
      <c r="ATU1473" s="5"/>
      <c r="ATV1473" s="5"/>
      <c r="ATW1473" s="5"/>
      <c r="ATX1473" s="5"/>
    </row>
    <row r="1474" spans="1:1220" ht="12.75" customHeight="1" x14ac:dyDescent="0.35">
      <c r="A1474" s="208" t="s">
        <v>1039</v>
      </c>
      <c r="B1474" s="99" t="s">
        <v>89</v>
      </c>
      <c r="C1474" s="76" t="s">
        <v>4055</v>
      </c>
      <c r="D1474" s="385" t="s">
        <v>4056</v>
      </c>
      <c r="E1474" s="385" t="s">
        <v>4057</v>
      </c>
      <c r="F1474" s="384"/>
    </row>
    <row r="1475" spans="1:1220" ht="12.75" customHeight="1" x14ac:dyDescent="0.35">
      <c r="A1475" s="76" t="s">
        <v>1039</v>
      </c>
      <c r="B1475" s="99" t="s">
        <v>99</v>
      </c>
      <c r="C1475" s="76" t="s">
        <v>4058</v>
      </c>
      <c r="D1475" s="79" t="s">
        <v>4059</v>
      </c>
    </row>
    <row r="1476" spans="1:1220" ht="12.75" customHeight="1" x14ac:dyDescent="0.35">
      <c r="A1476" s="76" t="s">
        <v>1039</v>
      </c>
      <c r="B1476" s="99" t="s">
        <v>1512</v>
      </c>
      <c r="C1476" s="76" t="s">
        <v>4060</v>
      </c>
      <c r="D1476" s="385" t="s">
        <v>4061</v>
      </c>
      <c r="E1476" s="385" t="s">
        <v>4062</v>
      </c>
    </row>
    <row r="1477" spans="1:1220" ht="12.75" customHeight="1" x14ac:dyDescent="0.35">
      <c r="A1477" s="208" t="s">
        <v>1039</v>
      </c>
      <c r="B1477" s="99" t="s">
        <v>2270</v>
      </c>
      <c r="C1477" s="76" t="s">
        <v>4063</v>
      </c>
      <c r="D1477" s="79" t="s">
        <v>4064</v>
      </c>
    </row>
    <row r="1478" spans="1:1220" s="197" customFormat="1" ht="12.75" customHeight="1" x14ac:dyDescent="0.35">
      <c r="A1478" s="76" t="s">
        <v>1039</v>
      </c>
      <c r="B1478" s="99" t="s">
        <v>2064</v>
      </c>
      <c r="C1478" s="76" t="s">
        <v>4065</v>
      </c>
      <c r="D1478" s="79" t="s">
        <v>4066</v>
      </c>
      <c r="E1478" s="76"/>
      <c r="F1478" s="5"/>
      <c r="G1478" s="5"/>
      <c r="H1478" s="5"/>
      <c r="I1478" s="5"/>
      <c r="J1478" s="5"/>
      <c r="K1478" s="5"/>
      <c r="L1478" s="5"/>
      <c r="M1478" s="5"/>
      <c r="N1478" s="5"/>
      <c r="O1478" s="5"/>
      <c r="P1478" s="5"/>
      <c r="Q1478" s="5"/>
      <c r="R1478" s="5"/>
      <c r="S1478" s="5"/>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c r="AT1478" s="5"/>
      <c r="AU1478" s="5"/>
      <c r="AV1478" s="5"/>
      <c r="AW1478" s="5"/>
      <c r="AX1478" s="5"/>
      <c r="AY1478" s="5"/>
      <c r="AZ1478" s="5"/>
      <c r="BA1478" s="5"/>
      <c r="BB1478" s="5"/>
      <c r="BC1478" s="5"/>
      <c r="BD1478" s="5"/>
      <c r="BE1478" s="5"/>
      <c r="BF1478" s="5"/>
      <c r="BG1478" s="5"/>
      <c r="BH1478" s="5"/>
      <c r="BI1478" s="5"/>
      <c r="BJ1478" s="5"/>
      <c r="BK1478" s="5"/>
      <c r="BL1478" s="5"/>
      <c r="BM1478" s="5"/>
      <c r="BN1478" s="5"/>
      <c r="BO1478" s="5"/>
      <c r="BP1478" s="5"/>
      <c r="BQ1478" s="5"/>
      <c r="BR1478" s="5"/>
      <c r="BS1478" s="5"/>
      <c r="BT1478" s="5"/>
      <c r="BU1478" s="5"/>
      <c r="BV1478" s="5"/>
      <c r="BW1478" s="5"/>
      <c r="BX1478" s="5"/>
      <c r="BY1478" s="5"/>
      <c r="BZ1478" s="5"/>
      <c r="CA1478" s="5"/>
      <c r="CB1478" s="5"/>
      <c r="CC1478" s="5"/>
      <c r="CD1478" s="5"/>
      <c r="CE1478" s="5"/>
      <c r="CF1478" s="5"/>
      <c r="CG1478" s="5"/>
      <c r="CH1478" s="5"/>
      <c r="CI1478" s="5"/>
      <c r="CJ1478" s="5"/>
      <c r="CK1478" s="5"/>
      <c r="CL1478" s="5"/>
      <c r="CM1478" s="5"/>
      <c r="CN1478" s="5"/>
      <c r="CO1478" s="5"/>
      <c r="CP1478" s="5"/>
      <c r="CQ1478" s="5"/>
      <c r="CR1478" s="5"/>
      <c r="CS1478" s="5"/>
      <c r="CT1478" s="5"/>
      <c r="CU1478" s="5"/>
      <c r="CV1478" s="5"/>
      <c r="CW1478" s="5"/>
      <c r="CX1478" s="5"/>
      <c r="CY1478" s="5"/>
      <c r="CZ1478" s="5"/>
      <c r="DA1478" s="5"/>
      <c r="DB1478" s="5"/>
      <c r="DC1478" s="5"/>
      <c r="DD1478" s="5"/>
      <c r="DE1478" s="5"/>
      <c r="DF1478" s="5"/>
      <c r="DG1478" s="5"/>
      <c r="DH1478" s="5"/>
      <c r="DI1478" s="5"/>
      <c r="DJ1478" s="5"/>
      <c r="DK1478" s="5"/>
      <c r="DL1478" s="5"/>
      <c r="DM1478" s="5"/>
      <c r="DN1478" s="5"/>
      <c r="DO1478" s="5"/>
      <c r="DP1478" s="5"/>
      <c r="DQ1478" s="5"/>
      <c r="DR1478" s="5"/>
      <c r="DS1478" s="5"/>
      <c r="DT1478" s="5"/>
      <c r="DU1478" s="5"/>
      <c r="DV1478" s="5"/>
      <c r="DW1478" s="5"/>
      <c r="DX1478" s="5"/>
      <c r="DY1478" s="5"/>
      <c r="DZ1478" s="5"/>
      <c r="EA1478" s="5"/>
      <c r="EB1478" s="5"/>
      <c r="EC1478" s="5"/>
      <c r="ED1478" s="5"/>
      <c r="EE1478" s="5"/>
      <c r="EF1478" s="5"/>
      <c r="EG1478" s="5"/>
      <c r="EH1478" s="5"/>
      <c r="EI1478" s="5"/>
      <c r="EJ1478" s="5"/>
      <c r="EK1478" s="5"/>
      <c r="EL1478" s="5"/>
      <c r="EM1478" s="5"/>
      <c r="EN1478" s="5"/>
      <c r="EO1478" s="5"/>
      <c r="EP1478" s="5"/>
      <c r="EQ1478" s="5"/>
      <c r="ER1478" s="5"/>
      <c r="ES1478" s="5"/>
      <c r="ET1478" s="5"/>
      <c r="EU1478" s="5"/>
      <c r="EV1478" s="5"/>
      <c r="EW1478" s="5"/>
      <c r="EX1478" s="5"/>
      <c r="EY1478" s="5"/>
      <c r="EZ1478" s="5"/>
      <c r="FA1478" s="5"/>
      <c r="FB1478" s="5"/>
      <c r="FC1478" s="5"/>
      <c r="FD1478" s="5"/>
      <c r="FE1478" s="5"/>
      <c r="FF1478" s="5"/>
      <c r="FG1478" s="5"/>
      <c r="FH1478" s="5"/>
      <c r="FI1478" s="5"/>
      <c r="FJ1478" s="5"/>
      <c r="FK1478" s="5"/>
      <c r="FL1478" s="5"/>
      <c r="FM1478" s="5"/>
      <c r="FN1478" s="5"/>
      <c r="FO1478" s="5"/>
      <c r="FP1478" s="5"/>
      <c r="FQ1478" s="5"/>
      <c r="FR1478" s="5"/>
      <c r="FS1478" s="5"/>
      <c r="FT1478" s="5"/>
      <c r="FU1478" s="5"/>
      <c r="FV1478" s="5"/>
      <c r="FW1478" s="5"/>
      <c r="FX1478" s="5"/>
      <c r="FY1478" s="5"/>
      <c r="FZ1478" s="5"/>
      <c r="GA1478" s="5"/>
      <c r="GB1478" s="5"/>
      <c r="GC1478" s="5"/>
      <c r="GD1478" s="5"/>
      <c r="GE1478" s="5"/>
      <c r="GF1478" s="5"/>
      <c r="GG1478" s="5"/>
      <c r="GH1478" s="5"/>
      <c r="GI1478" s="5"/>
      <c r="GJ1478" s="5"/>
      <c r="GK1478" s="5"/>
      <c r="GL1478" s="5"/>
      <c r="GM1478" s="5"/>
      <c r="GN1478" s="5"/>
      <c r="GO1478" s="5"/>
      <c r="GP1478" s="5"/>
      <c r="GQ1478" s="5"/>
      <c r="GR1478" s="5"/>
      <c r="GS1478" s="5"/>
      <c r="GT1478" s="5"/>
      <c r="GU1478" s="5"/>
      <c r="GV1478" s="5"/>
      <c r="GW1478" s="5"/>
      <c r="GX1478" s="5"/>
      <c r="GY1478" s="5"/>
      <c r="GZ1478" s="5"/>
      <c r="HA1478" s="5"/>
      <c r="HB1478" s="5"/>
      <c r="HC1478" s="5"/>
      <c r="HD1478" s="5"/>
      <c r="HE1478" s="5"/>
      <c r="HF1478" s="5"/>
      <c r="HG1478" s="5"/>
      <c r="HH1478" s="5"/>
      <c r="HI1478" s="5"/>
      <c r="HJ1478" s="5"/>
      <c r="HK1478" s="5"/>
      <c r="HL1478" s="5"/>
      <c r="HM1478" s="5"/>
      <c r="HN1478" s="5"/>
      <c r="HO1478" s="5"/>
      <c r="HP1478" s="5"/>
      <c r="HQ1478" s="5"/>
      <c r="HR1478" s="5"/>
      <c r="HS1478" s="5"/>
      <c r="HT1478" s="5"/>
      <c r="HU1478" s="5"/>
      <c r="HV1478" s="5"/>
      <c r="HW1478" s="5"/>
      <c r="HX1478" s="5"/>
      <c r="HY1478" s="5"/>
      <c r="HZ1478" s="5"/>
      <c r="IA1478" s="5"/>
      <c r="IB1478" s="5"/>
      <c r="IC1478" s="5"/>
      <c r="ID1478" s="5"/>
      <c r="IE1478" s="5"/>
      <c r="IF1478" s="5"/>
      <c r="IG1478" s="5"/>
      <c r="IH1478" s="5"/>
      <c r="II1478" s="5"/>
      <c r="IJ1478" s="5"/>
      <c r="IK1478" s="5"/>
      <c r="IL1478" s="5"/>
      <c r="IM1478" s="5"/>
      <c r="IN1478" s="5"/>
      <c r="IO1478" s="5"/>
      <c r="IP1478" s="5"/>
      <c r="IQ1478" s="5"/>
      <c r="IR1478" s="5"/>
      <c r="IS1478" s="5"/>
      <c r="IT1478" s="5"/>
      <c r="IU1478" s="5"/>
      <c r="IV1478" s="5"/>
      <c r="IW1478" s="5"/>
      <c r="IX1478" s="5"/>
      <c r="IY1478" s="5"/>
      <c r="IZ1478" s="5"/>
      <c r="JA1478" s="5"/>
      <c r="JB1478" s="5"/>
      <c r="JC1478" s="5"/>
      <c r="JD1478" s="5"/>
      <c r="JE1478" s="5"/>
      <c r="JF1478" s="5"/>
      <c r="JG1478" s="5"/>
      <c r="JH1478" s="5"/>
      <c r="JI1478" s="5"/>
      <c r="JJ1478" s="5"/>
      <c r="JK1478" s="5"/>
      <c r="JL1478" s="5"/>
      <c r="JM1478" s="5"/>
      <c r="JN1478" s="5"/>
      <c r="JO1478" s="5"/>
      <c r="JP1478" s="5"/>
      <c r="JQ1478" s="5"/>
      <c r="JR1478" s="5"/>
      <c r="JS1478" s="5"/>
      <c r="JT1478" s="5"/>
      <c r="JU1478" s="5"/>
      <c r="JV1478" s="5"/>
      <c r="JW1478" s="5"/>
      <c r="JX1478" s="5"/>
      <c r="JY1478" s="5"/>
      <c r="JZ1478" s="5"/>
      <c r="KA1478" s="5"/>
      <c r="KB1478" s="5"/>
      <c r="KC1478" s="5"/>
      <c r="KD1478" s="5"/>
      <c r="KE1478" s="5"/>
      <c r="KF1478" s="5"/>
      <c r="KG1478" s="5"/>
      <c r="KH1478" s="5"/>
      <c r="KI1478" s="5"/>
      <c r="KJ1478" s="5"/>
      <c r="KK1478" s="5"/>
      <c r="KL1478" s="5"/>
      <c r="KM1478" s="5"/>
      <c r="KN1478" s="5"/>
      <c r="KO1478" s="5"/>
      <c r="KP1478" s="5"/>
      <c r="KQ1478" s="5"/>
      <c r="KR1478" s="5"/>
      <c r="KS1478" s="5"/>
      <c r="KT1478" s="5"/>
      <c r="KU1478" s="5"/>
      <c r="KV1478" s="5"/>
      <c r="KW1478" s="5"/>
      <c r="KX1478" s="5"/>
      <c r="KY1478" s="5"/>
      <c r="KZ1478" s="5"/>
      <c r="LA1478" s="5"/>
      <c r="LB1478" s="5"/>
      <c r="LC1478" s="5"/>
      <c r="LD1478" s="5"/>
      <c r="LE1478" s="5"/>
      <c r="LF1478" s="5"/>
      <c r="LG1478" s="5"/>
      <c r="LH1478" s="5"/>
      <c r="LI1478" s="5"/>
      <c r="LJ1478" s="5"/>
      <c r="LK1478" s="5"/>
      <c r="LL1478" s="5"/>
      <c r="LM1478" s="5"/>
      <c r="LN1478" s="5"/>
      <c r="LO1478" s="5"/>
      <c r="LP1478" s="5"/>
      <c r="LQ1478" s="5"/>
      <c r="LR1478" s="5"/>
      <c r="LS1478" s="5"/>
      <c r="LT1478" s="5"/>
      <c r="LU1478" s="5"/>
      <c r="LV1478" s="5"/>
      <c r="LW1478" s="5"/>
      <c r="LX1478" s="5"/>
      <c r="LY1478" s="5"/>
      <c r="LZ1478" s="5"/>
      <c r="MA1478" s="5"/>
      <c r="MB1478" s="5"/>
      <c r="MC1478" s="5"/>
      <c r="MD1478" s="5"/>
      <c r="ME1478" s="5"/>
      <c r="MF1478" s="5"/>
      <c r="MG1478" s="5"/>
      <c r="MH1478" s="5"/>
      <c r="MI1478" s="5"/>
      <c r="MJ1478" s="5"/>
      <c r="MK1478" s="5"/>
      <c r="ML1478" s="5"/>
      <c r="MM1478" s="5"/>
      <c r="MN1478" s="5"/>
      <c r="MO1478" s="5"/>
      <c r="MP1478" s="5"/>
      <c r="MQ1478" s="5"/>
      <c r="MR1478" s="5"/>
      <c r="MS1478" s="5"/>
      <c r="MT1478" s="5"/>
      <c r="MU1478" s="5"/>
      <c r="MV1478" s="5"/>
      <c r="MW1478" s="5"/>
      <c r="MX1478" s="5"/>
      <c r="MY1478" s="5"/>
      <c r="MZ1478" s="5"/>
      <c r="NA1478" s="5"/>
      <c r="NB1478" s="5"/>
      <c r="NC1478" s="5"/>
      <c r="ND1478" s="5"/>
      <c r="NE1478" s="5"/>
      <c r="NF1478" s="5"/>
      <c r="NG1478" s="5"/>
      <c r="NH1478" s="5"/>
      <c r="NI1478" s="5"/>
      <c r="NJ1478" s="5"/>
      <c r="NK1478" s="5"/>
      <c r="NL1478" s="5"/>
      <c r="NM1478" s="5"/>
      <c r="NN1478" s="5"/>
      <c r="NO1478" s="5"/>
      <c r="NP1478" s="5"/>
      <c r="NQ1478" s="5"/>
      <c r="NR1478" s="5"/>
      <c r="NS1478" s="5"/>
      <c r="NT1478" s="5"/>
      <c r="NU1478" s="5"/>
      <c r="NV1478" s="5"/>
      <c r="NW1478" s="5"/>
      <c r="NX1478" s="5"/>
      <c r="NY1478" s="5"/>
      <c r="NZ1478" s="5"/>
      <c r="OA1478" s="5"/>
      <c r="OB1478" s="5"/>
      <c r="OC1478" s="5"/>
      <c r="OD1478" s="5"/>
      <c r="OE1478" s="5"/>
      <c r="OF1478" s="5"/>
      <c r="OG1478" s="5"/>
      <c r="OH1478" s="5"/>
      <c r="OI1478" s="5"/>
      <c r="OJ1478" s="5"/>
      <c r="OK1478" s="5"/>
      <c r="OL1478" s="5"/>
      <c r="OM1478" s="5"/>
      <c r="ON1478" s="5"/>
      <c r="OO1478" s="5"/>
      <c r="OP1478" s="5"/>
      <c r="OQ1478" s="5"/>
      <c r="OR1478" s="5"/>
      <c r="OS1478" s="5"/>
      <c r="OT1478" s="5"/>
      <c r="OU1478" s="5"/>
      <c r="OV1478" s="5"/>
      <c r="OW1478" s="5"/>
      <c r="OX1478" s="5"/>
      <c r="OY1478" s="5"/>
      <c r="OZ1478" s="5"/>
      <c r="PA1478" s="5"/>
      <c r="PB1478" s="5"/>
      <c r="PC1478" s="5"/>
      <c r="PD1478" s="5"/>
      <c r="PE1478" s="5"/>
      <c r="PF1478" s="5"/>
      <c r="PG1478" s="5"/>
      <c r="PH1478" s="5"/>
      <c r="PI1478" s="5"/>
      <c r="PJ1478" s="5"/>
      <c r="PK1478" s="5"/>
      <c r="PL1478" s="5"/>
      <c r="PM1478" s="5"/>
      <c r="PN1478" s="5"/>
      <c r="PO1478" s="5"/>
      <c r="PP1478" s="5"/>
      <c r="PQ1478" s="5"/>
      <c r="PR1478" s="5"/>
      <c r="PS1478" s="5"/>
      <c r="PT1478" s="5"/>
      <c r="PU1478" s="5"/>
      <c r="PV1478" s="5"/>
      <c r="PW1478" s="5"/>
      <c r="PX1478" s="5"/>
      <c r="PY1478" s="5"/>
      <c r="PZ1478" s="5"/>
      <c r="QA1478" s="5"/>
      <c r="QB1478" s="5"/>
      <c r="QC1478" s="5"/>
      <c r="QD1478" s="5"/>
      <c r="QE1478" s="5"/>
      <c r="QF1478" s="5"/>
      <c r="QG1478" s="5"/>
      <c r="QH1478" s="5"/>
      <c r="QI1478" s="5"/>
      <c r="QJ1478" s="5"/>
      <c r="QK1478" s="5"/>
      <c r="QL1478" s="5"/>
      <c r="QM1478" s="5"/>
      <c r="QN1478" s="5"/>
      <c r="QO1478" s="5"/>
      <c r="QP1478" s="5"/>
      <c r="QQ1478" s="5"/>
      <c r="QR1478" s="5"/>
      <c r="QS1478" s="5"/>
      <c r="QT1478" s="5"/>
      <c r="QU1478" s="5"/>
      <c r="QV1478" s="5"/>
      <c r="QW1478" s="5"/>
      <c r="QX1478" s="5"/>
      <c r="QY1478" s="5"/>
      <c r="QZ1478" s="5"/>
      <c r="RA1478" s="5"/>
      <c r="RB1478" s="5"/>
      <c r="RC1478" s="5"/>
      <c r="RD1478" s="5"/>
      <c r="RE1478" s="5"/>
      <c r="RF1478" s="5"/>
      <c r="RG1478" s="5"/>
      <c r="RH1478" s="5"/>
      <c r="RI1478" s="5"/>
      <c r="RJ1478" s="5"/>
      <c r="RK1478" s="5"/>
      <c r="RL1478" s="5"/>
      <c r="RM1478" s="5"/>
      <c r="RN1478" s="5"/>
      <c r="RO1478" s="5"/>
      <c r="RP1478" s="5"/>
      <c r="RQ1478" s="5"/>
      <c r="RR1478" s="5"/>
      <c r="RS1478" s="5"/>
      <c r="RT1478" s="5"/>
      <c r="RU1478" s="5"/>
      <c r="RV1478" s="5"/>
      <c r="RW1478" s="5"/>
      <c r="RX1478" s="5"/>
      <c r="RY1478" s="5"/>
      <c r="RZ1478" s="5"/>
      <c r="SA1478" s="5"/>
      <c r="SB1478" s="5"/>
      <c r="SC1478" s="5"/>
      <c r="SD1478" s="5"/>
      <c r="SE1478" s="5"/>
      <c r="SF1478" s="5"/>
      <c r="SG1478" s="5"/>
      <c r="SH1478" s="5"/>
      <c r="SI1478" s="5"/>
      <c r="SJ1478" s="5"/>
      <c r="SK1478" s="5"/>
      <c r="SL1478" s="5"/>
      <c r="SM1478" s="5"/>
      <c r="SN1478" s="5"/>
      <c r="SO1478" s="5"/>
      <c r="SP1478" s="5"/>
      <c r="SQ1478" s="5"/>
      <c r="SR1478" s="5"/>
      <c r="SS1478" s="5"/>
      <c r="ST1478" s="5"/>
      <c r="SU1478" s="5"/>
      <c r="SV1478" s="5"/>
      <c r="SW1478" s="5"/>
      <c r="SX1478" s="5"/>
      <c r="SY1478" s="5"/>
      <c r="SZ1478" s="5"/>
      <c r="TA1478" s="5"/>
      <c r="TB1478" s="5"/>
      <c r="TC1478" s="5"/>
      <c r="TD1478" s="5"/>
      <c r="TE1478" s="5"/>
      <c r="TF1478" s="5"/>
      <c r="TG1478" s="5"/>
      <c r="TH1478" s="5"/>
      <c r="TI1478" s="5"/>
      <c r="TJ1478" s="5"/>
      <c r="TK1478" s="5"/>
      <c r="TL1478" s="5"/>
      <c r="TM1478" s="5"/>
      <c r="TN1478" s="5"/>
      <c r="TO1478" s="5"/>
      <c r="TP1478" s="5"/>
      <c r="TQ1478" s="5"/>
      <c r="TR1478" s="5"/>
      <c r="TS1478" s="5"/>
      <c r="TT1478" s="5"/>
      <c r="TU1478" s="5"/>
      <c r="TV1478" s="5"/>
      <c r="TW1478" s="5"/>
      <c r="TX1478" s="5"/>
      <c r="TY1478" s="5"/>
      <c r="TZ1478" s="5"/>
      <c r="UA1478" s="5"/>
      <c r="UB1478" s="5"/>
      <c r="UC1478" s="5"/>
      <c r="UD1478" s="5"/>
      <c r="UE1478" s="5"/>
      <c r="UF1478" s="5"/>
      <c r="UG1478" s="5"/>
      <c r="UH1478" s="5"/>
      <c r="UI1478" s="5"/>
      <c r="UJ1478" s="5"/>
      <c r="UK1478" s="5"/>
      <c r="UL1478" s="5"/>
      <c r="UM1478" s="5"/>
      <c r="UN1478" s="5"/>
      <c r="UO1478" s="5"/>
      <c r="UP1478" s="5"/>
      <c r="UQ1478" s="5"/>
      <c r="UR1478" s="5"/>
      <c r="US1478" s="5"/>
      <c r="UT1478" s="5"/>
      <c r="UU1478" s="5"/>
      <c r="UV1478" s="5"/>
      <c r="UW1478" s="5"/>
      <c r="UX1478" s="5"/>
      <c r="UY1478" s="5"/>
      <c r="UZ1478" s="5"/>
      <c r="VA1478" s="5"/>
      <c r="VB1478" s="5"/>
      <c r="VC1478" s="5"/>
      <c r="VD1478" s="5"/>
      <c r="VE1478" s="5"/>
      <c r="VF1478" s="5"/>
      <c r="VG1478" s="5"/>
      <c r="VH1478" s="5"/>
      <c r="VI1478" s="5"/>
      <c r="VJ1478" s="5"/>
      <c r="VK1478" s="5"/>
      <c r="VL1478" s="5"/>
      <c r="VM1478" s="5"/>
      <c r="VN1478" s="5"/>
      <c r="VO1478" s="5"/>
      <c r="VP1478" s="5"/>
      <c r="VQ1478" s="5"/>
      <c r="VR1478" s="5"/>
      <c r="VS1478" s="5"/>
      <c r="VT1478" s="5"/>
      <c r="VU1478" s="5"/>
      <c r="VV1478" s="5"/>
      <c r="VW1478" s="5"/>
      <c r="VX1478" s="5"/>
      <c r="VY1478" s="5"/>
      <c r="VZ1478" s="5"/>
      <c r="WA1478" s="5"/>
      <c r="WB1478" s="5"/>
      <c r="WC1478" s="5"/>
      <c r="WD1478" s="5"/>
      <c r="WE1478" s="5"/>
      <c r="WF1478" s="5"/>
      <c r="WG1478" s="5"/>
      <c r="WH1478" s="5"/>
      <c r="WI1478" s="5"/>
      <c r="WJ1478" s="5"/>
      <c r="WK1478" s="5"/>
      <c r="WL1478" s="5"/>
      <c r="WM1478" s="5"/>
      <c r="WN1478" s="5"/>
      <c r="WO1478" s="5"/>
      <c r="WP1478" s="5"/>
      <c r="WQ1478" s="5"/>
      <c r="WR1478" s="5"/>
      <c r="WS1478" s="5"/>
      <c r="WT1478" s="5"/>
      <c r="WU1478" s="5"/>
      <c r="WV1478" s="5"/>
      <c r="WW1478" s="5"/>
      <c r="WX1478" s="5"/>
      <c r="WY1478" s="5"/>
      <c r="WZ1478" s="5"/>
      <c r="XA1478" s="5"/>
      <c r="XB1478" s="5"/>
      <c r="XC1478" s="5"/>
      <c r="XD1478" s="5"/>
      <c r="XE1478" s="5"/>
      <c r="XF1478" s="5"/>
      <c r="XG1478" s="5"/>
      <c r="XH1478" s="5"/>
      <c r="XI1478" s="5"/>
      <c r="XJ1478" s="5"/>
      <c r="XK1478" s="5"/>
      <c r="XL1478" s="5"/>
      <c r="XM1478" s="5"/>
      <c r="XN1478" s="5"/>
      <c r="XO1478" s="5"/>
      <c r="XP1478" s="5"/>
      <c r="XQ1478" s="5"/>
      <c r="XR1478" s="5"/>
      <c r="XS1478" s="5"/>
      <c r="XT1478" s="5"/>
      <c r="XU1478" s="5"/>
      <c r="XV1478" s="5"/>
      <c r="XW1478" s="5"/>
      <c r="XX1478" s="5"/>
      <c r="XY1478" s="5"/>
      <c r="XZ1478" s="5"/>
      <c r="YA1478" s="5"/>
      <c r="YB1478" s="5"/>
      <c r="YC1478" s="5"/>
      <c r="YD1478" s="5"/>
      <c r="YE1478" s="5"/>
      <c r="YF1478" s="5"/>
      <c r="YG1478" s="5"/>
      <c r="YH1478" s="5"/>
      <c r="YI1478" s="5"/>
      <c r="YJ1478" s="5"/>
      <c r="YK1478" s="5"/>
      <c r="YL1478" s="5"/>
      <c r="YM1478" s="5"/>
      <c r="YN1478" s="5"/>
      <c r="YO1478" s="5"/>
      <c r="YP1478" s="5"/>
      <c r="YQ1478" s="5"/>
      <c r="YR1478" s="5"/>
      <c r="YS1478" s="5"/>
      <c r="YT1478" s="5"/>
      <c r="YU1478" s="5"/>
      <c r="YV1478" s="5"/>
      <c r="YW1478" s="5"/>
      <c r="YX1478" s="5"/>
      <c r="YY1478" s="5"/>
      <c r="YZ1478" s="5"/>
      <c r="ZA1478" s="5"/>
      <c r="ZB1478" s="5"/>
      <c r="ZC1478" s="5"/>
      <c r="ZD1478" s="5"/>
      <c r="ZE1478" s="5"/>
      <c r="ZF1478" s="5"/>
      <c r="ZG1478" s="5"/>
      <c r="ZH1478" s="5"/>
      <c r="ZI1478" s="5"/>
      <c r="ZJ1478" s="5"/>
      <c r="ZK1478" s="5"/>
      <c r="ZL1478" s="5"/>
      <c r="ZM1478" s="5"/>
      <c r="ZN1478" s="5"/>
      <c r="ZO1478" s="5"/>
      <c r="ZP1478" s="5"/>
      <c r="ZQ1478" s="5"/>
      <c r="ZR1478" s="5"/>
      <c r="ZS1478" s="5"/>
      <c r="ZT1478" s="5"/>
      <c r="ZU1478" s="5"/>
      <c r="ZV1478" s="5"/>
      <c r="ZW1478" s="5"/>
      <c r="ZX1478" s="5"/>
      <c r="ZY1478" s="5"/>
      <c r="ZZ1478" s="5"/>
      <c r="AAA1478" s="5"/>
      <c r="AAB1478" s="5"/>
      <c r="AAC1478" s="5"/>
      <c r="AAD1478" s="5"/>
      <c r="AAE1478" s="5"/>
      <c r="AAF1478" s="5"/>
      <c r="AAG1478" s="5"/>
      <c r="AAH1478" s="5"/>
      <c r="AAI1478" s="5"/>
      <c r="AAJ1478" s="5"/>
      <c r="AAK1478" s="5"/>
      <c r="AAL1478" s="5"/>
      <c r="AAM1478" s="5"/>
      <c r="AAN1478" s="5"/>
      <c r="AAO1478" s="5"/>
      <c r="AAP1478" s="5"/>
      <c r="AAQ1478" s="5"/>
      <c r="AAR1478" s="5"/>
      <c r="AAS1478" s="5"/>
      <c r="AAT1478" s="5"/>
      <c r="AAU1478" s="5"/>
      <c r="AAV1478" s="5"/>
      <c r="AAW1478" s="5"/>
      <c r="AAX1478" s="5"/>
      <c r="AAY1478" s="5"/>
      <c r="AAZ1478" s="5"/>
      <c r="ABA1478" s="5"/>
      <c r="ABB1478" s="5"/>
      <c r="ABC1478" s="5"/>
      <c r="ABD1478" s="5"/>
      <c r="ABE1478" s="5"/>
      <c r="ABF1478" s="5"/>
      <c r="ABG1478" s="5"/>
      <c r="ABH1478" s="5"/>
      <c r="ABI1478" s="5"/>
      <c r="ABJ1478" s="5"/>
      <c r="ABK1478" s="5"/>
      <c r="ABL1478" s="5"/>
      <c r="ABM1478" s="5"/>
      <c r="ABN1478" s="5"/>
      <c r="ABO1478" s="5"/>
      <c r="ABP1478" s="5"/>
      <c r="ABQ1478" s="5"/>
      <c r="ABR1478" s="5"/>
      <c r="ABS1478" s="5"/>
      <c r="ABT1478" s="5"/>
      <c r="ABU1478" s="5"/>
      <c r="ABV1478" s="5"/>
      <c r="ABW1478" s="5"/>
      <c r="ABX1478" s="5"/>
      <c r="ABY1478" s="5"/>
      <c r="ABZ1478" s="5"/>
      <c r="ACA1478" s="5"/>
      <c r="ACB1478" s="5"/>
      <c r="ACC1478" s="5"/>
      <c r="ACD1478" s="5"/>
      <c r="ACE1478" s="5"/>
      <c r="ACF1478" s="5"/>
      <c r="ACG1478" s="5"/>
      <c r="ACH1478" s="5"/>
      <c r="ACI1478" s="5"/>
      <c r="ACJ1478" s="5"/>
      <c r="ACK1478" s="5"/>
      <c r="ACL1478" s="5"/>
      <c r="ACM1478" s="5"/>
      <c r="ACN1478" s="5"/>
      <c r="ACO1478" s="5"/>
      <c r="ACP1478" s="5"/>
      <c r="ACQ1478" s="5"/>
      <c r="ACR1478" s="5"/>
      <c r="ACS1478" s="5"/>
      <c r="ACT1478" s="5"/>
      <c r="ACU1478" s="5"/>
      <c r="ACV1478" s="5"/>
      <c r="ACW1478" s="5"/>
      <c r="ACX1478" s="5"/>
      <c r="ACY1478" s="5"/>
      <c r="ACZ1478" s="5"/>
      <c r="ADA1478" s="5"/>
      <c r="ADB1478" s="5"/>
      <c r="ADC1478" s="5"/>
      <c r="ADD1478" s="5"/>
      <c r="ADE1478" s="5"/>
      <c r="ADF1478" s="5"/>
      <c r="ADG1478" s="5"/>
      <c r="ADH1478" s="5"/>
      <c r="ADI1478" s="5"/>
      <c r="ADJ1478" s="5"/>
      <c r="ADK1478" s="5"/>
      <c r="ADL1478" s="5"/>
      <c r="ADM1478" s="5"/>
      <c r="ADN1478" s="5"/>
      <c r="ADO1478" s="5"/>
      <c r="ADP1478" s="5"/>
      <c r="ADQ1478" s="5"/>
      <c r="ADR1478" s="5"/>
      <c r="ADS1478" s="5"/>
      <c r="ADT1478" s="5"/>
      <c r="ADU1478" s="5"/>
      <c r="ADV1478" s="5"/>
      <c r="ADW1478" s="5"/>
      <c r="ADX1478" s="5"/>
      <c r="ADY1478" s="5"/>
      <c r="ADZ1478" s="5"/>
      <c r="AEA1478" s="5"/>
      <c r="AEB1478" s="5"/>
      <c r="AEC1478" s="5"/>
      <c r="AED1478" s="5"/>
      <c r="AEE1478" s="5"/>
      <c r="AEF1478" s="5"/>
      <c r="AEG1478" s="5"/>
      <c r="AEH1478" s="5"/>
      <c r="AEI1478" s="5"/>
      <c r="AEJ1478" s="5"/>
      <c r="AEK1478" s="5"/>
      <c r="AEL1478" s="5"/>
      <c r="AEM1478" s="5"/>
      <c r="AEN1478" s="5"/>
      <c r="AEO1478" s="5"/>
      <c r="AEP1478" s="5"/>
      <c r="AEQ1478" s="5"/>
      <c r="AER1478" s="5"/>
      <c r="AES1478" s="5"/>
      <c r="AET1478" s="5"/>
      <c r="AEU1478" s="5"/>
      <c r="AEV1478" s="5"/>
      <c r="AEW1478" s="5"/>
      <c r="AEX1478" s="5"/>
      <c r="AEY1478" s="5"/>
      <c r="AEZ1478" s="5"/>
      <c r="AFA1478" s="5"/>
      <c r="AFB1478" s="5"/>
      <c r="AFC1478" s="5"/>
      <c r="AFD1478" s="5"/>
      <c r="AFE1478" s="5"/>
      <c r="AFF1478" s="5"/>
      <c r="AFG1478" s="5"/>
      <c r="AFH1478" s="5"/>
      <c r="AFI1478" s="5"/>
      <c r="AFJ1478" s="5"/>
      <c r="AFK1478" s="5"/>
      <c r="AFL1478" s="5"/>
      <c r="AFM1478" s="5"/>
      <c r="AFN1478" s="5"/>
      <c r="AFO1478" s="5"/>
      <c r="AFP1478" s="5"/>
      <c r="AFQ1478" s="5"/>
      <c r="AFR1478" s="5"/>
      <c r="AFS1478" s="5"/>
      <c r="AFT1478" s="5"/>
      <c r="AFU1478" s="5"/>
      <c r="AFV1478" s="5"/>
      <c r="AFW1478" s="5"/>
      <c r="AFX1478" s="5"/>
      <c r="AFY1478" s="5"/>
      <c r="AFZ1478" s="5"/>
      <c r="AGA1478" s="5"/>
      <c r="AGB1478" s="5"/>
      <c r="AGC1478" s="5"/>
      <c r="AGD1478" s="5"/>
      <c r="AGE1478" s="5"/>
      <c r="AGF1478" s="5"/>
      <c r="AGG1478" s="5"/>
      <c r="AGH1478" s="5"/>
      <c r="AGI1478" s="5"/>
      <c r="AGJ1478" s="5"/>
      <c r="AGK1478" s="5"/>
      <c r="AGL1478" s="5"/>
      <c r="AGM1478" s="5"/>
      <c r="AGN1478" s="5"/>
      <c r="AGO1478" s="5"/>
      <c r="AGP1478" s="5"/>
      <c r="AGQ1478" s="5"/>
      <c r="AGR1478" s="5"/>
      <c r="AGS1478" s="5"/>
      <c r="AGT1478" s="5"/>
      <c r="AGU1478" s="5"/>
      <c r="AGV1478" s="5"/>
      <c r="AGW1478" s="5"/>
      <c r="AGX1478" s="5"/>
      <c r="AGY1478" s="5"/>
      <c r="AGZ1478" s="5"/>
      <c r="AHA1478" s="5"/>
      <c r="AHB1478" s="5"/>
      <c r="AHC1478" s="5"/>
      <c r="AHD1478" s="5"/>
      <c r="AHE1478" s="5"/>
      <c r="AHF1478" s="5"/>
      <c r="AHG1478" s="5"/>
      <c r="AHH1478" s="5"/>
      <c r="AHI1478" s="5"/>
      <c r="AHJ1478" s="5"/>
      <c r="AHK1478" s="5"/>
      <c r="AHL1478" s="5"/>
      <c r="AHM1478" s="5"/>
      <c r="AHN1478" s="5"/>
      <c r="AHO1478" s="5"/>
      <c r="AHP1478" s="5"/>
      <c r="AHQ1478" s="5"/>
      <c r="AHR1478" s="5"/>
      <c r="AHS1478" s="5"/>
      <c r="AHT1478" s="5"/>
      <c r="AHU1478" s="5"/>
      <c r="AHV1478" s="5"/>
      <c r="AHW1478" s="5"/>
      <c r="AHX1478" s="5"/>
      <c r="AHY1478" s="5"/>
      <c r="AHZ1478" s="5"/>
      <c r="AIA1478" s="5"/>
      <c r="AIB1478" s="5"/>
      <c r="AIC1478" s="5"/>
      <c r="AID1478" s="5"/>
      <c r="AIE1478" s="5"/>
      <c r="AIF1478" s="5"/>
      <c r="AIG1478" s="5"/>
      <c r="AIH1478" s="5"/>
      <c r="AII1478" s="5"/>
      <c r="AIJ1478" s="5"/>
      <c r="AIK1478" s="5"/>
      <c r="AIL1478" s="5"/>
      <c r="AIM1478" s="5"/>
      <c r="AIN1478" s="5"/>
      <c r="AIO1478" s="5"/>
      <c r="AIP1478" s="5"/>
      <c r="AIQ1478" s="5"/>
      <c r="AIR1478" s="5"/>
      <c r="AIS1478" s="5"/>
      <c r="AIT1478" s="5"/>
      <c r="AIU1478" s="5"/>
      <c r="AIV1478" s="5"/>
      <c r="AIW1478" s="5"/>
      <c r="AIX1478" s="5"/>
      <c r="AIY1478" s="5"/>
      <c r="AIZ1478" s="5"/>
      <c r="AJA1478" s="5"/>
      <c r="AJB1478" s="5"/>
      <c r="AJC1478" s="5"/>
      <c r="AJD1478" s="5"/>
      <c r="AJE1478" s="5"/>
      <c r="AJF1478" s="5"/>
      <c r="AJG1478" s="5"/>
      <c r="AJH1478" s="5"/>
      <c r="AJI1478" s="5"/>
      <c r="AJJ1478" s="5"/>
      <c r="AJK1478" s="5"/>
      <c r="AJL1478" s="5"/>
      <c r="AJM1478" s="5"/>
      <c r="AJN1478" s="5"/>
      <c r="AJO1478" s="5"/>
      <c r="AJP1478" s="5"/>
      <c r="AJQ1478" s="5"/>
      <c r="AJR1478" s="5"/>
      <c r="AJS1478" s="5"/>
      <c r="AJT1478" s="5"/>
      <c r="AJU1478" s="5"/>
      <c r="AJV1478" s="5"/>
      <c r="AJW1478" s="5"/>
      <c r="AJX1478" s="5"/>
      <c r="AJY1478" s="5"/>
      <c r="AJZ1478" s="5"/>
      <c r="AKA1478" s="5"/>
      <c r="AKB1478" s="5"/>
      <c r="AKC1478" s="5"/>
      <c r="AKD1478" s="5"/>
      <c r="AKE1478" s="5"/>
      <c r="AKF1478" s="5"/>
      <c r="AKG1478" s="5"/>
      <c r="AKH1478" s="5"/>
      <c r="AKI1478" s="5"/>
      <c r="AKJ1478" s="5"/>
      <c r="AKK1478" s="5"/>
      <c r="AKL1478" s="5"/>
      <c r="AKM1478" s="5"/>
      <c r="AKN1478" s="5"/>
      <c r="AKO1478" s="5"/>
      <c r="AKP1478" s="5"/>
      <c r="AKQ1478" s="5"/>
      <c r="AKR1478" s="5"/>
      <c r="AKS1478" s="5"/>
      <c r="AKT1478" s="5"/>
      <c r="AKU1478" s="5"/>
      <c r="AKV1478" s="5"/>
      <c r="AKW1478" s="5"/>
      <c r="AKX1478" s="5"/>
      <c r="AKY1478" s="5"/>
      <c r="AKZ1478" s="5"/>
      <c r="ALA1478" s="5"/>
      <c r="ALB1478" s="5"/>
      <c r="ALC1478" s="5"/>
      <c r="ALD1478" s="5"/>
      <c r="ALE1478" s="5"/>
      <c r="ALF1478" s="5"/>
      <c r="ALG1478" s="5"/>
      <c r="ALH1478" s="5"/>
      <c r="ALI1478" s="5"/>
      <c r="ALJ1478" s="5"/>
      <c r="ALK1478" s="5"/>
      <c r="ALL1478" s="5"/>
      <c r="ALM1478" s="5"/>
      <c r="ALN1478" s="5"/>
      <c r="ALO1478" s="5"/>
      <c r="ALP1478" s="5"/>
      <c r="ALQ1478" s="5"/>
      <c r="ALR1478" s="5"/>
      <c r="ALS1478" s="5"/>
      <c r="ALT1478" s="5"/>
      <c r="ALU1478" s="5"/>
      <c r="ALV1478" s="5"/>
      <c r="ALW1478" s="5"/>
      <c r="ALX1478" s="5"/>
      <c r="ALY1478" s="5"/>
      <c r="ALZ1478" s="5"/>
      <c r="AMA1478" s="5"/>
      <c r="AMB1478" s="5"/>
      <c r="AMC1478" s="5"/>
      <c r="AMD1478" s="5"/>
      <c r="AME1478" s="5"/>
      <c r="AMF1478" s="5"/>
      <c r="AMG1478" s="5"/>
      <c r="AMH1478" s="5"/>
      <c r="AMI1478" s="5"/>
      <c r="AMJ1478" s="5"/>
      <c r="AMK1478" s="5"/>
      <c r="AML1478" s="5"/>
      <c r="AMM1478" s="5"/>
      <c r="AMN1478" s="5"/>
      <c r="AMO1478" s="5"/>
      <c r="AMP1478" s="5"/>
      <c r="AMQ1478" s="5"/>
      <c r="AMR1478" s="5"/>
      <c r="AMS1478" s="5"/>
      <c r="AMT1478" s="5"/>
      <c r="AMU1478" s="5"/>
      <c r="AMV1478" s="5"/>
      <c r="AMW1478" s="5"/>
      <c r="AMX1478" s="5"/>
      <c r="AMY1478" s="5"/>
      <c r="AMZ1478" s="5"/>
      <c r="ANA1478" s="5"/>
      <c r="ANB1478" s="5"/>
      <c r="ANC1478" s="5"/>
      <c r="AND1478" s="5"/>
      <c r="ANE1478" s="5"/>
      <c r="ANF1478" s="5"/>
      <c r="ANG1478" s="5"/>
      <c r="ANH1478" s="5"/>
      <c r="ANI1478" s="5"/>
      <c r="ANJ1478" s="5"/>
      <c r="ANK1478" s="5"/>
      <c r="ANL1478" s="5"/>
      <c r="ANM1478" s="5"/>
      <c r="ANN1478" s="5"/>
      <c r="ANO1478" s="5"/>
      <c r="ANP1478" s="5"/>
      <c r="ANQ1478" s="5"/>
      <c r="ANR1478" s="5"/>
      <c r="ANS1478" s="5"/>
      <c r="ANT1478" s="5"/>
      <c r="ANU1478" s="5"/>
      <c r="ANV1478" s="5"/>
      <c r="ANW1478" s="5"/>
      <c r="ANX1478" s="5"/>
      <c r="ANY1478" s="5"/>
      <c r="ANZ1478" s="5"/>
      <c r="AOA1478" s="5"/>
      <c r="AOB1478" s="5"/>
      <c r="AOC1478" s="5"/>
      <c r="AOD1478" s="5"/>
      <c r="AOE1478" s="5"/>
      <c r="AOF1478" s="5"/>
      <c r="AOG1478" s="5"/>
      <c r="AOH1478" s="5"/>
      <c r="AOI1478" s="5"/>
      <c r="AOJ1478" s="5"/>
      <c r="AOK1478" s="5"/>
      <c r="AOL1478" s="5"/>
      <c r="AOM1478" s="5"/>
      <c r="AON1478" s="5"/>
      <c r="AOO1478" s="5"/>
      <c r="AOP1478" s="5"/>
      <c r="AOQ1478" s="5"/>
      <c r="AOR1478" s="5"/>
      <c r="AOS1478" s="5"/>
      <c r="AOT1478" s="5"/>
      <c r="AOU1478" s="5"/>
      <c r="AOV1478" s="5"/>
      <c r="AOW1478" s="5"/>
      <c r="AOX1478" s="5"/>
      <c r="AOY1478" s="5"/>
      <c r="AOZ1478" s="5"/>
      <c r="APA1478" s="5"/>
      <c r="APB1478" s="5"/>
      <c r="APC1478" s="5"/>
      <c r="APD1478" s="5"/>
      <c r="APE1478" s="5"/>
      <c r="APF1478" s="5"/>
      <c r="APG1478" s="5"/>
      <c r="APH1478" s="5"/>
      <c r="API1478" s="5"/>
      <c r="APJ1478" s="5"/>
      <c r="APK1478" s="5"/>
      <c r="APL1478" s="5"/>
      <c r="APM1478" s="5"/>
      <c r="APN1478" s="5"/>
      <c r="APO1478" s="5"/>
      <c r="APP1478" s="5"/>
      <c r="APQ1478" s="5"/>
      <c r="APR1478" s="5"/>
      <c r="APS1478" s="5"/>
      <c r="APT1478" s="5"/>
      <c r="APU1478" s="5"/>
      <c r="APV1478" s="5"/>
      <c r="APW1478" s="5"/>
      <c r="APX1478" s="5"/>
      <c r="APY1478" s="5"/>
      <c r="APZ1478" s="5"/>
      <c r="AQA1478" s="5"/>
      <c r="AQB1478" s="5"/>
      <c r="AQC1478" s="5"/>
      <c r="AQD1478" s="5"/>
      <c r="AQE1478" s="5"/>
      <c r="AQF1478" s="5"/>
      <c r="AQG1478" s="5"/>
      <c r="AQH1478" s="5"/>
      <c r="AQI1478" s="5"/>
      <c r="AQJ1478" s="5"/>
      <c r="AQK1478" s="5"/>
      <c r="AQL1478" s="5"/>
      <c r="AQM1478" s="5"/>
      <c r="AQN1478" s="5"/>
      <c r="AQO1478" s="5"/>
      <c r="AQP1478" s="5"/>
      <c r="AQQ1478" s="5"/>
      <c r="AQR1478" s="5"/>
      <c r="AQS1478" s="5"/>
      <c r="AQT1478" s="5"/>
      <c r="AQU1478" s="5"/>
      <c r="AQV1478" s="5"/>
      <c r="AQW1478" s="5"/>
      <c r="AQX1478" s="5"/>
      <c r="AQY1478" s="5"/>
      <c r="AQZ1478" s="5"/>
      <c r="ARA1478" s="5"/>
      <c r="ARB1478" s="5"/>
      <c r="ARC1478" s="5"/>
      <c r="ARD1478" s="5"/>
      <c r="ARE1478" s="5"/>
      <c r="ARF1478" s="5"/>
      <c r="ARG1478" s="5"/>
      <c r="ARH1478" s="5"/>
      <c r="ARI1478" s="5"/>
      <c r="ARJ1478" s="5"/>
      <c r="ARK1478" s="5"/>
      <c r="ARL1478" s="5"/>
      <c r="ARM1478" s="5"/>
      <c r="ARN1478" s="5"/>
      <c r="ARO1478" s="5"/>
      <c r="ARP1478" s="5"/>
      <c r="ARQ1478" s="5"/>
      <c r="ARR1478" s="5"/>
      <c r="ARS1478" s="5"/>
      <c r="ART1478" s="5"/>
      <c r="ARU1478" s="5"/>
      <c r="ARV1478" s="5"/>
      <c r="ARW1478" s="5"/>
      <c r="ARX1478" s="5"/>
      <c r="ARY1478" s="5"/>
      <c r="ARZ1478" s="5"/>
      <c r="ASA1478" s="5"/>
      <c r="ASB1478" s="5"/>
      <c r="ASC1478" s="5"/>
      <c r="ASD1478" s="5"/>
      <c r="ASE1478" s="5"/>
      <c r="ASF1478" s="5"/>
      <c r="ASG1478" s="5"/>
      <c r="ASH1478" s="5"/>
      <c r="ASI1478" s="5"/>
      <c r="ASJ1478" s="5"/>
      <c r="ASK1478" s="5"/>
      <c r="ASL1478" s="5"/>
      <c r="ASM1478" s="5"/>
      <c r="ASN1478" s="5"/>
      <c r="ASO1478" s="5"/>
      <c r="ASP1478" s="5"/>
      <c r="ASQ1478" s="5"/>
      <c r="ASR1478" s="5"/>
      <c r="ASS1478" s="5"/>
      <c r="AST1478" s="5"/>
      <c r="ASU1478" s="5"/>
      <c r="ASV1478" s="5"/>
      <c r="ASW1478" s="5"/>
      <c r="ASX1478" s="5"/>
      <c r="ASY1478" s="5"/>
      <c r="ASZ1478" s="5"/>
      <c r="ATA1478" s="5"/>
      <c r="ATB1478" s="5"/>
      <c r="ATC1478" s="5"/>
      <c r="ATD1478" s="5"/>
      <c r="ATE1478" s="5"/>
      <c r="ATF1478" s="5"/>
      <c r="ATG1478" s="5"/>
      <c r="ATH1478" s="5"/>
      <c r="ATI1478" s="5"/>
      <c r="ATJ1478" s="5"/>
      <c r="ATK1478" s="5"/>
      <c r="ATL1478" s="5"/>
      <c r="ATM1478" s="5"/>
      <c r="ATN1478" s="5"/>
      <c r="ATO1478" s="5"/>
      <c r="ATP1478" s="5"/>
      <c r="ATQ1478" s="5"/>
      <c r="ATR1478" s="5"/>
      <c r="ATS1478" s="5"/>
      <c r="ATT1478" s="5"/>
      <c r="ATU1478" s="5"/>
      <c r="ATV1478" s="5"/>
      <c r="ATW1478" s="5"/>
      <c r="ATX1478" s="5"/>
    </row>
    <row r="1479" spans="1:1220" ht="12.75" customHeight="1" x14ac:dyDescent="0.35">
      <c r="A1479" s="208" t="s">
        <v>1039</v>
      </c>
      <c r="B1479" s="99" t="s">
        <v>2098</v>
      </c>
      <c r="C1479" s="76" t="s">
        <v>4067</v>
      </c>
      <c r="D1479" s="385" t="s">
        <v>4068</v>
      </c>
      <c r="E1479" s="385" t="s">
        <v>4069</v>
      </c>
    </row>
    <row r="1480" spans="1:1220" s="197" customFormat="1" ht="12.75" customHeight="1" x14ac:dyDescent="0.35">
      <c r="A1480" s="76" t="s">
        <v>1039</v>
      </c>
      <c r="B1480" s="99" t="s">
        <v>109</v>
      </c>
      <c r="C1480" s="76" t="s">
        <v>4070</v>
      </c>
      <c r="D1480" s="79" t="s">
        <v>4071</v>
      </c>
      <c r="E1480" s="76"/>
      <c r="F1480" s="5"/>
      <c r="G1480" s="5"/>
      <c r="H1480" s="5"/>
      <c r="I1480" s="5"/>
      <c r="J1480" s="5"/>
      <c r="K1480" s="5"/>
      <c r="L1480" s="5"/>
      <c r="M1480" s="5"/>
      <c r="N1480" s="5"/>
      <c r="O1480" s="5"/>
      <c r="P1480" s="5"/>
      <c r="Q1480" s="5"/>
      <c r="R1480" s="5"/>
      <c r="S1480" s="5"/>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c r="AT1480" s="5"/>
      <c r="AU1480" s="5"/>
      <c r="AV1480" s="5"/>
      <c r="AW1480" s="5"/>
      <c r="AX1480" s="5"/>
      <c r="AY1480" s="5"/>
      <c r="AZ1480" s="5"/>
      <c r="BA1480" s="5"/>
      <c r="BB1480" s="5"/>
      <c r="BC1480" s="5"/>
      <c r="BD1480" s="5"/>
      <c r="BE1480" s="5"/>
      <c r="BF1480" s="5"/>
      <c r="BG1480" s="5"/>
      <c r="BH1480" s="5"/>
      <c r="BI1480" s="5"/>
      <c r="BJ1480" s="5"/>
      <c r="BK1480" s="5"/>
      <c r="BL1480" s="5"/>
      <c r="BM1480" s="5"/>
      <c r="BN1480" s="5"/>
      <c r="BO1480" s="5"/>
      <c r="BP1480" s="5"/>
      <c r="BQ1480" s="5"/>
      <c r="BR1480" s="5"/>
      <c r="BS1480" s="5"/>
      <c r="BT1480" s="5"/>
      <c r="BU1480" s="5"/>
      <c r="BV1480" s="5"/>
      <c r="BW1480" s="5"/>
      <c r="BX1480" s="5"/>
      <c r="BY1480" s="5"/>
      <c r="BZ1480" s="5"/>
      <c r="CA1480" s="5"/>
      <c r="CB1480" s="5"/>
      <c r="CC1480" s="5"/>
      <c r="CD1480" s="5"/>
      <c r="CE1480" s="5"/>
      <c r="CF1480" s="5"/>
      <c r="CG1480" s="5"/>
      <c r="CH1480" s="5"/>
      <c r="CI1480" s="5"/>
      <c r="CJ1480" s="5"/>
      <c r="CK1480" s="5"/>
      <c r="CL1480" s="5"/>
      <c r="CM1480" s="5"/>
      <c r="CN1480" s="5"/>
      <c r="CO1480" s="5"/>
      <c r="CP1480" s="5"/>
      <c r="CQ1480" s="5"/>
      <c r="CR1480" s="5"/>
      <c r="CS1480" s="5"/>
      <c r="CT1480" s="5"/>
      <c r="CU1480" s="5"/>
      <c r="CV1480" s="5"/>
      <c r="CW1480" s="5"/>
      <c r="CX1480" s="5"/>
      <c r="CY1480" s="5"/>
      <c r="CZ1480" s="5"/>
      <c r="DA1480" s="5"/>
      <c r="DB1480" s="5"/>
      <c r="DC1480" s="5"/>
      <c r="DD1480" s="5"/>
      <c r="DE1480" s="5"/>
      <c r="DF1480" s="5"/>
      <c r="DG1480" s="5"/>
      <c r="DH1480" s="5"/>
      <c r="DI1480" s="5"/>
      <c r="DJ1480" s="5"/>
      <c r="DK1480" s="5"/>
      <c r="DL1480" s="5"/>
      <c r="DM1480" s="5"/>
      <c r="DN1480" s="5"/>
      <c r="DO1480" s="5"/>
      <c r="DP1480" s="5"/>
      <c r="DQ1480" s="5"/>
      <c r="DR1480" s="5"/>
      <c r="DS1480" s="5"/>
      <c r="DT1480" s="5"/>
      <c r="DU1480" s="5"/>
      <c r="DV1480" s="5"/>
      <c r="DW1480" s="5"/>
      <c r="DX1480" s="5"/>
      <c r="DY1480" s="5"/>
      <c r="DZ1480" s="5"/>
      <c r="EA1480" s="5"/>
      <c r="EB1480" s="5"/>
      <c r="EC1480" s="5"/>
      <c r="ED1480" s="5"/>
      <c r="EE1480" s="5"/>
      <c r="EF1480" s="5"/>
      <c r="EG1480" s="5"/>
      <c r="EH1480" s="5"/>
      <c r="EI1480" s="5"/>
      <c r="EJ1480" s="5"/>
      <c r="EK1480" s="5"/>
      <c r="EL1480" s="5"/>
      <c r="EM1480" s="5"/>
      <c r="EN1480" s="5"/>
      <c r="EO1480" s="5"/>
      <c r="EP1480" s="5"/>
      <c r="EQ1480" s="5"/>
      <c r="ER1480" s="5"/>
      <c r="ES1480" s="5"/>
      <c r="ET1480" s="5"/>
      <c r="EU1480" s="5"/>
      <c r="EV1480" s="5"/>
      <c r="EW1480" s="5"/>
      <c r="EX1480" s="5"/>
      <c r="EY1480" s="5"/>
      <c r="EZ1480" s="5"/>
      <c r="FA1480" s="5"/>
      <c r="FB1480" s="5"/>
      <c r="FC1480" s="5"/>
      <c r="FD1480" s="5"/>
      <c r="FE1480" s="5"/>
      <c r="FF1480" s="5"/>
      <c r="FG1480" s="5"/>
      <c r="FH1480" s="5"/>
      <c r="FI1480" s="5"/>
      <c r="FJ1480" s="5"/>
      <c r="FK1480" s="5"/>
      <c r="FL1480" s="5"/>
      <c r="FM1480" s="5"/>
      <c r="FN1480" s="5"/>
      <c r="FO1480" s="5"/>
      <c r="FP1480" s="5"/>
      <c r="FQ1480" s="5"/>
      <c r="FR1480" s="5"/>
      <c r="FS1480" s="5"/>
      <c r="FT1480" s="5"/>
      <c r="FU1480" s="5"/>
      <c r="FV1480" s="5"/>
      <c r="FW1480" s="5"/>
      <c r="FX1480" s="5"/>
      <c r="FY1480" s="5"/>
      <c r="FZ1480" s="5"/>
      <c r="GA1480" s="5"/>
      <c r="GB1480" s="5"/>
      <c r="GC1480" s="5"/>
      <c r="GD1480" s="5"/>
      <c r="GE1480" s="5"/>
      <c r="GF1480" s="5"/>
      <c r="GG1480" s="5"/>
      <c r="GH1480" s="5"/>
      <c r="GI1480" s="5"/>
      <c r="GJ1480" s="5"/>
      <c r="GK1480" s="5"/>
      <c r="GL1480" s="5"/>
      <c r="GM1480" s="5"/>
      <c r="GN1480" s="5"/>
      <c r="GO1480" s="5"/>
      <c r="GP1480" s="5"/>
      <c r="GQ1480" s="5"/>
      <c r="GR1480" s="5"/>
      <c r="GS1480" s="5"/>
      <c r="GT1480" s="5"/>
      <c r="GU1480" s="5"/>
      <c r="GV1480" s="5"/>
      <c r="GW1480" s="5"/>
      <c r="GX1480" s="5"/>
      <c r="GY1480" s="5"/>
      <c r="GZ1480" s="5"/>
      <c r="HA1480" s="5"/>
      <c r="HB1480" s="5"/>
      <c r="HC1480" s="5"/>
      <c r="HD1480" s="5"/>
      <c r="HE1480" s="5"/>
      <c r="HF1480" s="5"/>
      <c r="HG1480" s="5"/>
      <c r="HH1480" s="5"/>
      <c r="HI1480" s="5"/>
      <c r="HJ1480" s="5"/>
      <c r="HK1480" s="5"/>
      <c r="HL1480" s="5"/>
      <c r="HM1480" s="5"/>
      <c r="HN1480" s="5"/>
      <c r="HO1480" s="5"/>
      <c r="HP1480" s="5"/>
      <c r="HQ1480" s="5"/>
      <c r="HR1480" s="5"/>
      <c r="HS1480" s="5"/>
      <c r="HT1480" s="5"/>
      <c r="HU1480" s="5"/>
      <c r="HV1480" s="5"/>
      <c r="HW1480" s="5"/>
      <c r="HX1480" s="5"/>
      <c r="HY1480" s="5"/>
      <c r="HZ1480" s="5"/>
      <c r="IA1480" s="5"/>
      <c r="IB1480" s="5"/>
      <c r="IC1480" s="5"/>
      <c r="ID1480" s="5"/>
      <c r="IE1480" s="5"/>
      <c r="IF1480" s="5"/>
      <c r="IG1480" s="5"/>
      <c r="IH1480" s="5"/>
      <c r="II1480" s="5"/>
      <c r="IJ1480" s="5"/>
      <c r="IK1480" s="5"/>
      <c r="IL1480" s="5"/>
      <c r="IM1480" s="5"/>
      <c r="IN1480" s="5"/>
      <c r="IO1480" s="5"/>
      <c r="IP1480" s="5"/>
      <c r="IQ1480" s="5"/>
      <c r="IR1480" s="5"/>
      <c r="IS1480" s="5"/>
      <c r="IT1480" s="5"/>
      <c r="IU1480" s="5"/>
      <c r="IV1480" s="5"/>
      <c r="IW1480" s="5"/>
      <c r="IX1480" s="5"/>
      <c r="IY1480" s="5"/>
      <c r="IZ1480" s="5"/>
      <c r="JA1480" s="5"/>
      <c r="JB1480" s="5"/>
      <c r="JC1480" s="5"/>
      <c r="JD1480" s="5"/>
      <c r="JE1480" s="5"/>
      <c r="JF1480" s="5"/>
      <c r="JG1480" s="5"/>
      <c r="JH1480" s="5"/>
      <c r="JI1480" s="5"/>
      <c r="JJ1480" s="5"/>
      <c r="JK1480" s="5"/>
      <c r="JL1480" s="5"/>
      <c r="JM1480" s="5"/>
      <c r="JN1480" s="5"/>
      <c r="JO1480" s="5"/>
      <c r="JP1480" s="5"/>
      <c r="JQ1480" s="5"/>
      <c r="JR1480" s="5"/>
      <c r="JS1480" s="5"/>
      <c r="JT1480" s="5"/>
      <c r="JU1480" s="5"/>
      <c r="JV1480" s="5"/>
      <c r="JW1480" s="5"/>
      <c r="JX1480" s="5"/>
      <c r="JY1480" s="5"/>
      <c r="JZ1480" s="5"/>
      <c r="KA1480" s="5"/>
      <c r="KB1480" s="5"/>
      <c r="KC1480" s="5"/>
      <c r="KD1480" s="5"/>
      <c r="KE1480" s="5"/>
      <c r="KF1480" s="5"/>
      <c r="KG1480" s="5"/>
      <c r="KH1480" s="5"/>
      <c r="KI1480" s="5"/>
      <c r="KJ1480" s="5"/>
      <c r="KK1480" s="5"/>
      <c r="KL1480" s="5"/>
      <c r="KM1480" s="5"/>
      <c r="KN1480" s="5"/>
      <c r="KO1480" s="5"/>
      <c r="KP1480" s="5"/>
      <c r="KQ1480" s="5"/>
      <c r="KR1480" s="5"/>
      <c r="KS1480" s="5"/>
      <c r="KT1480" s="5"/>
      <c r="KU1480" s="5"/>
      <c r="KV1480" s="5"/>
      <c r="KW1480" s="5"/>
      <c r="KX1480" s="5"/>
      <c r="KY1480" s="5"/>
      <c r="KZ1480" s="5"/>
      <c r="LA1480" s="5"/>
      <c r="LB1480" s="5"/>
      <c r="LC1480" s="5"/>
      <c r="LD1480" s="5"/>
      <c r="LE1480" s="5"/>
      <c r="LF1480" s="5"/>
      <c r="LG1480" s="5"/>
      <c r="LH1480" s="5"/>
      <c r="LI1480" s="5"/>
      <c r="LJ1480" s="5"/>
      <c r="LK1480" s="5"/>
      <c r="LL1480" s="5"/>
      <c r="LM1480" s="5"/>
      <c r="LN1480" s="5"/>
      <c r="LO1480" s="5"/>
      <c r="LP1480" s="5"/>
      <c r="LQ1480" s="5"/>
      <c r="LR1480" s="5"/>
      <c r="LS1480" s="5"/>
      <c r="LT1480" s="5"/>
      <c r="LU1480" s="5"/>
      <c r="LV1480" s="5"/>
      <c r="LW1480" s="5"/>
      <c r="LX1480" s="5"/>
      <c r="LY1480" s="5"/>
      <c r="LZ1480" s="5"/>
      <c r="MA1480" s="5"/>
      <c r="MB1480" s="5"/>
      <c r="MC1480" s="5"/>
      <c r="MD1480" s="5"/>
      <c r="ME1480" s="5"/>
      <c r="MF1480" s="5"/>
      <c r="MG1480" s="5"/>
      <c r="MH1480" s="5"/>
      <c r="MI1480" s="5"/>
      <c r="MJ1480" s="5"/>
      <c r="MK1480" s="5"/>
      <c r="ML1480" s="5"/>
      <c r="MM1480" s="5"/>
      <c r="MN1480" s="5"/>
      <c r="MO1480" s="5"/>
      <c r="MP1480" s="5"/>
      <c r="MQ1480" s="5"/>
      <c r="MR1480" s="5"/>
      <c r="MS1480" s="5"/>
      <c r="MT1480" s="5"/>
      <c r="MU1480" s="5"/>
      <c r="MV1480" s="5"/>
      <c r="MW1480" s="5"/>
      <c r="MX1480" s="5"/>
      <c r="MY1480" s="5"/>
      <c r="MZ1480" s="5"/>
      <c r="NA1480" s="5"/>
      <c r="NB1480" s="5"/>
      <c r="NC1480" s="5"/>
      <c r="ND1480" s="5"/>
      <c r="NE1480" s="5"/>
      <c r="NF1480" s="5"/>
      <c r="NG1480" s="5"/>
      <c r="NH1480" s="5"/>
      <c r="NI1480" s="5"/>
      <c r="NJ1480" s="5"/>
      <c r="NK1480" s="5"/>
      <c r="NL1480" s="5"/>
      <c r="NM1480" s="5"/>
      <c r="NN1480" s="5"/>
      <c r="NO1480" s="5"/>
      <c r="NP1480" s="5"/>
      <c r="NQ1480" s="5"/>
      <c r="NR1480" s="5"/>
      <c r="NS1480" s="5"/>
      <c r="NT1480" s="5"/>
      <c r="NU1480" s="5"/>
      <c r="NV1480" s="5"/>
      <c r="NW1480" s="5"/>
      <c r="NX1480" s="5"/>
      <c r="NY1480" s="5"/>
      <c r="NZ1480" s="5"/>
      <c r="OA1480" s="5"/>
      <c r="OB1480" s="5"/>
      <c r="OC1480" s="5"/>
      <c r="OD1480" s="5"/>
      <c r="OE1480" s="5"/>
      <c r="OF1480" s="5"/>
      <c r="OG1480" s="5"/>
      <c r="OH1480" s="5"/>
      <c r="OI1480" s="5"/>
      <c r="OJ1480" s="5"/>
      <c r="OK1480" s="5"/>
      <c r="OL1480" s="5"/>
      <c r="OM1480" s="5"/>
      <c r="ON1480" s="5"/>
      <c r="OO1480" s="5"/>
      <c r="OP1480" s="5"/>
      <c r="OQ1480" s="5"/>
      <c r="OR1480" s="5"/>
      <c r="OS1480" s="5"/>
      <c r="OT1480" s="5"/>
      <c r="OU1480" s="5"/>
      <c r="OV1480" s="5"/>
      <c r="OW1480" s="5"/>
      <c r="OX1480" s="5"/>
      <c r="OY1480" s="5"/>
      <c r="OZ1480" s="5"/>
      <c r="PA1480" s="5"/>
      <c r="PB1480" s="5"/>
      <c r="PC1480" s="5"/>
      <c r="PD1480" s="5"/>
      <c r="PE1480" s="5"/>
      <c r="PF1480" s="5"/>
      <c r="PG1480" s="5"/>
      <c r="PH1480" s="5"/>
      <c r="PI1480" s="5"/>
      <c r="PJ1480" s="5"/>
      <c r="PK1480" s="5"/>
      <c r="PL1480" s="5"/>
      <c r="PM1480" s="5"/>
      <c r="PN1480" s="5"/>
      <c r="PO1480" s="5"/>
      <c r="PP1480" s="5"/>
      <c r="PQ1480" s="5"/>
      <c r="PR1480" s="5"/>
      <c r="PS1480" s="5"/>
      <c r="PT1480" s="5"/>
      <c r="PU1480" s="5"/>
      <c r="PV1480" s="5"/>
      <c r="PW1480" s="5"/>
      <c r="PX1480" s="5"/>
      <c r="PY1480" s="5"/>
      <c r="PZ1480" s="5"/>
      <c r="QA1480" s="5"/>
      <c r="QB1480" s="5"/>
      <c r="QC1480" s="5"/>
      <c r="QD1480" s="5"/>
      <c r="QE1480" s="5"/>
      <c r="QF1480" s="5"/>
      <c r="QG1480" s="5"/>
      <c r="QH1480" s="5"/>
      <c r="QI1480" s="5"/>
      <c r="QJ1480" s="5"/>
      <c r="QK1480" s="5"/>
      <c r="QL1480" s="5"/>
      <c r="QM1480" s="5"/>
      <c r="QN1480" s="5"/>
      <c r="QO1480" s="5"/>
      <c r="QP1480" s="5"/>
      <c r="QQ1480" s="5"/>
      <c r="QR1480" s="5"/>
      <c r="QS1480" s="5"/>
      <c r="QT1480" s="5"/>
      <c r="QU1480" s="5"/>
      <c r="QV1480" s="5"/>
      <c r="QW1480" s="5"/>
      <c r="QX1480" s="5"/>
      <c r="QY1480" s="5"/>
      <c r="QZ1480" s="5"/>
      <c r="RA1480" s="5"/>
      <c r="RB1480" s="5"/>
      <c r="RC1480" s="5"/>
      <c r="RD1480" s="5"/>
      <c r="RE1480" s="5"/>
      <c r="RF1480" s="5"/>
      <c r="RG1480" s="5"/>
      <c r="RH1480" s="5"/>
      <c r="RI1480" s="5"/>
      <c r="RJ1480" s="5"/>
      <c r="RK1480" s="5"/>
      <c r="RL1480" s="5"/>
      <c r="RM1480" s="5"/>
      <c r="RN1480" s="5"/>
      <c r="RO1480" s="5"/>
      <c r="RP1480" s="5"/>
      <c r="RQ1480" s="5"/>
      <c r="RR1480" s="5"/>
      <c r="RS1480" s="5"/>
      <c r="RT1480" s="5"/>
      <c r="RU1480" s="5"/>
      <c r="RV1480" s="5"/>
      <c r="RW1480" s="5"/>
      <c r="RX1480" s="5"/>
      <c r="RY1480" s="5"/>
      <c r="RZ1480" s="5"/>
      <c r="SA1480" s="5"/>
      <c r="SB1480" s="5"/>
      <c r="SC1480" s="5"/>
      <c r="SD1480" s="5"/>
      <c r="SE1480" s="5"/>
      <c r="SF1480" s="5"/>
      <c r="SG1480" s="5"/>
      <c r="SH1480" s="5"/>
      <c r="SI1480" s="5"/>
      <c r="SJ1480" s="5"/>
      <c r="SK1480" s="5"/>
      <c r="SL1480" s="5"/>
      <c r="SM1480" s="5"/>
      <c r="SN1480" s="5"/>
      <c r="SO1480" s="5"/>
      <c r="SP1480" s="5"/>
      <c r="SQ1480" s="5"/>
      <c r="SR1480" s="5"/>
      <c r="SS1480" s="5"/>
      <c r="ST1480" s="5"/>
      <c r="SU1480" s="5"/>
      <c r="SV1480" s="5"/>
      <c r="SW1480" s="5"/>
      <c r="SX1480" s="5"/>
      <c r="SY1480" s="5"/>
      <c r="SZ1480" s="5"/>
      <c r="TA1480" s="5"/>
      <c r="TB1480" s="5"/>
      <c r="TC1480" s="5"/>
      <c r="TD1480" s="5"/>
      <c r="TE1480" s="5"/>
      <c r="TF1480" s="5"/>
      <c r="TG1480" s="5"/>
      <c r="TH1480" s="5"/>
      <c r="TI1480" s="5"/>
      <c r="TJ1480" s="5"/>
      <c r="TK1480" s="5"/>
      <c r="TL1480" s="5"/>
      <c r="TM1480" s="5"/>
      <c r="TN1480" s="5"/>
      <c r="TO1480" s="5"/>
      <c r="TP1480" s="5"/>
      <c r="TQ1480" s="5"/>
      <c r="TR1480" s="5"/>
      <c r="TS1480" s="5"/>
      <c r="TT1480" s="5"/>
      <c r="TU1480" s="5"/>
      <c r="TV1480" s="5"/>
      <c r="TW1480" s="5"/>
      <c r="TX1480" s="5"/>
      <c r="TY1480" s="5"/>
      <c r="TZ1480" s="5"/>
      <c r="UA1480" s="5"/>
      <c r="UB1480" s="5"/>
      <c r="UC1480" s="5"/>
      <c r="UD1480" s="5"/>
      <c r="UE1480" s="5"/>
      <c r="UF1480" s="5"/>
      <c r="UG1480" s="5"/>
      <c r="UH1480" s="5"/>
      <c r="UI1480" s="5"/>
      <c r="UJ1480" s="5"/>
      <c r="UK1480" s="5"/>
      <c r="UL1480" s="5"/>
      <c r="UM1480" s="5"/>
      <c r="UN1480" s="5"/>
      <c r="UO1480" s="5"/>
      <c r="UP1480" s="5"/>
      <c r="UQ1480" s="5"/>
      <c r="UR1480" s="5"/>
      <c r="US1480" s="5"/>
      <c r="UT1480" s="5"/>
      <c r="UU1480" s="5"/>
      <c r="UV1480" s="5"/>
      <c r="UW1480" s="5"/>
      <c r="UX1480" s="5"/>
      <c r="UY1480" s="5"/>
      <c r="UZ1480" s="5"/>
      <c r="VA1480" s="5"/>
      <c r="VB1480" s="5"/>
      <c r="VC1480" s="5"/>
      <c r="VD1480" s="5"/>
      <c r="VE1480" s="5"/>
      <c r="VF1480" s="5"/>
      <c r="VG1480" s="5"/>
      <c r="VH1480" s="5"/>
      <c r="VI1480" s="5"/>
      <c r="VJ1480" s="5"/>
      <c r="VK1480" s="5"/>
      <c r="VL1480" s="5"/>
      <c r="VM1480" s="5"/>
      <c r="VN1480" s="5"/>
      <c r="VO1480" s="5"/>
      <c r="VP1480" s="5"/>
      <c r="VQ1480" s="5"/>
      <c r="VR1480" s="5"/>
      <c r="VS1480" s="5"/>
      <c r="VT1480" s="5"/>
      <c r="VU1480" s="5"/>
      <c r="VV1480" s="5"/>
      <c r="VW1480" s="5"/>
      <c r="VX1480" s="5"/>
      <c r="VY1480" s="5"/>
      <c r="VZ1480" s="5"/>
      <c r="WA1480" s="5"/>
      <c r="WB1480" s="5"/>
      <c r="WC1480" s="5"/>
      <c r="WD1480" s="5"/>
      <c r="WE1480" s="5"/>
      <c r="WF1480" s="5"/>
      <c r="WG1480" s="5"/>
      <c r="WH1480" s="5"/>
      <c r="WI1480" s="5"/>
      <c r="WJ1480" s="5"/>
      <c r="WK1480" s="5"/>
      <c r="WL1480" s="5"/>
      <c r="WM1480" s="5"/>
      <c r="WN1480" s="5"/>
      <c r="WO1480" s="5"/>
      <c r="WP1480" s="5"/>
      <c r="WQ1480" s="5"/>
      <c r="WR1480" s="5"/>
      <c r="WS1480" s="5"/>
      <c r="WT1480" s="5"/>
      <c r="WU1480" s="5"/>
      <c r="WV1480" s="5"/>
      <c r="WW1480" s="5"/>
      <c r="WX1480" s="5"/>
      <c r="WY1480" s="5"/>
      <c r="WZ1480" s="5"/>
      <c r="XA1480" s="5"/>
      <c r="XB1480" s="5"/>
      <c r="XC1480" s="5"/>
      <c r="XD1480" s="5"/>
      <c r="XE1480" s="5"/>
      <c r="XF1480" s="5"/>
      <c r="XG1480" s="5"/>
      <c r="XH1480" s="5"/>
      <c r="XI1480" s="5"/>
      <c r="XJ1480" s="5"/>
      <c r="XK1480" s="5"/>
      <c r="XL1480" s="5"/>
      <c r="XM1480" s="5"/>
      <c r="XN1480" s="5"/>
      <c r="XO1480" s="5"/>
      <c r="XP1480" s="5"/>
      <c r="XQ1480" s="5"/>
      <c r="XR1480" s="5"/>
      <c r="XS1480" s="5"/>
      <c r="XT1480" s="5"/>
      <c r="XU1480" s="5"/>
      <c r="XV1480" s="5"/>
      <c r="XW1480" s="5"/>
      <c r="XX1480" s="5"/>
      <c r="XY1480" s="5"/>
      <c r="XZ1480" s="5"/>
      <c r="YA1480" s="5"/>
      <c r="YB1480" s="5"/>
      <c r="YC1480" s="5"/>
      <c r="YD1480" s="5"/>
      <c r="YE1480" s="5"/>
      <c r="YF1480" s="5"/>
      <c r="YG1480" s="5"/>
      <c r="YH1480" s="5"/>
      <c r="YI1480" s="5"/>
      <c r="YJ1480" s="5"/>
      <c r="YK1480" s="5"/>
      <c r="YL1480" s="5"/>
      <c r="YM1480" s="5"/>
      <c r="YN1480" s="5"/>
      <c r="YO1480" s="5"/>
      <c r="YP1480" s="5"/>
      <c r="YQ1480" s="5"/>
      <c r="YR1480" s="5"/>
      <c r="YS1480" s="5"/>
      <c r="YT1480" s="5"/>
      <c r="YU1480" s="5"/>
      <c r="YV1480" s="5"/>
      <c r="YW1480" s="5"/>
      <c r="YX1480" s="5"/>
      <c r="YY1480" s="5"/>
      <c r="YZ1480" s="5"/>
      <c r="ZA1480" s="5"/>
      <c r="ZB1480" s="5"/>
      <c r="ZC1480" s="5"/>
      <c r="ZD1480" s="5"/>
      <c r="ZE1480" s="5"/>
      <c r="ZF1480" s="5"/>
      <c r="ZG1480" s="5"/>
      <c r="ZH1480" s="5"/>
      <c r="ZI1480" s="5"/>
      <c r="ZJ1480" s="5"/>
      <c r="ZK1480" s="5"/>
      <c r="ZL1480" s="5"/>
      <c r="ZM1480" s="5"/>
      <c r="ZN1480" s="5"/>
      <c r="ZO1480" s="5"/>
      <c r="ZP1480" s="5"/>
      <c r="ZQ1480" s="5"/>
      <c r="ZR1480" s="5"/>
      <c r="ZS1480" s="5"/>
      <c r="ZT1480" s="5"/>
      <c r="ZU1480" s="5"/>
      <c r="ZV1480" s="5"/>
      <c r="ZW1480" s="5"/>
      <c r="ZX1480" s="5"/>
      <c r="ZY1480" s="5"/>
      <c r="ZZ1480" s="5"/>
      <c r="AAA1480" s="5"/>
      <c r="AAB1480" s="5"/>
      <c r="AAC1480" s="5"/>
      <c r="AAD1480" s="5"/>
      <c r="AAE1480" s="5"/>
      <c r="AAF1480" s="5"/>
      <c r="AAG1480" s="5"/>
      <c r="AAH1480" s="5"/>
      <c r="AAI1480" s="5"/>
      <c r="AAJ1480" s="5"/>
      <c r="AAK1480" s="5"/>
      <c r="AAL1480" s="5"/>
      <c r="AAM1480" s="5"/>
      <c r="AAN1480" s="5"/>
      <c r="AAO1480" s="5"/>
      <c r="AAP1480" s="5"/>
      <c r="AAQ1480" s="5"/>
      <c r="AAR1480" s="5"/>
      <c r="AAS1480" s="5"/>
      <c r="AAT1480" s="5"/>
      <c r="AAU1480" s="5"/>
      <c r="AAV1480" s="5"/>
      <c r="AAW1480" s="5"/>
      <c r="AAX1480" s="5"/>
      <c r="AAY1480" s="5"/>
      <c r="AAZ1480" s="5"/>
      <c r="ABA1480" s="5"/>
      <c r="ABB1480" s="5"/>
      <c r="ABC1480" s="5"/>
      <c r="ABD1480" s="5"/>
      <c r="ABE1480" s="5"/>
      <c r="ABF1480" s="5"/>
      <c r="ABG1480" s="5"/>
      <c r="ABH1480" s="5"/>
      <c r="ABI1480" s="5"/>
      <c r="ABJ1480" s="5"/>
      <c r="ABK1480" s="5"/>
      <c r="ABL1480" s="5"/>
      <c r="ABM1480" s="5"/>
      <c r="ABN1480" s="5"/>
      <c r="ABO1480" s="5"/>
      <c r="ABP1480" s="5"/>
      <c r="ABQ1480" s="5"/>
      <c r="ABR1480" s="5"/>
      <c r="ABS1480" s="5"/>
      <c r="ABT1480" s="5"/>
      <c r="ABU1480" s="5"/>
      <c r="ABV1480" s="5"/>
      <c r="ABW1480" s="5"/>
      <c r="ABX1480" s="5"/>
      <c r="ABY1480" s="5"/>
      <c r="ABZ1480" s="5"/>
      <c r="ACA1480" s="5"/>
      <c r="ACB1480" s="5"/>
      <c r="ACC1480" s="5"/>
      <c r="ACD1480" s="5"/>
      <c r="ACE1480" s="5"/>
      <c r="ACF1480" s="5"/>
      <c r="ACG1480" s="5"/>
      <c r="ACH1480" s="5"/>
      <c r="ACI1480" s="5"/>
      <c r="ACJ1480" s="5"/>
      <c r="ACK1480" s="5"/>
      <c r="ACL1480" s="5"/>
      <c r="ACM1480" s="5"/>
      <c r="ACN1480" s="5"/>
      <c r="ACO1480" s="5"/>
      <c r="ACP1480" s="5"/>
      <c r="ACQ1480" s="5"/>
      <c r="ACR1480" s="5"/>
      <c r="ACS1480" s="5"/>
      <c r="ACT1480" s="5"/>
      <c r="ACU1480" s="5"/>
      <c r="ACV1480" s="5"/>
      <c r="ACW1480" s="5"/>
      <c r="ACX1480" s="5"/>
      <c r="ACY1480" s="5"/>
      <c r="ACZ1480" s="5"/>
      <c r="ADA1480" s="5"/>
      <c r="ADB1480" s="5"/>
      <c r="ADC1480" s="5"/>
      <c r="ADD1480" s="5"/>
      <c r="ADE1480" s="5"/>
      <c r="ADF1480" s="5"/>
      <c r="ADG1480" s="5"/>
      <c r="ADH1480" s="5"/>
      <c r="ADI1480" s="5"/>
      <c r="ADJ1480" s="5"/>
      <c r="ADK1480" s="5"/>
      <c r="ADL1480" s="5"/>
      <c r="ADM1480" s="5"/>
      <c r="ADN1480" s="5"/>
      <c r="ADO1480" s="5"/>
      <c r="ADP1480" s="5"/>
      <c r="ADQ1480" s="5"/>
      <c r="ADR1480" s="5"/>
      <c r="ADS1480" s="5"/>
      <c r="ADT1480" s="5"/>
      <c r="ADU1480" s="5"/>
      <c r="ADV1480" s="5"/>
      <c r="ADW1480" s="5"/>
      <c r="ADX1480" s="5"/>
      <c r="ADY1480" s="5"/>
      <c r="ADZ1480" s="5"/>
      <c r="AEA1480" s="5"/>
      <c r="AEB1480" s="5"/>
      <c r="AEC1480" s="5"/>
      <c r="AED1480" s="5"/>
      <c r="AEE1480" s="5"/>
      <c r="AEF1480" s="5"/>
      <c r="AEG1480" s="5"/>
      <c r="AEH1480" s="5"/>
      <c r="AEI1480" s="5"/>
      <c r="AEJ1480" s="5"/>
      <c r="AEK1480" s="5"/>
      <c r="AEL1480" s="5"/>
      <c r="AEM1480" s="5"/>
      <c r="AEN1480" s="5"/>
      <c r="AEO1480" s="5"/>
      <c r="AEP1480" s="5"/>
      <c r="AEQ1480" s="5"/>
      <c r="AER1480" s="5"/>
      <c r="AES1480" s="5"/>
      <c r="AET1480" s="5"/>
      <c r="AEU1480" s="5"/>
      <c r="AEV1480" s="5"/>
      <c r="AEW1480" s="5"/>
      <c r="AEX1480" s="5"/>
      <c r="AEY1480" s="5"/>
      <c r="AEZ1480" s="5"/>
      <c r="AFA1480" s="5"/>
      <c r="AFB1480" s="5"/>
      <c r="AFC1480" s="5"/>
      <c r="AFD1480" s="5"/>
      <c r="AFE1480" s="5"/>
      <c r="AFF1480" s="5"/>
      <c r="AFG1480" s="5"/>
      <c r="AFH1480" s="5"/>
      <c r="AFI1480" s="5"/>
      <c r="AFJ1480" s="5"/>
      <c r="AFK1480" s="5"/>
      <c r="AFL1480" s="5"/>
      <c r="AFM1480" s="5"/>
      <c r="AFN1480" s="5"/>
      <c r="AFO1480" s="5"/>
      <c r="AFP1480" s="5"/>
      <c r="AFQ1480" s="5"/>
      <c r="AFR1480" s="5"/>
      <c r="AFS1480" s="5"/>
      <c r="AFT1480" s="5"/>
      <c r="AFU1480" s="5"/>
      <c r="AFV1480" s="5"/>
      <c r="AFW1480" s="5"/>
      <c r="AFX1480" s="5"/>
      <c r="AFY1480" s="5"/>
      <c r="AFZ1480" s="5"/>
      <c r="AGA1480" s="5"/>
      <c r="AGB1480" s="5"/>
      <c r="AGC1480" s="5"/>
      <c r="AGD1480" s="5"/>
      <c r="AGE1480" s="5"/>
      <c r="AGF1480" s="5"/>
      <c r="AGG1480" s="5"/>
      <c r="AGH1480" s="5"/>
      <c r="AGI1480" s="5"/>
      <c r="AGJ1480" s="5"/>
      <c r="AGK1480" s="5"/>
      <c r="AGL1480" s="5"/>
      <c r="AGM1480" s="5"/>
      <c r="AGN1480" s="5"/>
      <c r="AGO1480" s="5"/>
      <c r="AGP1480" s="5"/>
      <c r="AGQ1480" s="5"/>
      <c r="AGR1480" s="5"/>
      <c r="AGS1480" s="5"/>
      <c r="AGT1480" s="5"/>
      <c r="AGU1480" s="5"/>
      <c r="AGV1480" s="5"/>
      <c r="AGW1480" s="5"/>
      <c r="AGX1480" s="5"/>
      <c r="AGY1480" s="5"/>
      <c r="AGZ1480" s="5"/>
      <c r="AHA1480" s="5"/>
      <c r="AHB1480" s="5"/>
      <c r="AHC1480" s="5"/>
      <c r="AHD1480" s="5"/>
      <c r="AHE1480" s="5"/>
      <c r="AHF1480" s="5"/>
      <c r="AHG1480" s="5"/>
      <c r="AHH1480" s="5"/>
      <c r="AHI1480" s="5"/>
      <c r="AHJ1480" s="5"/>
      <c r="AHK1480" s="5"/>
      <c r="AHL1480" s="5"/>
      <c r="AHM1480" s="5"/>
      <c r="AHN1480" s="5"/>
      <c r="AHO1480" s="5"/>
      <c r="AHP1480" s="5"/>
      <c r="AHQ1480" s="5"/>
      <c r="AHR1480" s="5"/>
      <c r="AHS1480" s="5"/>
      <c r="AHT1480" s="5"/>
      <c r="AHU1480" s="5"/>
      <c r="AHV1480" s="5"/>
      <c r="AHW1480" s="5"/>
      <c r="AHX1480" s="5"/>
      <c r="AHY1480" s="5"/>
      <c r="AHZ1480" s="5"/>
      <c r="AIA1480" s="5"/>
      <c r="AIB1480" s="5"/>
      <c r="AIC1480" s="5"/>
      <c r="AID1480" s="5"/>
      <c r="AIE1480" s="5"/>
      <c r="AIF1480" s="5"/>
      <c r="AIG1480" s="5"/>
      <c r="AIH1480" s="5"/>
      <c r="AII1480" s="5"/>
      <c r="AIJ1480" s="5"/>
      <c r="AIK1480" s="5"/>
      <c r="AIL1480" s="5"/>
      <c r="AIM1480" s="5"/>
      <c r="AIN1480" s="5"/>
      <c r="AIO1480" s="5"/>
      <c r="AIP1480" s="5"/>
      <c r="AIQ1480" s="5"/>
      <c r="AIR1480" s="5"/>
      <c r="AIS1480" s="5"/>
      <c r="AIT1480" s="5"/>
      <c r="AIU1480" s="5"/>
      <c r="AIV1480" s="5"/>
      <c r="AIW1480" s="5"/>
      <c r="AIX1480" s="5"/>
      <c r="AIY1480" s="5"/>
      <c r="AIZ1480" s="5"/>
      <c r="AJA1480" s="5"/>
      <c r="AJB1480" s="5"/>
      <c r="AJC1480" s="5"/>
      <c r="AJD1480" s="5"/>
      <c r="AJE1480" s="5"/>
      <c r="AJF1480" s="5"/>
      <c r="AJG1480" s="5"/>
      <c r="AJH1480" s="5"/>
      <c r="AJI1480" s="5"/>
      <c r="AJJ1480" s="5"/>
      <c r="AJK1480" s="5"/>
      <c r="AJL1480" s="5"/>
      <c r="AJM1480" s="5"/>
      <c r="AJN1480" s="5"/>
      <c r="AJO1480" s="5"/>
      <c r="AJP1480" s="5"/>
      <c r="AJQ1480" s="5"/>
      <c r="AJR1480" s="5"/>
      <c r="AJS1480" s="5"/>
      <c r="AJT1480" s="5"/>
      <c r="AJU1480" s="5"/>
      <c r="AJV1480" s="5"/>
      <c r="AJW1480" s="5"/>
      <c r="AJX1480" s="5"/>
      <c r="AJY1480" s="5"/>
      <c r="AJZ1480" s="5"/>
      <c r="AKA1480" s="5"/>
      <c r="AKB1480" s="5"/>
      <c r="AKC1480" s="5"/>
      <c r="AKD1480" s="5"/>
      <c r="AKE1480" s="5"/>
      <c r="AKF1480" s="5"/>
      <c r="AKG1480" s="5"/>
      <c r="AKH1480" s="5"/>
      <c r="AKI1480" s="5"/>
      <c r="AKJ1480" s="5"/>
      <c r="AKK1480" s="5"/>
      <c r="AKL1480" s="5"/>
      <c r="AKM1480" s="5"/>
      <c r="AKN1480" s="5"/>
      <c r="AKO1480" s="5"/>
      <c r="AKP1480" s="5"/>
      <c r="AKQ1480" s="5"/>
      <c r="AKR1480" s="5"/>
      <c r="AKS1480" s="5"/>
      <c r="AKT1480" s="5"/>
      <c r="AKU1480" s="5"/>
      <c r="AKV1480" s="5"/>
      <c r="AKW1480" s="5"/>
      <c r="AKX1480" s="5"/>
      <c r="AKY1480" s="5"/>
      <c r="AKZ1480" s="5"/>
      <c r="ALA1480" s="5"/>
      <c r="ALB1480" s="5"/>
      <c r="ALC1480" s="5"/>
      <c r="ALD1480" s="5"/>
      <c r="ALE1480" s="5"/>
      <c r="ALF1480" s="5"/>
      <c r="ALG1480" s="5"/>
      <c r="ALH1480" s="5"/>
      <c r="ALI1480" s="5"/>
      <c r="ALJ1480" s="5"/>
      <c r="ALK1480" s="5"/>
      <c r="ALL1480" s="5"/>
      <c r="ALM1480" s="5"/>
      <c r="ALN1480" s="5"/>
      <c r="ALO1480" s="5"/>
      <c r="ALP1480" s="5"/>
      <c r="ALQ1480" s="5"/>
      <c r="ALR1480" s="5"/>
      <c r="ALS1480" s="5"/>
      <c r="ALT1480" s="5"/>
      <c r="ALU1480" s="5"/>
      <c r="ALV1480" s="5"/>
      <c r="ALW1480" s="5"/>
      <c r="ALX1480" s="5"/>
      <c r="ALY1480" s="5"/>
      <c r="ALZ1480" s="5"/>
      <c r="AMA1480" s="5"/>
      <c r="AMB1480" s="5"/>
      <c r="AMC1480" s="5"/>
      <c r="AMD1480" s="5"/>
      <c r="AME1480" s="5"/>
      <c r="AMF1480" s="5"/>
      <c r="AMG1480" s="5"/>
      <c r="AMH1480" s="5"/>
      <c r="AMI1480" s="5"/>
      <c r="AMJ1480" s="5"/>
      <c r="AMK1480" s="5"/>
      <c r="AML1480" s="5"/>
      <c r="AMM1480" s="5"/>
      <c r="AMN1480" s="5"/>
      <c r="AMO1480" s="5"/>
      <c r="AMP1480" s="5"/>
      <c r="AMQ1480" s="5"/>
      <c r="AMR1480" s="5"/>
      <c r="AMS1480" s="5"/>
      <c r="AMT1480" s="5"/>
      <c r="AMU1480" s="5"/>
      <c r="AMV1480" s="5"/>
      <c r="AMW1480" s="5"/>
      <c r="AMX1480" s="5"/>
      <c r="AMY1480" s="5"/>
      <c r="AMZ1480" s="5"/>
      <c r="ANA1480" s="5"/>
      <c r="ANB1480" s="5"/>
      <c r="ANC1480" s="5"/>
      <c r="AND1480" s="5"/>
      <c r="ANE1480" s="5"/>
      <c r="ANF1480" s="5"/>
      <c r="ANG1480" s="5"/>
      <c r="ANH1480" s="5"/>
      <c r="ANI1480" s="5"/>
      <c r="ANJ1480" s="5"/>
      <c r="ANK1480" s="5"/>
      <c r="ANL1480" s="5"/>
      <c r="ANM1480" s="5"/>
      <c r="ANN1480" s="5"/>
      <c r="ANO1480" s="5"/>
      <c r="ANP1480" s="5"/>
      <c r="ANQ1480" s="5"/>
      <c r="ANR1480" s="5"/>
      <c r="ANS1480" s="5"/>
      <c r="ANT1480" s="5"/>
      <c r="ANU1480" s="5"/>
      <c r="ANV1480" s="5"/>
      <c r="ANW1480" s="5"/>
      <c r="ANX1480" s="5"/>
      <c r="ANY1480" s="5"/>
      <c r="ANZ1480" s="5"/>
      <c r="AOA1480" s="5"/>
      <c r="AOB1480" s="5"/>
      <c r="AOC1480" s="5"/>
      <c r="AOD1480" s="5"/>
      <c r="AOE1480" s="5"/>
      <c r="AOF1480" s="5"/>
      <c r="AOG1480" s="5"/>
      <c r="AOH1480" s="5"/>
      <c r="AOI1480" s="5"/>
      <c r="AOJ1480" s="5"/>
      <c r="AOK1480" s="5"/>
      <c r="AOL1480" s="5"/>
      <c r="AOM1480" s="5"/>
      <c r="AON1480" s="5"/>
      <c r="AOO1480" s="5"/>
      <c r="AOP1480" s="5"/>
      <c r="AOQ1480" s="5"/>
      <c r="AOR1480" s="5"/>
      <c r="AOS1480" s="5"/>
      <c r="AOT1480" s="5"/>
      <c r="AOU1480" s="5"/>
      <c r="AOV1480" s="5"/>
      <c r="AOW1480" s="5"/>
      <c r="AOX1480" s="5"/>
      <c r="AOY1480" s="5"/>
      <c r="AOZ1480" s="5"/>
      <c r="APA1480" s="5"/>
      <c r="APB1480" s="5"/>
      <c r="APC1480" s="5"/>
      <c r="APD1480" s="5"/>
      <c r="APE1480" s="5"/>
      <c r="APF1480" s="5"/>
      <c r="APG1480" s="5"/>
      <c r="APH1480" s="5"/>
      <c r="API1480" s="5"/>
      <c r="APJ1480" s="5"/>
      <c r="APK1480" s="5"/>
      <c r="APL1480" s="5"/>
      <c r="APM1480" s="5"/>
      <c r="APN1480" s="5"/>
      <c r="APO1480" s="5"/>
      <c r="APP1480" s="5"/>
      <c r="APQ1480" s="5"/>
      <c r="APR1480" s="5"/>
      <c r="APS1480" s="5"/>
      <c r="APT1480" s="5"/>
      <c r="APU1480" s="5"/>
      <c r="APV1480" s="5"/>
      <c r="APW1480" s="5"/>
      <c r="APX1480" s="5"/>
      <c r="APY1480" s="5"/>
      <c r="APZ1480" s="5"/>
      <c r="AQA1480" s="5"/>
      <c r="AQB1480" s="5"/>
      <c r="AQC1480" s="5"/>
      <c r="AQD1480" s="5"/>
      <c r="AQE1480" s="5"/>
      <c r="AQF1480" s="5"/>
      <c r="AQG1480" s="5"/>
      <c r="AQH1480" s="5"/>
      <c r="AQI1480" s="5"/>
      <c r="AQJ1480" s="5"/>
      <c r="AQK1480" s="5"/>
      <c r="AQL1480" s="5"/>
      <c r="AQM1480" s="5"/>
      <c r="AQN1480" s="5"/>
      <c r="AQO1480" s="5"/>
      <c r="AQP1480" s="5"/>
      <c r="AQQ1480" s="5"/>
      <c r="AQR1480" s="5"/>
      <c r="AQS1480" s="5"/>
      <c r="AQT1480" s="5"/>
      <c r="AQU1480" s="5"/>
      <c r="AQV1480" s="5"/>
      <c r="AQW1480" s="5"/>
      <c r="AQX1480" s="5"/>
      <c r="AQY1480" s="5"/>
      <c r="AQZ1480" s="5"/>
      <c r="ARA1480" s="5"/>
      <c r="ARB1480" s="5"/>
      <c r="ARC1480" s="5"/>
      <c r="ARD1480" s="5"/>
      <c r="ARE1480" s="5"/>
      <c r="ARF1480" s="5"/>
      <c r="ARG1480" s="5"/>
      <c r="ARH1480" s="5"/>
      <c r="ARI1480" s="5"/>
      <c r="ARJ1480" s="5"/>
      <c r="ARK1480" s="5"/>
      <c r="ARL1480" s="5"/>
      <c r="ARM1480" s="5"/>
      <c r="ARN1480" s="5"/>
      <c r="ARO1480" s="5"/>
      <c r="ARP1480" s="5"/>
      <c r="ARQ1480" s="5"/>
      <c r="ARR1480" s="5"/>
      <c r="ARS1480" s="5"/>
      <c r="ART1480" s="5"/>
      <c r="ARU1480" s="5"/>
      <c r="ARV1480" s="5"/>
      <c r="ARW1480" s="5"/>
      <c r="ARX1480" s="5"/>
      <c r="ARY1480" s="5"/>
      <c r="ARZ1480" s="5"/>
      <c r="ASA1480" s="5"/>
      <c r="ASB1480" s="5"/>
      <c r="ASC1480" s="5"/>
      <c r="ASD1480" s="5"/>
      <c r="ASE1480" s="5"/>
      <c r="ASF1480" s="5"/>
      <c r="ASG1480" s="5"/>
      <c r="ASH1480" s="5"/>
      <c r="ASI1480" s="5"/>
      <c r="ASJ1480" s="5"/>
      <c r="ASK1480" s="5"/>
      <c r="ASL1480" s="5"/>
      <c r="ASM1480" s="5"/>
      <c r="ASN1480" s="5"/>
      <c r="ASO1480" s="5"/>
      <c r="ASP1480" s="5"/>
      <c r="ASQ1480" s="5"/>
      <c r="ASR1480" s="5"/>
      <c r="ASS1480" s="5"/>
      <c r="AST1480" s="5"/>
      <c r="ASU1480" s="5"/>
      <c r="ASV1480" s="5"/>
      <c r="ASW1480" s="5"/>
      <c r="ASX1480" s="5"/>
      <c r="ASY1480" s="5"/>
      <c r="ASZ1480" s="5"/>
      <c r="ATA1480" s="5"/>
      <c r="ATB1480" s="5"/>
      <c r="ATC1480" s="5"/>
      <c r="ATD1480" s="5"/>
      <c r="ATE1480" s="5"/>
      <c r="ATF1480" s="5"/>
      <c r="ATG1480" s="5"/>
      <c r="ATH1480" s="5"/>
      <c r="ATI1480" s="5"/>
      <c r="ATJ1480" s="5"/>
      <c r="ATK1480" s="5"/>
      <c r="ATL1480" s="5"/>
      <c r="ATM1480" s="5"/>
      <c r="ATN1480" s="5"/>
      <c r="ATO1480" s="5"/>
      <c r="ATP1480" s="5"/>
      <c r="ATQ1480" s="5"/>
      <c r="ATR1480" s="5"/>
      <c r="ATS1480" s="5"/>
      <c r="ATT1480" s="5"/>
      <c r="ATU1480" s="5"/>
      <c r="ATV1480" s="5"/>
      <c r="ATW1480" s="5"/>
      <c r="ATX1480" s="5"/>
    </row>
    <row r="1481" spans="1:1220" ht="12.75" customHeight="1" x14ac:dyDescent="0.35">
      <c r="A1481" s="76" t="s">
        <v>553</v>
      </c>
      <c r="B1481" s="99" t="s">
        <v>1806</v>
      </c>
      <c r="C1481" s="76" t="s">
        <v>4072</v>
      </c>
      <c r="D1481" s="79" t="s">
        <v>4073</v>
      </c>
    </row>
    <row r="1482" spans="1:1220" ht="12.75" customHeight="1" x14ac:dyDescent="0.35">
      <c r="A1482" s="76" t="s">
        <v>553</v>
      </c>
      <c r="B1482" s="99" t="s">
        <v>1896</v>
      </c>
      <c r="C1482" s="76" t="s">
        <v>4074</v>
      </c>
      <c r="D1482" s="142" t="s">
        <v>4075</v>
      </c>
    </row>
    <row r="1483" spans="1:1220" ht="12.75" customHeight="1" x14ac:dyDescent="0.35">
      <c r="A1483" s="76" t="s">
        <v>553</v>
      </c>
      <c r="B1483" s="99" t="s">
        <v>1831</v>
      </c>
      <c r="C1483" s="76" t="s">
        <v>4076</v>
      </c>
      <c r="D1483" s="76" t="s">
        <v>4077</v>
      </c>
      <c r="E1483" s="76" t="s">
        <v>4078</v>
      </c>
    </row>
    <row r="1484" spans="1:1220" ht="12.75" customHeight="1" x14ac:dyDescent="0.35">
      <c r="A1484" s="76" t="s">
        <v>553</v>
      </c>
      <c r="B1484" s="99" t="s">
        <v>4079</v>
      </c>
      <c r="C1484" s="76" t="s">
        <v>4080</v>
      </c>
      <c r="D1484" s="142" t="s">
        <v>4081</v>
      </c>
      <c r="E1484" s="5"/>
    </row>
    <row r="1485" spans="1:1220" ht="12.75" customHeight="1" x14ac:dyDescent="0.35">
      <c r="A1485" s="76" t="s">
        <v>1098</v>
      </c>
      <c r="B1485" s="99" t="s">
        <v>4082</v>
      </c>
      <c r="C1485" s="76" t="s">
        <v>4083</v>
      </c>
      <c r="D1485" s="76" t="s">
        <v>4084</v>
      </c>
    </row>
    <row r="1486" spans="1:1220" ht="12.75" customHeight="1" x14ac:dyDescent="0.35">
      <c r="A1486" s="76" t="s">
        <v>1098</v>
      </c>
      <c r="B1486" s="99" t="s">
        <v>4034</v>
      </c>
      <c r="C1486" s="76" t="s">
        <v>4085</v>
      </c>
      <c r="D1486" s="76" t="s">
        <v>4086</v>
      </c>
      <c r="E1486" s="76" t="s">
        <v>4087</v>
      </c>
    </row>
    <row r="1487" spans="1:1220" ht="12.75" customHeight="1" x14ac:dyDescent="0.35">
      <c r="A1487" s="76" t="s">
        <v>1098</v>
      </c>
      <c r="B1487" s="99" t="s">
        <v>4088</v>
      </c>
      <c r="C1487" s="76" t="s">
        <v>4089</v>
      </c>
      <c r="D1487" s="142" t="s">
        <v>4090</v>
      </c>
    </row>
    <row r="1488" spans="1:1220" ht="12.75" customHeight="1" x14ac:dyDescent="0.35">
      <c r="A1488" s="76" t="s">
        <v>1098</v>
      </c>
      <c r="B1488" s="99" t="s">
        <v>4091</v>
      </c>
      <c r="C1488" s="76" t="s">
        <v>4092</v>
      </c>
      <c r="D1488" s="142" t="s">
        <v>4093</v>
      </c>
    </row>
    <row r="1489" spans="1:1220" ht="12.75" customHeight="1" x14ac:dyDescent="0.35">
      <c r="A1489" s="76" t="s">
        <v>1098</v>
      </c>
      <c r="B1489" s="99" t="s">
        <v>4094</v>
      </c>
      <c r="C1489" s="76" t="s">
        <v>4095</v>
      </c>
      <c r="D1489" s="142" t="s">
        <v>4096</v>
      </c>
      <c r="E1489" s="76" t="s">
        <v>4097</v>
      </c>
    </row>
    <row r="1490" spans="1:1220" ht="12.75" customHeight="1" x14ac:dyDescent="0.35">
      <c r="A1490" s="76" t="s">
        <v>1098</v>
      </c>
      <c r="B1490" s="99" t="s">
        <v>3986</v>
      </c>
      <c r="C1490" s="76" t="s">
        <v>4098</v>
      </c>
      <c r="D1490" s="142"/>
    </row>
    <row r="1491" spans="1:1220" ht="12.75" customHeight="1" x14ac:dyDescent="0.35">
      <c r="A1491" s="76" t="s">
        <v>1098</v>
      </c>
      <c r="B1491" s="99" t="s">
        <v>1754</v>
      </c>
      <c r="C1491" s="76" t="s">
        <v>4099</v>
      </c>
      <c r="D1491" s="142"/>
    </row>
    <row r="1492" spans="1:1220" ht="12.75" customHeight="1" x14ac:dyDescent="0.35">
      <c r="A1492" s="76" t="s">
        <v>1098</v>
      </c>
      <c r="B1492" s="99" t="s">
        <v>1916</v>
      </c>
      <c r="C1492" s="76" t="s">
        <v>4100</v>
      </c>
      <c r="D1492" s="142"/>
    </row>
    <row r="1493" spans="1:1220" ht="12.75" customHeight="1" x14ac:dyDescent="0.35">
      <c r="A1493" s="76" t="s">
        <v>1098</v>
      </c>
      <c r="B1493" s="99" t="s">
        <v>4101</v>
      </c>
      <c r="C1493" s="76" t="s">
        <v>4102</v>
      </c>
      <c r="D1493" s="142"/>
    </row>
    <row r="1494" spans="1:1220" ht="12.75" customHeight="1" x14ac:dyDescent="0.35">
      <c r="A1494" s="76" t="s">
        <v>1098</v>
      </c>
      <c r="B1494" s="99" t="s">
        <v>4103</v>
      </c>
      <c r="C1494" s="76" t="s">
        <v>4104</v>
      </c>
      <c r="D1494" s="142"/>
    </row>
    <row r="1495" spans="1:1220" ht="12.75" customHeight="1" x14ac:dyDescent="0.35">
      <c r="A1495" s="76" t="s">
        <v>1098</v>
      </c>
      <c r="B1495" s="99" t="s">
        <v>4105</v>
      </c>
      <c r="C1495" s="76" t="s">
        <v>4106</v>
      </c>
      <c r="D1495" s="142"/>
    </row>
    <row r="1496" spans="1:1220" ht="12.75" customHeight="1" x14ac:dyDescent="0.35">
      <c r="A1496" s="76" t="s">
        <v>1098</v>
      </c>
      <c r="B1496" s="99" t="s">
        <v>1842</v>
      </c>
      <c r="C1496" s="76" t="s">
        <v>4107</v>
      </c>
      <c r="D1496" s="142"/>
    </row>
    <row r="1497" spans="1:1220" ht="12.75" customHeight="1" x14ac:dyDescent="0.35">
      <c r="A1497" s="76" t="s">
        <v>1098</v>
      </c>
      <c r="B1497" s="99" t="s">
        <v>4029</v>
      </c>
      <c r="C1497" s="76" t="s">
        <v>2062</v>
      </c>
      <c r="D1497" s="142"/>
    </row>
    <row r="1498" spans="1:1220" ht="12.75" customHeight="1" x14ac:dyDescent="0.35">
      <c r="A1498" s="76" t="s">
        <v>205</v>
      </c>
      <c r="B1498" s="99" t="s">
        <v>123</v>
      </c>
      <c r="C1498" s="76" t="s">
        <v>4108</v>
      </c>
      <c r="D1498" s="142"/>
    </row>
    <row r="1499" spans="1:1220" ht="12.75" customHeight="1" x14ac:dyDescent="0.35">
      <c r="A1499" s="76" t="s">
        <v>205</v>
      </c>
      <c r="B1499" s="99" t="s">
        <v>97</v>
      </c>
      <c r="C1499" s="76" t="s">
        <v>4109</v>
      </c>
      <c r="D1499" s="142"/>
    </row>
    <row r="1500" spans="1:1220" ht="12.75" customHeight="1" x14ac:dyDescent="0.35">
      <c r="A1500" s="76" t="s">
        <v>299</v>
      </c>
      <c r="B1500" s="99" t="s">
        <v>123</v>
      </c>
      <c r="C1500" s="76" t="s">
        <v>4108</v>
      </c>
      <c r="D1500" s="142"/>
    </row>
    <row r="1501" spans="1:1220" s="75" customFormat="1" ht="12.75" customHeight="1" x14ac:dyDescent="0.35">
      <c r="A1501" s="76" t="s">
        <v>299</v>
      </c>
      <c r="B1501" s="99" t="s">
        <v>109</v>
      </c>
      <c r="C1501" s="76" t="s">
        <v>4110</v>
      </c>
      <c r="D1501" s="142"/>
      <c r="E1501" s="76"/>
      <c r="F1501" s="5"/>
      <c r="G1501" s="5"/>
      <c r="H1501" s="5"/>
      <c r="I1501" s="5"/>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c r="AX1501" s="5"/>
      <c r="AY1501" s="5"/>
      <c r="AZ1501" s="5"/>
      <c r="BA1501" s="5"/>
      <c r="BB1501" s="5"/>
      <c r="BC1501" s="5"/>
      <c r="BD1501" s="5"/>
      <c r="BE1501" s="5"/>
      <c r="BF1501" s="5"/>
      <c r="BG1501" s="5"/>
      <c r="BH1501" s="5"/>
      <c r="BI1501" s="5"/>
      <c r="BJ1501" s="5"/>
      <c r="BK1501" s="5"/>
      <c r="BL1501" s="5"/>
      <c r="BM1501" s="5"/>
      <c r="BN1501" s="5"/>
      <c r="BO1501" s="5"/>
      <c r="BP1501" s="5"/>
      <c r="BQ1501" s="5"/>
      <c r="BR1501" s="5"/>
      <c r="BS1501" s="5"/>
      <c r="BT1501" s="5"/>
      <c r="BU1501" s="5"/>
      <c r="BV1501" s="5"/>
      <c r="BW1501" s="5"/>
      <c r="BX1501" s="5"/>
      <c r="BY1501" s="5"/>
      <c r="BZ1501" s="5"/>
      <c r="CA1501" s="5"/>
      <c r="CB1501" s="5"/>
      <c r="CC1501" s="5"/>
      <c r="CD1501" s="5"/>
      <c r="CE1501" s="5"/>
      <c r="CF1501" s="5"/>
      <c r="CG1501" s="5"/>
      <c r="CH1501" s="5"/>
      <c r="CI1501" s="5"/>
      <c r="CJ1501" s="5"/>
      <c r="CK1501" s="5"/>
      <c r="CL1501" s="5"/>
      <c r="CM1501" s="5"/>
      <c r="CN1501" s="5"/>
      <c r="CO1501" s="5"/>
      <c r="CP1501" s="5"/>
      <c r="CQ1501" s="5"/>
      <c r="CR1501" s="5"/>
      <c r="CS1501" s="5"/>
      <c r="CT1501" s="5"/>
      <c r="CU1501" s="5"/>
      <c r="CV1501" s="5"/>
      <c r="CW1501" s="5"/>
      <c r="CX1501" s="5"/>
      <c r="CY1501" s="5"/>
      <c r="CZ1501" s="5"/>
      <c r="DA1501" s="5"/>
      <c r="DB1501" s="5"/>
      <c r="DC1501" s="5"/>
      <c r="DD1501" s="5"/>
      <c r="DE1501" s="5"/>
      <c r="DF1501" s="5"/>
      <c r="DG1501" s="5"/>
      <c r="DH1501" s="5"/>
      <c r="DI1501" s="5"/>
      <c r="DJ1501" s="5"/>
      <c r="DK1501" s="5"/>
      <c r="DL1501" s="5"/>
      <c r="DM1501" s="5"/>
      <c r="DN1501" s="5"/>
      <c r="DO1501" s="5"/>
      <c r="DP1501" s="5"/>
      <c r="DQ1501" s="5"/>
      <c r="DR1501" s="5"/>
      <c r="DS1501" s="5"/>
      <c r="DT1501" s="5"/>
      <c r="DU1501" s="5"/>
      <c r="DV1501" s="5"/>
      <c r="DW1501" s="5"/>
      <c r="DX1501" s="5"/>
      <c r="DY1501" s="5"/>
      <c r="DZ1501" s="5"/>
      <c r="EA1501" s="5"/>
      <c r="EB1501" s="5"/>
      <c r="EC1501" s="5"/>
      <c r="ED1501" s="5"/>
      <c r="EE1501" s="5"/>
      <c r="EF1501" s="5"/>
      <c r="EG1501" s="5"/>
      <c r="EH1501" s="5"/>
      <c r="EI1501" s="5"/>
      <c r="EJ1501" s="5"/>
      <c r="EK1501" s="5"/>
      <c r="EL1501" s="5"/>
      <c r="EM1501" s="5"/>
      <c r="EN1501" s="5"/>
      <c r="EO1501" s="5"/>
      <c r="EP1501" s="5"/>
      <c r="EQ1501" s="5"/>
      <c r="ER1501" s="5"/>
      <c r="ES1501" s="5"/>
      <c r="ET1501" s="5"/>
      <c r="EU1501" s="5"/>
      <c r="EV1501" s="5"/>
      <c r="EW1501" s="5"/>
      <c r="EX1501" s="5"/>
      <c r="EY1501" s="5"/>
      <c r="EZ1501" s="5"/>
      <c r="FA1501" s="5"/>
      <c r="FB1501" s="5"/>
      <c r="FC1501" s="5"/>
      <c r="FD1501" s="5"/>
      <c r="FE1501" s="5"/>
      <c r="FF1501" s="5"/>
      <c r="FG1501" s="5"/>
      <c r="FH1501" s="5"/>
      <c r="FI1501" s="5"/>
      <c r="FJ1501" s="5"/>
      <c r="FK1501" s="5"/>
      <c r="FL1501" s="5"/>
      <c r="FM1501" s="5"/>
      <c r="FN1501" s="5"/>
      <c r="FO1501" s="5"/>
      <c r="FP1501" s="5"/>
      <c r="FQ1501" s="5"/>
      <c r="FR1501" s="5"/>
      <c r="FS1501" s="5"/>
      <c r="FT1501" s="5"/>
      <c r="FU1501" s="5"/>
      <c r="FV1501" s="5"/>
      <c r="FW1501" s="5"/>
      <c r="FX1501" s="5"/>
      <c r="FY1501" s="5"/>
      <c r="FZ1501" s="5"/>
      <c r="GA1501" s="5"/>
      <c r="GB1501" s="5"/>
      <c r="GC1501" s="5"/>
      <c r="GD1501" s="5"/>
      <c r="GE1501" s="5"/>
      <c r="GF1501" s="5"/>
      <c r="GG1501" s="5"/>
      <c r="GH1501" s="5"/>
      <c r="GI1501" s="5"/>
      <c r="GJ1501" s="5"/>
      <c r="GK1501" s="5"/>
      <c r="GL1501" s="5"/>
      <c r="GM1501" s="5"/>
      <c r="GN1501" s="5"/>
      <c r="GO1501" s="5"/>
      <c r="GP1501" s="5"/>
      <c r="GQ1501" s="5"/>
      <c r="GR1501" s="5"/>
      <c r="GS1501" s="5"/>
      <c r="GT1501" s="5"/>
      <c r="GU1501" s="5"/>
      <c r="GV1501" s="5"/>
      <c r="GW1501" s="5"/>
      <c r="GX1501" s="5"/>
      <c r="GY1501" s="5"/>
      <c r="GZ1501" s="5"/>
      <c r="HA1501" s="5"/>
      <c r="HB1501" s="5"/>
      <c r="HC1501" s="5"/>
      <c r="HD1501" s="5"/>
      <c r="HE1501" s="5"/>
      <c r="HF1501" s="5"/>
      <c r="HG1501" s="5"/>
      <c r="HH1501" s="5"/>
      <c r="HI1501" s="5"/>
      <c r="HJ1501" s="5"/>
      <c r="HK1501" s="5"/>
      <c r="HL1501" s="5"/>
      <c r="HM1501" s="5"/>
      <c r="HN1501" s="5"/>
      <c r="HO1501" s="5"/>
      <c r="HP1501" s="5"/>
      <c r="HQ1501" s="5"/>
      <c r="HR1501" s="5"/>
      <c r="HS1501" s="5"/>
      <c r="HT1501" s="5"/>
      <c r="HU1501" s="5"/>
      <c r="HV1501" s="5"/>
      <c r="HW1501" s="5"/>
      <c r="HX1501" s="5"/>
      <c r="HY1501" s="5"/>
      <c r="HZ1501" s="5"/>
      <c r="IA1501" s="5"/>
      <c r="IB1501" s="5"/>
      <c r="IC1501" s="5"/>
      <c r="ID1501" s="5"/>
      <c r="IE1501" s="5"/>
      <c r="IF1501" s="5"/>
      <c r="IG1501" s="5"/>
      <c r="IH1501" s="5"/>
      <c r="II1501" s="5"/>
      <c r="IJ1501" s="5"/>
      <c r="IK1501" s="5"/>
      <c r="IL1501" s="5"/>
      <c r="IM1501" s="5"/>
      <c r="IN1501" s="5"/>
      <c r="IO1501" s="5"/>
      <c r="IP1501" s="5"/>
      <c r="IQ1501" s="5"/>
      <c r="IR1501" s="5"/>
      <c r="IS1501" s="5"/>
      <c r="IT1501" s="5"/>
      <c r="IU1501" s="5"/>
      <c r="IV1501" s="5"/>
      <c r="IW1501" s="5"/>
      <c r="IX1501" s="5"/>
      <c r="IY1501" s="5"/>
      <c r="IZ1501" s="5"/>
      <c r="JA1501" s="5"/>
      <c r="JB1501" s="5"/>
      <c r="JC1501" s="5"/>
      <c r="JD1501" s="5"/>
      <c r="JE1501" s="5"/>
      <c r="JF1501" s="5"/>
      <c r="JG1501" s="5"/>
      <c r="JH1501" s="5"/>
      <c r="JI1501" s="5"/>
      <c r="JJ1501" s="5"/>
      <c r="JK1501" s="5"/>
      <c r="JL1501" s="5"/>
      <c r="JM1501" s="5"/>
      <c r="JN1501" s="5"/>
      <c r="JO1501" s="5"/>
      <c r="JP1501" s="5"/>
      <c r="JQ1501" s="5"/>
      <c r="JR1501" s="5"/>
      <c r="JS1501" s="5"/>
      <c r="JT1501" s="5"/>
      <c r="JU1501" s="5"/>
      <c r="JV1501" s="5"/>
      <c r="JW1501" s="5"/>
      <c r="JX1501" s="5"/>
      <c r="JY1501" s="5"/>
      <c r="JZ1501" s="5"/>
      <c r="KA1501" s="5"/>
      <c r="KB1501" s="5"/>
      <c r="KC1501" s="5"/>
      <c r="KD1501" s="5"/>
      <c r="KE1501" s="5"/>
      <c r="KF1501" s="5"/>
      <c r="KG1501" s="5"/>
      <c r="KH1501" s="5"/>
      <c r="KI1501" s="5"/>
      <c r="KJ1501" s="5"/>
      <c r="KK1501" s="5"/>
      <c r="KL1501" s="5"/>
      <c r="KM1501" s="5"/>
      <c r="KN1501" s="5"/>
      <c r="KO1501" s="5"/>
      <c r="KP1501" s="5"/>
      <c r="KQ1501" s="5"/>
      <c r="KR1501" s="5"/>
      <c r="KS1501" s="5"/>
      <c r="KT1501" s="5"/>
      <c r="KU1501" s="5"/>
      <c r="KV1501" s="5"/>
      <c r="KW1501" s="5"/>
      <c r="KX1501" s="5"/>
      <c r="KY1501" s="5"/>
      <c r="KZ1501" s="5"/>
      <c r="LA1501" s="5"/>
      <c r="LB1501" s="5"/>
      <c r="LC1501" s="5"/>
      <c r="LD1501" s="5"/>
      <c r="LE1501" s="5"/>
      <c r="LF1501" s="5"/>
      <c r="LG1501" s="5"/>
      <c r="LH1501" s="5"/>
      <c r="LI1501" s="5"/>
      <c r="LJ1501" s="5"/>
      <c r="LK1501" s="5"/>
      <c r="LL1501" s="5"/>
      <c r="LM1501" s="5"/>
      <c r="LN1501" s="5"/>
      <c r="LO1501" s="5"/>
      <c r="LP1501" s="5"/>
      <c r="LQ1501" s="5"/>
      <c r="LR1501" s="5"/>
      <c r="LS1501" s="5"/>
      <c r="LT1501" s="5"/>
      <c r="LU1501" s="5"/>
      <c r="LV1501" s="5"/>
      <c r="LW1501" s="5"/>
      <c r="LX1501" s="5"/>
      <c r="LY1501" s="5"/>
      <c r="LZ1501" s="5"/>
      <c r="MA1501" s="5"/>
      <c r="MB1501" s="5"/>
      <c r="MC1501" s="5"/>
      <c r="MD1501" s="5"/>
      <c r="ME1501" s="5"/>
      <c r="MF1501" s="5"/>
      <c r="MG1501" s="5"/>
      <c r="MH1501" s="5"/>
      <c r="MI1501" s="5"/>
      <c r="MJ1501" s="5"/>
      <c r="MK1501" s="5"/>
      <c r="ML1501" s="5"/>
      <c r="MM1501" s="5"/>
      <c r="MN1501" s="5"/>
      <c r="MO1501" s="5"/>
      <c r="MP1501" s="5"/>
      <c r="MQ1501" s="5"/>
      <c r="MR1501" s="5"/>
      <c r="MS1501" s="5"/>
      <c r="MT1501" s="5"/>
      <c r="MU1501" s="5"/>
      <c r="MV1501" s="5"/>
      <c r="MW1501" s="5"/>
      <c r="MX1501" s="5"/>
      <c r="MY1501" s="5"/>
      <c r="MZ1501" s="5"/>
      <c r="NA1501" s="5"/>
      <c r="NB1501" s="5"/>
      <c r="NC1501" s="5"/>
      <c r="ND1501" s="5"/>
      <c r="NE1501" s="5"/>
      <c r="NF1501" s="5"/>
      <c r="NG1501" s="5"/>
      <c r="NH1501" s="5"/>
      <c r="NI1501" s="5"/>
      <c r="NJ1501" s="5"/>
      <c r="NK1501" s="5"/>
      <c r="NL1501" s="5"/>
      <c r="NM1501" s="5"/>
      <c r="NN1501" s="5"/>
      <c r="NO1501" s="5"/>
      <c r="NP1501" s="5"/>
      <c r="NQ1501" s="5"/>
      <c r="NR1501" s="5"/>
      <c r="NS1501" s="5"/>
      <c r="NT1501" s="5"/>
      <c r="NU1501" s="5"/>
      <c r="NV1501" s="5"/>
      <c r="NW1501" s="5"/>
      <c r="NX1501" s="5"/>
      <c r="NY1501" s="5"/>
      <c r="NZ1501" s="5"/>
      <c r="OA1501" s="5"/>
      <c r="OB1501" s="5"/>
      <c r="OC1501" s="5"/>
      <c r="OD1501" s="5"/>
      <c r="OE1501" s="5"/>
      <c r="OF1501" s="5"/>
      <c r="OG1501" s="5"/>
      <c r="OH1501" s="5"/>
      <c r="OI1501" s="5"/>
      <c r="OJ1501" s="5"/>
      <c r="OK1501" s="5"/>
      <c r="OL1501" s="5"/>
      <c r="OM1501" s="5"/>
      <c r="ON1501" s="5"/>
      <c r="OO1501" s="5"/>
      <c r="OP1501" s="5"/>
      <c r="OQ1501" s="5"/>
      <c r="OR1501" s="5"/>
      <c r="OS1501" s="5"/>
      <c r="OT1501" s="5"/>
      <c r="OU1501" s="5"/>
      <c r="OV1501" s="5"/>
      <c r="OW1501" s="5"/>
      <c r="OX1501" s="5"/>
      <c r="OY1501" s="5"/>
      <c r="OZ1501" s="5"/>
      <c r="PA1501" s="5"/>
      <c r="PB1501" s="5"/>
      <c r="PC1501" s="5"/>
      <c r="PD1501" s="5"/>
      <c r="PE1501" s="5"/>
      <c r="PF1501" s="5"/>
      <c r="PG1501" s="5"/>
      <c r="PH1501" s="5"/>
      <c r="PI1501" s="5"/>
      <c r="PJ1501" s="5"/>
      <c r="PK1501" s="5"/>
      <c r="PL1501" s="5"/>
      <c r="PM1501" s="5"/>
      <c r="PN1501" s="5"/>
      <c r="PO1501" s="5"/>
      <c r="PP1501" s="5"/>
      <c r="PQ1501" s="5"/>
      <c r="PR1501" s="5"/>
      <c r="PS1501" s="5"/>
      <c r="PT1501" s="5"/>
      <c r="PU1501" s="5"/>
      <c r="PV1501" s="5"/>
      <c r="PW1501" s="5"/>
      <c r="PX1501" s="5"/>
      <c r="PY1501" s="5"/>
      <c r="PZ1501" s="5"/>
      <c r="QA1501" s="5"/>
      <c r="QB1501" s="5"/>
      <c r="QC1501" s="5"/>
      <c r="QD1501" s="5"/>
      <c r="QE1501" s="5"/>
      <c r="QF1501" s="5"/>
      <c r="QG1501" s="5"/>
      <c r="QH1501" s="5"/>
      <c r="QI1501" s="5"/>
      <c r="QJ1501" s="5"/>
      <c r="QK1501" s="5"/>
      <c r="QL1501" s="5"/>
      <c r="QM1501" s="5"/>
      <c r="QN1501" s="5"/>
      <c r="QO1501" s="5"/>
      <c r="QP1501" s="5"/>
      <c r="QQ1501" s="5"/>
      <c r="QR1501" s="5"/>
      <c r="QS1501" s="5"/>
      <c r="QT1501" s="5"/>
      <c r="QU1501" s="5"/>
      <c r="QV1501" s="5"/>
      <c r="QW1501" s="5"/>
      <c r="QX1501" s="5"/>
      <c r="QY1501" s="5"/>
      <c r="QZ1501" s="5"/>
      <c r="RA1501" s="5"/>
      <c r="RB1501" s="5"/>
      <c r="RC1501" s="5"/>
      <c r="RD1501" s="5"/>
      <c r="RE1501" s="5"/>
      <c r="RF1501" s="5"/>
      <c r="RG1501" s="5"/>
      <c r="RH1501" s="5"/>
      <c r="RI1501" s="5"/>
      <c r="RJ1501" s="5"/>
      <c r="RK1501" s="5"/>
      <c r="RL1501" s="5"/>
      <c r="RM1501" s="5"/>
      <c r="RN1501" s="5"/>
      <c r="RO1501" s="5"/>
      <c r="RP1501" s="5"/>
      <c r="RQ1501" s="5"/>
      <c r="RR1501" s="5"/>
      <c r="RS1501" s="5"/>
      <c r="RT1501" s="5"/>
      <c r="RU1501" s="5"/>
      <c r="RV1501" s="5"/>
      <c r="RW1501" s="5"/>
      <c r="RX1501" s="5"/>
      <c r="RY1501" s="5"/>
      <c r="RZ1501" s="5"/>
      <c r="SA1501" s="5"/>
      <c r="SB1501" s="5"/>
      <c r="SC1501" s="5"/>
      <c r="SD1501" s="5"/>
      <c r="SE1501" s="5"/>
      <c r="SF1501" s="5"/>
      <c r="SG1501" s="5"/>
      <c r="SH1501" s="5"/>
      <c r="SI1501" s="5"/>
      <c r="SJ1501" s="5"/>
      <c r="SK1501" s="5"/>
      <c r="SL1501" s="5"/>
      <c r="SM1501" s="5"/>
      <c r="SN1501" s="5"/>
      <c r="SO1501" s="5"/>
      <c r="SP1501" s="5"/>
      <c r="SQ1501" s="5"/>
      <c r="SR1501" s="5"/>
      <c r="SS1501" s="5"/>
      <c r="ST1501" s="5"/>
      <c r="SU1501" s="5"/>
      <c r="SV1501" s="5"/>
      <c r="SW1501" s="5"/>
      <c r="SX1501" s="5"/>
      <c r="SY1501" s="5"/>
      <c r="SZ1501" s="5"/>
      <c r="TA1501" s="5"/>
      <c r="TB1501" s="5"/>
      <c r="TC1501" s="5"/>
      <c r="TD1501" s="5"/>
      <c r="TE1501" s="5"/>
      <c r="TF1501" s="5"/>
      <c r="TG1501" s="5"/>
      <c r="TH1501" s="5"/>
      <c r="TI1501" s="5"/>
      <c r="TJ1501" s="5"/>
      <c r="TK1501" s="5"/>
      <c r="TL1501" s="5"/>
      <c r="TM1501" s="5"/>
      <c r="TN1501" s="5"/>
      <c r="TO1501" s="5"/>
      <c r="TP1501" s="5"/>
      <c r="TQ1501" s="5"/>
      <c r="TR1501" s="5"/>
      <c r="TS1501" s="5"/>
      <c r="TT1501" s="5"/>
      <c r="TU1501" s="5"/>
      <c r="TV1501" s="5"/>
      <c r="TW1501" s="5"/>
      <c r="TX1501" s="5"/>
      <c r="TY1501" s="5"/>
      <c r="TZ1501" s="5"/>
      <c r="UA1501" s="5"/>
      <c r="UB1501" s="5"/>
      <c r="UC1501" s="5"/>
      <c r="UD1501" s="5"/>
      <c r="UE1501" s="5"/>
      <c r="UF1501" s="5"/>
      <c r="UG1501" s="5"/>
      <c r="UH1501" s="5"/>
      <c r="UI1501" s="5"/>
      <c r="UJ1501" s="5"/>
      <c r="UK1501" s="5"/>
      <c r="UL1501" s="5"/>
      <c r="UM1501" s="5"/>
      <c r="UN1501" s="5"/>
      <c r="UO1501" s="5"/>
      <c r="UP1501" s="5"/>
      <c r="UQ1501" s="5"/>
      <c r="UR1501" s="5"/>
      <c r="US1501" s="5"/>
      <c r="UT1501" s="5"/>
      <c r="UU1501" s="5"/>
      <c r="UV1501" s="5"/>
      <c r="UW1501" s="5"/>
      <c r="UX1501" s="5"/>
      <c r="UY1501" s="5"/>
      <c r="UZ1501" s="5"/>
      <c r="VA1501" s="5"/>
      <c r="VB1501" s="5"/>
      <c r="VC1501" s="5"/>
      <c r="VD1501" s="5"/>
      <c r="VE1501" s="5"/>
      <c r="VF1501" s="5"/>
      <c r="VG1501" s="5"/>
      <c r="VH1501" s="5"/>
      <c r="VI1501" s="5"/>
      <c r="VJ1501" s="5"/>
      <c r="VK1501" s="5"/>
      <c r="VL1501" s="5"/>
      <c r="VM1501" s="5"/>
      <c r="VN1501" s="5"/>
      <c r="VO1501" s="5"/>
      <c r="VP1501" s="5"/>
      <c r="VQ1501" s="5"/>
      <c r="VR1501" s="5"/>
      <c r="VS1501" s="5"/>
      <c r="VT1501" s="5"/>
      <c r="VU1501" s="5"/>
      <c r="VV1501" s="5"/>
      <c r="VW1501" s="5"/>
      <c r="VX1501" s="5"/>
      <c r="VY1501" s="5"/>
      <c r="VZ1501" s="5"/>
      <c r="WA1501" s="5"/>
      <c r="WB1501" s="5"/>
      <c r="WC1501" s="5"/>
      <c r="WD1501" s="5"/>
      <c r="WE1501" s="5"/>
      <c r="WF1501" s="5"/>
      <c r="WG1501" s="5"/>
      <c r="WH1501" s="5"/>
      <c r="WI1501" s="5"/>
      <c r="WJ1501" s="5"/>
      <c r="WK1501" s="5"/>
      <c r="WL1501" s="5"/>
      <c r="WM1501" s="5"/>
      <c r="WN1501" s="5"/>
      <c r="WO1501" s="5"/>
      <c r="WP1501" s="5"/>
      <c r="WQ1501" s="5"/>
      <c r="WR1501" s="5"/>
      <c r="WS1501" s="5"/>
      <c r="WT1501" s="5"/>
      <c r="WU1501" s="5"/>
      <c r="WV1501" s="5"/>
      <c r="WW1501" s="5"/>
      <c r="WX1501" s="5"/>
      <c r="WY1501" s="5"/>
      <c r="WZ1501" s="5"/>
      <c r="XA1501" s="5"/>
      <c r="XB1501" s="5"/>
      <c r="XC1501" s="5"/>
      <c r="XD1501" s="5"/>
      <c r="XE1501" s="5"/>
      <c r="XF1501" s="5"/>
      <c r="XG1501" s="5"/>
      <c r="XH1501" s="5"/>
      <c r="XI1501" s="5"/>
      <c r="XJ1501" s="5"/>
      <c r="XK1501" s="5"/>
      <c r="XL1501" s="5"/>
      <c r="XM1501" s="5"/>
      <c r="XN1501" s="5"/>
      <c r="XO1501" s="5"/>
      <c r="XP1501" s="5"/>
      <c r="XQ1501" s="5"/>
      <c r="XR1501" s="5"/>
      <c r="XS1501" s="5"/>
      <c r="XT1501" s="5"/>
      <c r="XU1501" s="5"/>
      <c r="XV1501" s="5"/>
      <c r="XW1501" s="5"/>
      <c r="XX1501" s="5"/>
      <c r="XY1501" s="5"/>
      <c r="XZ1501" s="5"/>
      <c r="YA1501" s="5"/>
      <c r="YB1501" s="5"/>
      <c r="YC1501" s="5"/>
      <c r="YD1501" s="5"/>
      <c r="YE1501" s="5"/>
      <c r="YF1501" s="5"/>
      <c r="YG1501" s="5"/>
      <c r="YH1501" s="5"/>
      <c r="YI1501" s="5"/>
      <c r="YJ1501" s="5"/>
      <c r="YK1501" s="5"/>
      <c r="YL1501" s="5"/>
      <c r="YM1501" s="5"/>
      <c r="YN1501" s="5"/>
      <c r="YO1501" s="5"/>
      <c r="YP1501" s="5"/>
      <c r="YQ1501" s="5"/>
      <c r="YR1501" s="5"/>
      <c r="YS1501" s="5"/>
      <c r="YT1501" s="5"/>
      <c r="YU1501" s="5"/>
      <c r="YV1501" s="5"/>
      <c r="YW1501" s="5"/>
      <c r="YX1501" s="5"/>
      <c r="YY1501" s="5"/>
      <c r="YZ1501" s="5"/>
      <c r="ZA1501" s="5"/>
      <c r="ZB1501" s="5"/>
      <c r="ZC1501" s="5"/>
      <c r="ZD1501" s="5"/>
      <c r="ZE1501" s="5"/>
      <c r="ZF1501" s="5"/>
      <c r="ZG1501" s="5"/>
      <c r="ZH1501" s="5"/>
      <c r="ZI1501" s="5"/>
      <c r="ZJ1501" s="5"/>
      <c r="ZK1501" s="5"/>
      <c r="ZL1501" s="5"/>
      <c r="ZM1501" s="5"/>
      <c r="ZN1501" s="5"/>
      <c r="ZO1501" s="5"/>
      <c r="ZP1501" s="5"/>
      <c r="ZQ1501" s="5"/>
      <c r="ZR1501" s="5"/>
      <c r="ZS1501" s="5"/>
      <c r="ZT1501" s="5"/>
      <c r="ZU1501" s="5"/>
      <c r="ZV1501" s="5"/>
      <c r="ZW1501" s="5"/>
      <c r="ZX1501" s="5"/>
      <c r="ZY1501" s="5"/>
      <c r="ZZ1501" s="5"/>
      <c r="AAA1501" s="5"/>
      <c r="AAB1501" s="5"/>
      <c r="AAC1501" s="5"/>
      <c r="AAD1501" s="5"/>
      <c r="AAE1501" s="5"/>
      <c r="AAF1501" s="5"/>
      <c r="AAG1501" s="5"/>
      <c r="AAH1501" s="5"/>
      <c r="AAI1501" s="5"/>
      <c r="AAJ1501" s="5"/>
      <c r="AAK1501" s="5"/>
      <c r="AAL1501" s="5"/>
      <c r="AAM1501" s="5"/>
      <c r="AAN1501" s="5"/>
      <c r="AAO1501" s="5"/>
      <c r="AAP1501" s="5"/>
      <c r="AAQ1501" s="5"/>
      <c r="AAR1501" s="5"/>
      <c r="AAS1501" s="5"/>
      <c r="AAT1501" s="5"/>
      <c r="AAU1501" s="5"/>
      <c r="AAV1501" s="5"/>
      <c r="AAW1501" s="5"/>
      <c r="AAX1501" s="5"/>
      <c r="AAY1501" s="5"/>
      <c r="AAZ1501" s="5"/>
      <c r="ABA1501" s="5"/>
      <c r="ABB1501" s="5"/>
      <c r="ABC1501" s="5"/>
      <c r="ABD1501" s="5"/>
      <c r="ABE1501" s="5"/>
      <c r="ABF1501" s="5"/>
      <c r="ABG1501" s="5"/>
      <c r="ABH1501" s="5"/>
      <c r="ABI1501" s="5"/>
      <c r="ABJ1501" s="5"/>
      <c r="ABK1501" s="5"/>
      <c r="ABL1501" s="5"/>
      <c r="ABM1501" s="5"/>
      <c r="ABN1501" s="5"/>
      <c r="ABO1501" s="5"/>
      <c r="ABP1501" s="5"/>
      <c r="ABQ1501" s="5"/>
      <c r="ABR1501" s="5"/>
      <c r="ABS1501" s="5"/>
      <c r="ABT1501" s="5"/>
      <c r="ABU1501" s="5"/>
      <c r="ABV1501" s="5"/>
      <c r="ABW1501" s="5"/>
      <c r="ABX1501" s="5"/>
      <c r="ABY1501" s="5"/>
      <c r="ABZ1501" s="5"/>
      <c r="ACA1501" s="5"/>
      <c r="ACB1501" s="5"/>
      <c r="ACC1501" s="5"/>
      <c r="ACD1501" s="5"/>
      <c r="ACE1501" s="5"/>
      <c r="ACF1501" s="5"/>
      <c r="ACG1501" s="5"/>
      <c r="ACH1501" s="5"/>
      <c r="ACI1501" s="5"/>
      <c r="ACJ1501" s="5"/>
      <c r="ACK1501" s="5"/>
      <c r="ACL1501" s="5"/>
      <c r="ACM1501" s="5"/>
      <c r="ACN1501" s="5"/>
      <c r="ACO1501" s="5"/>
      <c r="ACP1501" s="5"/>
      <c r="ACQ1501" s="5"/>
      <c r="ACR1501" s="5"/>
      <c r="ACS1501" s="5"/>
      <c r="ACT1501" s="5"/>
      <c r="ACU1501" s="5"/>
      <c r="ACV1501" s="5"/>
      <c r="ACW1501" s="5"/>
      <c r="ACX1501" s="5"/>
      <c r="ACY1501" s="5"/>
      <c r="ACZ1501" s="5"/>
      <c r="ADA1501" s="5"/>
      <c r="ADB1501" s="5"/>
      <c r="ADC1501" s="5"/>
      <c r="ADD1501" s="5"/>
      <c r="ADE1501" s="5"/>
      <c r="ADF1501" s="5"/>
      <c r="ADG1501" s="5"/>
      <c r="ADH1501" s="5"/>
      <c r="ADI1501" s="5"/>
      <c r="ADJ1501" s="5"/>
      <c r="ADK1501" s="5"/>
      <c r="ADL1501" s="5"/>
      <c r="ADM1501" s="5"/>
      <c r="ADN1501" s="5"/>
      <c r="ADO1501" s="5"/>
      <c r="ADP1501" s="5"/>
      <c r="ADQ1501" s="5"/>
      <c r="ADR1501" s="5"/>
      <c r="ADS1501" s="5"/>
      <c r="ADT1501" s="5"/>
      <c r="ADU1501" s="5"/>
      <c r="ADV1501" s="5"/>
      <c r="ADW1501" s="5"/>
      <c r="ADX1501" s="5"/>
      <c r="ADY1501" s="5"/>
      <c r="ADZ1501" s="5"/>
      <c r="AEA1501" s="5"/>
      <c r="AEB1501" s="5"/>
      <c r="AEC1501" s="5"/>
      <c r="AED1501" s="5"/>
      <c r="AEE1501" s="5"/>
      <c r="AEF1501" s="5"/>
      <c r="AEG1501" s="5"/>
      <c r="AEH1501" s="5"/>
      <c r="AEI1501" s="5"/>
      <c r="AEJ1501" s="5"/>
      <c r="AEK1501" s="5"/>
      <c r="AEL1501" s="5"/>
      <c r="AEM1501" s="5"/>
      <c r="AEN1501" s="5"/>
      <c r="AEO1501" s="5"/>
      <c r="AEP1501" s="5"/>
      <c r="AEQ1501" s="5"/>
      <c r="AER1501" s="5"/>
      <c r="AES1501" s="5"/>
      <c r="AET1501" s="5"/>
      <c r="AEU1501" s="5"/>
      <c r="AEV1501" s="5"/>
      <c r="AEW1501" s="5"/>
      <c r="AEX1501" s="5"/>
      <c r="AEY1501" s="5"/>
      <c r="AEZ1501" s="5"/>
      <c r="AFA1501" s="5"/>
      <c r="AFB1501" s="5"/>
      <c r="AFC1501" s="5"/>
      <c r="AFD1501" s="5"/>
      <c r="AFE1501" s="5"/>
      <c r="AFF1501" s="5"/>
      <c r="AFG1501" s="5"/>
      <c r="AFH1501" s="5"/>
      <c r="AFI1501" s="5"/>
      <c r="AFJ1501" s="5"/>
      <c r="AFK1501" s="5"/>
      <c r="AFL1501" s="5"/>
      <c r="AFM1501" s="5"/>
      <c r="AFN1501" s="5"/>
      <c r="AFO1501" s="5"/>
      <c r="AFP1501" s="5"/>
      <c r="AFQ1501" s="5"/>
      <c r="AFR1501" s="5"/>
      <c r="AFS1501" s="5"/>
      <c r="AFT1501" s="5"/>
      <c r="AFU1501" s="5"/>
      <c r="AFV1501" s="5"/>
      <c r="AFW1501" s="5"/>
      <c r="AFX1501" s="5"/>
      <c r="AFY1501" s="5"/>
      <c r="AFZ1501" s="5"/>
      <c r="AGA1501" s="5"/>
      <c r="AGB1501" s="5"/>
      <c r="AGC1501" s="5"/>
      <c r="AGD1501" s="5"/>
      <c r="AGE1501" s="5"/>
      <c r="AGF1501" s="5"/>
      <c r="AGG1501" s="5"/>
      <c r="AGH1501" s="5"/>
      <c r="AGI1501" s="5"/>
      <c r="AGJ1501" s="5"/>
      <c r="AGK1501" s="5"/>
      <c r="AGL1501" s="5"/>
      <c r="AGM1501" s="5"/>
      <c r="AGN1501" s="5"/>
      <c r="AGO1501" s="5"/>
      <c r="AGP1501" s="5"/>
      <c r="AGQ1501" s="5"/>
      <c r="AGR1501" s="5"/>
      <c r="AGS1501" s="5"/>
      <c r="AGT1501" s="5"/>
      <c r="AGU1501" s="5"/>
      <c r="AGV1501" s="5"/>
      <c r="AGW1501" s="5"/>
      <c r="AGX1501" s="5"/>
      <c r="AGY1501" s="5"/>
      <c r="AGZ1501" s="5"/>
      <c r="AHA1501" s="5"/>
      <c r="AHB1501" s="5"/>
      <c r="AHC1501" s="5"/>
      <c r="AHD1501" s="5"/>
      <c r="AHE1501" s="5"/>
      <c r="AHF1501" s="5"/>
      <c r="AHG1501" s="5"/>
      <c r="AHH1501" s="5"/>
      <c r="AHI1501" s="5"/>
      <c r="AHJ1501" s="5"/>
      <c r="AHK1501" s="5"/>
      <c r="AHL1501" s="5"/>
      <c r="AHM1501" s="5"/>
      <c r="AHN1501" s="5"/>
      <c r="AHO1501" s="5"/>
      <c r="AHP1501" s="5"/>
      <c r="AHQ1501" s="5"/>
      <c r="AHR1501" s="5"/>
      <c r="AHS1501" s="5"/>
      <c r="AHT1501" s="5"/>
      <c r="AHU1501" s="5"/>
      <c r="AHV1501" s="5"/>
      <c r="AHW1501" s="5"/>
      <c r="AHX1501" s="5"/>
      <c r="AHY1501" s="5"/>
      <c r="AHZ1501" s="5"/>
      <c r="AIA1501" s="5"/>
      <c r="AIB1501" s="5"/>
      <c r="AIC1501" s="5"/>
      <c r="AID1501" s="5"/>
      <c r="AIE1501" s="5"/>
      <c r="AIF1501" s="5"/>
      <c r="AIG1501" s="5"/>
      <c r="AIH1501" s="5"/>
      <c r="AII1501" s="5"/>
      <c r="AIJ1501" s="5"/>
      <c r="AIK1501" s="5"/>
      <c r="AIL1501" s="5"/>
      <c r="AIM1501" s="5"/>
      <c r="AIN1501" s="5"/>
      <c r="AIO1501" s="5"/>
      <c r="AIP1501" s="5"/>
      <c r="AIQ1501" s="5"/>
      <c r="AIR1501" s="5"/>
      <c r="AIS1501" s="5"/>
      <c r="AIT1501" s="5"/>
      <c r="AIU1501" s="5"/>
      <c r="AIV1501" s="5"/>
      <c r="AIW1501" s="5"/>
      <c r="AIX1501" s="5"/>
      <c r="AIY1501" s="5"/>
      <c r="AIZ1501" s="5"/>
      <c r="AJA1501" s="5"/>
      <c r="AJB1501" s="5"/>
      <c r="AJC1501" s="5"/>
      <c r="AJD1501" s="5"/>
      <c r="AJE1501" s="5"/>
      <c r="AJF1501" s="5"/>
      <c r="AJG1501" s="5"/>
      <c r="AJH1501" s="5"/>
      <c r="AJI1501" s="5"/>
      <c r="AJJ1501" s="5"/>
      <c r="AJK1501" s="5"/>
      <c r="AJL1501" s="5"/>
      <c r="AJM1501" s="5"/>
      <c r="AJN1501" s="5"/>
      <c r="AJO1501" s="5"/>
      <c r="AJP1501" s="5"/>
      <c r="AJQ1501" s="5"/>
      <c r="AJR1501" s="5"/>
      <c r="AJS1501" s="5"/>
      <c r="AJT1501" s="5"/>
      <c r="AJU1501" s="5"/>
      <c r="AJV1501" s="5"/>
      <c r="AJW1501" s="5"/>
      <c r="AJX1501" s="5"/>
      <c r="AJY1501" s="5"/>
      <c r="AJZ1501" s="5"/>
      <c r="AKA1501" s="5"/>
      <c r="AKB1501" s="5"/>
      <c r="AKC1501" s="5"/>
      <c r="AKD1501" s="5"/>
      <c r="AKE1501" s="5"/>
      <c r="AKF1501" s="5"/>
      <c r="AKG1501" s="5"/>
      <c r="AKH1501" s="5"/>
      <c r="AKI1501" s="5"/>
      <c r="AKJ1501" s="5"/>
      <c r="AKK1501" s="5"/>
      <c r="AKL1501" s="5"/>
      <c r="AKM1501" s="5"/>
      <c r="AKN1501" s="5"/>
      <c r="AKO1501" s="5"/>
      <c r="AKP1501" s="5"/>
      <c r="AKQ1501" s="5"/>
      <c r="AKR1501" s="5"/>
      <c r="AKS1501" s="5"/>
      <c r="AKT1501" s="5"/>
      <c r="AKU1501" s="5"/>
      <c r="AKV1501" s="5"/>
      <c r="AKW1501" s="5"/>
      <c r="AKX1501" s="5"/>
      <c r="AKY1501" s="5"/>
      <c r="AKZ1501" s="5"/>
      <c r="ALA1501" s="5"/>
      <c r="ALB1501" s="5"/>
      <c r="ALC1501" s="5"/>
      <c r="ALD1501" s="5"/>
      <c r="ALE1501" s="5"/>
      <c r="ALF1501" s="5"/>
      <c r="ALG1501" s="5"/>
      <c r="ALH1501" s="5"/>
      <c r="ALI1501" s="5"/>
      <c r="ALJ1501" s="5"/>
      <c r="ALK1501" s="5"/>
      <c r="ALL1501" s="5"/>
      <c r="ALM1501" s="5"/>
      <c r="ALN1501" s="5"/>
      <c r="ALO1501" s="5"/>
      <c r="ALP1501" s="5"/>
      <c r="ALQ1501" s="5"/>
      <c r="ALR1501" s="5"/>
      <c r="ALS1501" s="5"/>
      <c r="ALT1501" s="5"/>
      <c r="ALU1501" s="5"/>
      <c r="ALV1501" s="5"/>
      <c r="ALW1501" s="5"/>
      <c r="ALX1501" s="5"/>
      <c r="ALY1501" s="5"/>
      <c r="ALZ1501" s="5"/>
      <c r="AMA1501" s="5"/>
      <c r="AMB1501" s="5"/>
      <c r="AMC1501" s="5"/>
      <c r="AMD1501" s="5"/>
      <c r="AME1501" s="5"/>
      <c r="AMF1501" s="5"/>
      <c r="AMG1501" s="5"/>
      <c r="AMH1501" s="5"/>
      <c r="AMI1501" s="5"/>
      <c r="AMJ1501" s="5"/>
      <c r="AMK1501" s="5"/>
      <c r="AML1501" s="5"/>
      <c r="AMM1501" s="5"/>
      <c r="AMN1501" s="5"/>
      <c r="AMO1501" s="5"/>
      <c r="AMP1501" s="5"/>
      <c r="AMQ1501" s="5"/>
      <c r="AMR1501" s="5"/>
      <c r="AMS1501" s="5"/>
      <c r="AMT1501" s="5"/>
      <c r="AMU1501" s="5"/>
      <c r="AMV1501" s="5"/>
      <c r="AMW1501" s="5"/>
      <c r="AMX1501" s="5"/>
      <c r="AMY1501" s="5"/>
      <c r="AMZ1501" s="5"/>
      <c r="ANA1501" s="5"/>
      <c r="ANB1501" s="5"/>
      <c r="ANC1501" s="5"/>
      <c r="AND1501" s="5"/>
      <c r="ANE1501" s="5"/>
      <c r="ANF1501" s="5"/>
      <c r="ANG1501" s="5"/>
      <c r="ANH1501" s="5"/>
      <c r="ANI1501" s="5"/>
      <c r="ANJ1501" s="5"/>
      <c r="ANK1501" s="5"/>
      <c r="ANL1501" s="5"/>
      <c r="ANM1501" s="5"/>
      <c r="ANN1501" s="5"/>
      <c r="ANO1501" s="5"/>
      <c r="ANP1501" s="5"/>
      <c r="ANQ1501" s="5"/>
      <c r="ANR1501" s="5"/>
      <c r="ANS1501" s="5"/>
      <c r="ANT1501" s="5"/>
      <c r="ANU1501" s="5"/>
      <c r="ANV1501" s="5"/>
      <c r="ANW1501" s="5"/>
      <c r="ANX1501" s="5"/>
      <c r="ANY1501" s="5"/>
      <c r="ANZ1501" s="5"/>
      <c r="AOA1501" s="5"/>
      <c r="AOB1501" s="5"/>
      <c r="AOC1501" s="5"/>
      <c r="AOD1501" s="5"/>
      <c r="AOE1501" s="5"/>
      <c r="AOF1501" s="5"/>
      <c r="AOG1501" s="5"/>
      <c r="AOH1501" s="5"/>
      <c r="AOI1501" s="5"/>
      <c r="AOJ1501" s="5"/>
      <c r="AOK1501" s="5"/>
      <c r="AOL1501" s="5"/>
      <c r="AOM1501" s="5"/>
      <c r="AON1501" s="5"/>
      <c r="AOO1501" s="5"/>
      <c r="AOP1501" s="5"/>
      <c r="AOQ1501" s="5"/>
      <c r="AOR1501" s="5"/>
      <c r="AOS1501" s="5"/>
      <c r="AOT1501" s="5"/>
      <c r="AOU1501" s="5"/>
      <c r="AOV1501" s="5"/>
      <c r="AOW1501" s="5"/>
      <c r="AOX1501" s="5"/>
      <c r="AOY1501" s="5"/>
      <c r="AOZ1501" s="5"/>
      <c r="APA1501" s="5"/>
      <c r="APB1501" s="5"/>
      <c r="APC1501" s="5"/>
      <c r="APD1501" s="5"/>
      <c r="APE1501" s="5"/>
      <c r="APF1501" s="5"/>
      <c r="APG1501" s="5"/>
      <c r="APH1501" s="5"/>
      <c r="API1501" s="5"/>
      <c r="APJ1501" s="5"/>
      <c r="APK1501" s="5"/>
      <c r="APL1501" s="5"/>
      <c r="APM1501" s="5"/>
      <c r="APN1501" s="5"/>
      <c r="APO1501" s="5"/>
      <c r="APP1501" s="5"/>
      <c r="APQ1501" s="5"/>
      <c r="APR1501" s="5"/>
      <c r="APS1501" s="5"/>
      <c r="APT1501" s="5"/>
      <c r="APU1501" s="5"/>
      <c r="APV1501" s="5"/>
      <c r="APW1501" s="5"/>
      <c r="APX1501" s="5"/>
      <c r="APY1501" s="5"/>
      <c r="APZ1501" s="5"/>
      <c r="AQA1501" s="5"/>
      <c r="AQB1501" s="5"/>
      <c r="AQC1501" s="5"/>
      <c r="AQD1501" s="5"/>
      <c r="AQE1501" s="5"/>
      <c r="AQF1501" s="5"/>
      <c r="AQG1501" s="5"/>
      <c r="AQH1501" s="5"/>
      <c r="AQI1501" s="5"/>
      <c r="AQJ1501" s="5"/>
      <c r="AQK1501" s="5"/>
      <c r="AQL1501" s="5"/>
      <c r="AQM1501" s="5"/>
      <c r="AQN1501" s="5"/>
      <c r="AQO1501" s="5"/>
      <c r="AQP1501" s="5"/>
      <c r="AQQ1501" s="5"/>
      <c r="AQR1501" s="5"/>
      <c r="AQS1501" s="5"/>
      <c r="AQT1501" s="5"/>
      <c r="AQU1501" s="5"/>
      <c r="AQV1501" s="5"/>
      <c r="AQW1501" s="5"/>
      <c r="AQX1501" s="5"/>
      <c r="AQY1501" s="5"/>
      <c r="AQZ1501" s="5"/>
      <c r="ARA1501" s="5"/>
      <c r="ARB1501" s="5"/>
      <c r="ARC1501" s="5"/>
      <c r="ARD1501" s="5"/>
      <c r="ARE1501" s="5"/>
      <c r="ARF1501" s="5"/>
      <c r="ARG1501" s="5"/>
      <c r="ARH1501" s="5"/>
      <c r="ARI1501" s="5"/>
      <c r="ARJ1501" s="5"/>
      <c r="ARK1501" s="5"/>
      <c r="ARL1501" s="5"/>
      <c r="ARM1501" s="5"/>
      <c r="ARN1501" s="5"/>
      <c r="ARO1501" s="5"/>
      <c r="ARP1501" s="5"/>
      <c r="ARQ1501" s="5"/>
      <c r="ARR1501" s="5"/>
      <c r="ARS1501" s="5"/>
      <c r="ART1501" s="5"/>
      <c r="ARU1501" s="5"/>
      <c r="ARV1501" s="5"/>
      <c r="ARW1501" s="5"/>
      <c r="ARX1501" s="5"/>
      <c r="ARY1501" s="5"/>
      <c r="ARZ1501" s="5"/>
      <c r="ASA1501" s="5"/>
      <c r="ASB1501" s="5"/>
      <c r="ASC1501" s="5"/>
      <c r="ASD1501" s="5"/>
      <c r="ASE1501" s="5"/>
      <c r="ASF1501" s="5"/>
      <c r="ASG1501" s="5"/>
      <c r="ASH1501" s="5"/>
      <c r="ASI1501" s="5"/>
      <c r="ASJ1501" s="5"/>
      <c r="ASK1501" s="5"/>
      <c r="ASL1501" s="5"/>
      <c r="ASM1501" s="5"/>
      <c r="ASN1501" s="5"/>
      <c r="ASO1501" s="5"/>
      <c r="ASP1501" s="5"/>
      <c r="ASQ1501" s="5"/>
      <c r="ASR1501" s="5"/>
      <c r="ASS1501" s="5"/>
      <c r="AST1501" s="5"/>
      <c r="ASU1501" s="5"/>
      <c r="ASV1501" s="5"/>
      <c r="ASW1501" s="5"/>
      <c r="ASX1501" s="5"/>
      <c r="ASY1501" s="5"/>
      <c r="ASZ1501" s="5"/>
      <c r="ATA1501" s="5"/>
      <c r="ATB1501" s="5"/>
      <c r="ATC1501" s="5"/>
      <c r="ATD1501" s="5"/>
      <c r="ATE1501" s="5"/>
      <c r="ATF1501" s="5"/>
      <c r="ATG1501" s="5"/>
      <c r="ATH1501" s="5"/>
      <c r="ATI1501" s="5"/>
      <c r="ATJ1501" s="5"/>
      <c r="ATK1501" s="5"/>
      <c r="ATL1501" s="5"/>
      <c r="ATM1501" s="5"/>
      <c r="ATN1501" s="5"/>
      <c r="ATO1501" s="5"/>
      <c r="ATP1501" s="5"/>
      <c r="ATQ1501" s="5"/>
      <c r="ATR1501" s="5"/>
      <c r="ATS1501" s="5"/>
      <c r="ATT1501" s="5"/>
      <c r="ATU1501" s="5"/>
      <c r="ATV1501" s="5"/>
      <c r="ATW1501" s="5"/>
      <c r="ATX1501" s="5"/>
    </row>
    <row r="1502" spans="1:1220" s="75" customFormat="1" ht="12.75" customHeight="1" x14ac:dyDescent="0.35">
      <c r="A1502" s="76" t="s">
        <v>299</v>
      </c>
      <c r="B1502" s="99" t="s">
        <v>97</v>
      </c>
      <c r="C1502" s="76" t="s">
        <v>4109</v>
      </c>
      <c r="D1502" s="142"/>
      <c r="E1502" s="76"/>
      <c r="F1502" s="5"/>
      <c r="G1502" s="5"/>
      <c r="H1502" s="5"/>
      <c r="I1502" s="5"/>
      <c r="J1502" s="5"/>
      <c r="K1502" s="5"/>
      <c r="L1502" s="5"/>
      <c r="M1502" s="5"/>
      <c r="N1502" s="5"/>
      <c r="O1502" s="5"/>
      <c r="P1502" s="5"/>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c r="AX1502" s="5"/>
      <c r="AY1502" s="5"/>
      <c r="AZ1502" s="5"/>
      <c r="BA1502" s="5"/>
      <c r="BB1502" s="5"/>
      <c r="BC1502" s="5"/>
      <c r="BD1502" s="5"/>
      <c r="BE1502" s="5"/>
      <c r="BF1502" s="5"/>
      <c r="BG1502" s="5"/>
      <c r="BH1502" s="5"/>
      <c r="BI1502" s="5"/>
      <c r="BJ1502" s="5"/>
      <c r="BK1502" s="5"/>
      <c r="BL1502" s="5"/>
      <c r="BM1502" s="5"/>
      <c r="BN1502" s="5"/>
      <c r="BO1502" s="5"/>
      <c r="BP1502" s="5"/>
      <c r="BQ1502" s="5"/>
      <c r="BR1502" s="5"/>
      <c r="BS1502" s="5"/>
      <c r="BT1502" s="5"/>
      <c r="BU1502" s="5"/>
      <c r="BV1502" s="5"/>
      <c r="BW1502" s="5"/>
      <c r="BX1502" s="5"/>
      <c r="BY1502" s="5"/>
      <c r="BZ1502" s="5"/>
      <c r="CA1502" s="5"/>
      <c r="CB1502" s="5"/>
      <c r="CC1502" s="5"/>
      <c r="CD1502" s="5"/>
      <c r="CE1502" s="5"/>
      <c r="CF1502" s="5"/>
      <c r="CG1502" s="5"/>
      <c r="CH1502" s="5"/>
      <c r="CI1502" s="5"/>
      <c r="CJ1502" s="5"/>
      <c r="CK1502" s="5"/>
      <c r="CL1502" s="5"/>
      <c r="CM1502" s="5"/>
      <c r="CN1502" s="5"/>
      <c r="CO1502" s="5"/>
      <c r="CP1502" s="5"/>
      <c r="CQ1502" s="5"/>
      <c r="CR1502" s="5"/>
      <c r="CS1502" s="5"/>
      <c r="CT1502" s="5"/>
      <c r="CU1502" s="5"/>
      <c r="CV1502" s="5"/>
      <c r="CW1502" s="5"/>
      <c r="CX1502" s="5"/>
      <c r="CY1502" s="5"/>
      <c r="CZ1502" s="5"/>
      <c r="DA1502" s="5"/>
      <c r="DB1502" s="5"/>
      <c r="DC1502" s="5"/>
      <c r="DD1502" s="5"/>
      <c r="DE1502" s="5"/>
      <c r="DF1502" s="5"/>
      <c r="DG1502" s="5"/>
      <c r="DH1502" s="5"/>
      <c r="DI1502" s="5"/>
      <c r="DJ1502" s="5"/>
      <c r="DK1502" s="5"/>
      <c r="DL1502" s="5"/>
      <c r="DM1502" s="5"/>
      <c r="DN1502" s="5"/>
      <c r="DO1502" s="5"/>
      <c r="DP1502" s="5"/>
      <c r="DQ1502" s="5"/>
      <c r="DR1502" s="5"/>
      <c r="DS1502" s="5"/>
      <c r="DT1502" s="5"/>
      <c r="DU1502" s="5"/>
      <c r="DV1502" s="5"/>
      <c r="DW1502" s="5"/>
      <c r="DX1502" s="5"/>
      <c r="DY1502" s="5"/>
      <c r="DZ1502" s="5"/>
      <c r="EA1502" s="5"/>
      <c r="EB1502" s="5"/>
      <c r="EC1502" s="5"/>
      <c r="ED1502" s="5"/>
      <c r="EE1502" s="5"/>
      <c r="EF1502" s="5"/>
      <c r="EG1502" s="5"/>
      <c r="EH1502" s="5"/>
      <c r="EI1502" s="5"/>
      <c r="EJ1502" s="5"/>
      <c r="EK1502" s="5"/>
      <c r="EL1502" s="5"/>
      <c r="EM1502" s="5"/>
      <c r="EN1502" s="5"/>
      <c r="EO1502" s="5"/>
      <c r="EP1502" s="5"/>
      <c r="EQ1502" s="5"/>
      <c r="ER1502" s="5"/>
      <c r="ES1502" s="5"/>
      <c r="ET1502" s="5"/>
      <c r="EU1502" s="5"/>
      <c r="EV1502" s="5"/>
      <c r="EW1502" s="5"/>
      <c r="EX1502" s="5"/>
      <c r="EY1502" s="5"/>
      <c r="EZ1502" s="5"/>
      <c r="FA1502" s="5"/>
      <c r="FB1502" s="5"/>
      <c r="FC1502" s="5"/>
      <c r="FD1502" s="5"/>
      <c r="FE1502" s="5"/>
      <c r="FF1502" s="5"/>
      <c r="FG1502" s="5"/>
      <c r="FH1502" s="5"/>
      <c r="FI1502" s="5"/>
      <c r="FJ1502" s="5"/>
      <c r="FK1502" s="5"/>
      <c r="FL1502" s="5"/>
      <c r="FM1502" s="5"/>
      <c r="FN1502" s="5"/>
      <c r="FO1502" s="5"/>
      <c r="FP1502" s="5"/>
      <c r="FQ1502" s="5"/>
      <c r="FR1502" s="5"/>
      <c r="FS1502" s="5"/>
      <c r="FT1502" s="5"/>
      <c r="FU1502" s="5"/>
      <c r="FV1502" s="5"/>
      <c r="FW1502" s="5"/>
      <c r="FX1502" s="5"/>
      <c r="FY1502" s="5"/>
      <c r="FZ1502" s="5"/>
      <c r="GA1502" s="5"/>
      <c r="GB1502" s="5"/>
      <c r="GC1502" s="5"/>
      <c r="GD1502" s="5"/>
      <c r="GE1502" s="5"/>
      <c r="GF1502" s="5"/>
      <c r="GG1502" s="5"/>
      <c r="GH1502" s="5"/>
      <c r="GI1502" s="5"/>
      <c r="GJ1502" s="5"/>
      <c r="GK1502" s="5"/>
      <c r="GL1502" s="5"/>
      <c r="GM1502" s="5"/>
      <c r="GN1502" s="5"/>
      <c r="GO1502" s="5"/>
      <c r="GP1502" s="5"/>
      <c r="GQ1502" s="5"/>
      <c r="GR1502" s="5"/>
      <c r="GS1502" s="5"/>
      <c r="GT1502" s="5"/>
      <c r="GU1502" s="5"/>
      <c r="GV1502" s="5"/>
      <c r="GW1502" s="5"/>
      <c r="GX1502" s="5"/>
      <c r="GY1502" s="5"/>
      <c r="GZ1502" s="5"/>
      <c r="HA1502" s="5"/>
      <c r="HB1502" s="5"/>
      <c r="HC1502" s="5"/>
      <c r="HD1502" s="5"/>
      <c r="HE1502" s="5"/>
      <c r="HF1502" s="5"/>
      <c r="HG1502" s="5"/>
      <c r="HH1502" s="5"/>
      <c r="HI1502" s="5"/>
      <c r="HJ1502" s="5"/>
      <c r="HK1502" s="5"/>
      <c r="HL1502" s="5"/>
      <c r="HM1502" s="5"/>
      <c r="HN1502" s="5"/>
      <c r="HO1502" s="5"/>
      <c r="HP1502" s="5"/>
      <c r="HQ1502" s="5"/>
      <c r="HR1502" s="5"/>
      <c r="HS1502" s="5"/>
      <c r="HT1502" s="5"/>
      <c r="HU1502" s="5"/>
      <c r="HV1502" s="5"/>
      <c r="HW1502" s="5"/>
      <c r="HX1502" s="5"/>
      <c r="HY1502" s="5"/>
      <c r="HZ1502" s="5"/>
      <c r="IA1502" s="5"/>
      <c r="IB1502" s="5"/>
      <c r="IC1502" s="5"/>
      <c r="ID1502" s="5"/>
      <c r="IE1502" s="5"/>
      <c r="IF1502" s="5"/>
      <c r="IG1502" s="5"/>
      <c r="IH1502" s="5"/>
      <c r="II1502" s="5"/>
      <c r="IJ1502" s="5"/>
      <c r="IK1502" s="5"/>
      <c r="IL1502" s="5"/>
      <c r="IM1502" s="5"/>
      <c r="IN1502" s="5"/>
      <c r="IO1502" s="5"/>
      <c r="IP1502" s="5"/>
      <c r="IQ1502" s="5"/>
      <c r="IR1502" s="5"/>
      <c r="IS1502" s="5"/>
      <c r="IT1502" s="5"/>
      <c r="IU1502" s="5"/>
      <c r="IV1502" s="5"/>
      <c r="IW1502" s="5"/>
      <c r="IX1502" s="5"/>
      <c r="IY1502" s="5"/>
      <c r="IZ1502" s="5"/>
      <c r="JA1502" s="5"/>
      <c r="JB1502" s="5"/>
      <c r="JC1502" s="5"/>
      <c r="JD1502" s="5"/>
      <c r="JE1502" s="5"/>
      <c r="JF1502" s="5"/>
      <c r="JG1502" s="5"/>
      <c r="JH1502" s="5"/>
      <c r="JI1502" s="5"/>
      <c r="JJ1502" s="5"/>
      <c r="JK1502" s="5"/>
      <c r="JL1502" s="5"/>
      <c r="JM1502" s="5"/>
      <c r="JN1502" s="5"/>
      <c r="JO1502" s="5"/>
      <c r="JP1502" s="5"/>
      <c r="JQ1502" s="5"/>
      <c r="JR1502" s="5"/>
      <c r="JS1502" s="5"/>
      <c r="JT1502" s="5"/>
      <c r="JU1502" s="5"/>
      <c r="JV1502" s="5"/>
      <c r="JW1502" s="5"/>
      <c r="JX1502" s="5"/>
      <c r="JY1502" s="5"/>
      <c r="JZ1502" s="5"/>
      <c r="KA1502" s="5"/>
      <c r="KB1502" s="5"/>
      <c r="KC1502" s="5"/>
      <c r="KD1502" s="5"/>
      <c r="KE1502" s="5"/>
      <c r="KF1502" s="5"/>
      <c r="KG1502" s="5"/>
      <c r="KH1502" s="5"/>
      <c r="KI1502" s="5"/>
      <c r="KJ1502" s="5"/>
      <c r="KK1502" s="5"/>
      <c r="KL1502" s="5"/>
      <c r="KM1502" s="5"/>
      <c r="KN1502" s="5"/>
      <c r="KO1502" s="5"/>
      <c r="KP1502" s="5"/>
      <c r="KQ1502" s="5"/>
      <c r="KR1502" s="5"/>
      <c r="KS1502" s="5"/>
      <c r="KT1502" s="5"/>
      <c r="KU1502" s="5"/>
      <c r="KV1502" s="5"/>
      <c r="KW1502" s="5"/>
      <c r="KX1502" s="5"/>
      <c r="KY1502" s="5"/>
      <c r="KZ1502" s="5"/>
      <c r="LA1502" s="5"/>
      <c r="LB1502" s="5"/>
      <c r="LC1502" s="5"/>
      <c r="LD1502" s="5"/>
      <c r="LE1502" s="5"/>
      <c r="LF1502" s="5"/>
      <c r="LG1502" s="5"/>
      <c r="LH1502" s="5"/>
      <c r="LI1502" s="5"/>
      <c r="LJ1502" s="5"/>
      <c r="LK1502" s="5"/>
      <c r="LL1502" s="5"/>
      <c r="LM1502" s="5"/>
      <c r="LN1502" s="5"/>
      <c r="LO1502" s="5"/>
      <c r="LP1502" s="5"/>
      <c r="LQ1502" s="5"/>
      <c r="LR1502" s="5"/>
      <c r="LS1502" s="5"/>
      <c r="LT1502" s="5"/>
      <c r="LU1502" s="5"/>
      <c r="LV1502" s="5"/>
      <c r="LW1502" s="5"/>
      <c r="LX1502" s="5"/>
      <c r="LY1502" s="5"/>
      <c r="LZ1502" s="5"/>
      <c r="MA1502" s="5"/>
      <c r="MB1502" s="5"/>
      <c r="MC1502" s="5"/>
      <c r="MD1502" s="5"/>
      <c r="ME1502" s="5"/>
      <c r="MF1502" s="5"/>
      <c r="MG1502" s="5"/>
      <c r="MH1502" s="5"/>
      <c r="MI1502" s="5"/>
      <c r="MJ1502" s="5"/>
      <c r="MK1502" s="5"/>
      <c r="ML1502" s="5"/>
      <c r="MM1502" s="5"/>
      <c r="MN1502" s="5"/>
      <c r="MO1502" s="5"/>
      <c r="MP1502" s="5"/>
      <c r="MQ1502" s="5"/>
      <c r="MR1502" s="5"/>
      <c r="MS1502" s="5"/>
      <c r="MT1502" s="5"/>
      <c r="MU1502" s="5"/>
      <c r="MV1502" s="5"/>
      <c r="MW1502" s="5"/>
      <c r="MX1502" s="5"/>
      <c r="MY1502" s="5"/>
      <c r="MZ1502" s="5"/>
      <c r="NA1502" s="5"/>
      <c r="NB1502" s="5"/>
      <c r="NC1502" s="5"/>
      <c r="ND1502" s="5"/>
      <c r="NE1502" s="5"/>
      <c r="NF1502" s="5"/>
      <c r="NG1502" s="5"/>
      <c r="NH1502" s="5"/>
      <c r="NI1502" s="5"/>
      <c r="NJ1502" s="5"/>
      <c r="NK1502" s="5"/>
      <c r="NL1502" s="5"/>
      <c r="NM1502" s="5"/>
      <c r="NN1502" s="5"/>
      <c r="NO1502" s="5"/>
      <c r="NP1502" s="5"/>
      <c r="NQ1502" s="5"/>
      <c r="NR1502" s="5"/>
      <c r="NS1502" s="5"/>
      <c r="NT1502" s="5"/>
      <c r="NU1502" s="5"/>
      <c r="NV1502" s="5"/>
      <c r="NW1502" s="5"/>
      <c r="NX1502" s="5"/>
      <c r="NY1502" s="5"/>
      <c r="NZ1502" s="5"/>
      <c r="OA1502" s="5"/>
      <c r="OB1502" s="5"/>
      <c r="OC1502" s="5"/>
      <c r="OD1502" s="5"/>
      <c r="OE1502" s="5"/>
      <c r="OF1502" s="5"/>
      <c r="OG1502" s="5"/>
      <c r="OH1502" s="5"/>
      <c r="OI1502" s="5"/>
      <c r="OJ1502" s="5"/>
      <c r="OK1502" s="5"/>
      <c r="OL1502" s="5"/>
      <c r="OM1502" s="5"/>
      <c r="ON1502" s="5"/>
      <c r="OO1502" s="5"/>
      <c r="OP1502" s="5"/>
      <c r="OQ1502" s="5"/>
      <c r="OR1502" s="5"/>
      <c r="OS1502" s="5"/>
      <c r="OT1502" s="5"/>
      <c r="OU1502" s="5"/>
      <c r="OV1502" s="5"/>
      <c r="OW1502" s="5"/>
      <c r="OX1502" s="5"/>
      <c r="OY1502" s="5"/>
      <c r="OZ1502" s="5"/>
      <c r="PA1502" s="5"/>
      <c r="PB1502" s="5"/>
      <c r="PC1502" s="5"/>
      <c r="PD1502" s="5"/>
      <c r="PE1502" s="5"/>
      <c r="PF1502" s="5"/>
      <c r="PG1502" s="5"/>
      <c r="PH1502" s="5"/>
      <c r="PI1502" s="5"/>
      <c r="PJ1502" s="5"/>
      <c r="PK1502" s="5"/>
      <c r="PL1502" s="5"/>
      <c r="PM1502" s="5"/>
      <c r="PN1502" s="5"/>
      <c r="PO1502" s="5"/>
      <c r="PP1502" s="5"/>
      <c r="PQ1502" s="5"/>
      <c r="PR1502" s="5"/>
      <c r="PS1502" s="5"/>
      <c r="PT1502" s="5"/>
      <c r="PU1502" s="5"/>
      <c r="PV1502" s="5"/>
      <c r="PW1502" s="5"/>
      <c r="PX1502" s="5"/>
      <c r="PY1502" s="5"/>
      <c r="PZ1502" s="5"/>
      <c r="QA1502" s="5"/>
      <c r="QB1502" s="5"/>
      <c r="QC1502" s="5"/>
      <c r="QD1502" s="5"/>
      <c r="QE1502" s="5"/>
      <c r="QF1502" s="5"/>
      <c r="QG1502" s="5"/>
      <c r="QH1502" s="5"/>
      <c r="QI1502" s="5"/>
      <c r="QJ1502" s="5"/>
      <c r="QK1502" s="5"/>
      <c r="QL1502" s="5"/>
      <c r="QM1502" s="5"/>
      <c r="QN1502" s="5"/>
      <c r="QO1502" s="5"/>
      <c r="QP1502" s="5"/>
      <c r="QQ1502" s="5"/>
      <c r="QR1502" s="5"/>
      <c r="QS1502" s="5"/>
      <c r="QT1502" s="5"/>
      <c r="QU1502" s="5"/>
      <c r="QV1502" s="5"/>
      <c r="QW1502" s="5"/>
      <c r="QX1502" s="5"/>
      <c r="QY1502" s="5"/>
      <c r="QZ1502" s="5"/>
      <c r="RA1502" s="5"/>
      <c r="RB1502" s="5"/>
      <c r="RC1502" s="5"/>
      <c r="RD1502" s="5"/>
      <c r="RE1502" s="5"/>
      <c r="RF1502" s="5"/>
      <c r="RG1502" s="5"/>
      <c r="RH1502" s="5"/>
      <c r="RI1502" s="5"/>
      <c r="RJ1502" s="5"/>
      <c r="RK1502" s="5"/>
      <c r="RL1502" s="5"/>
      <c r="RM1502" s="5"/>
      <c r="RN1502" s="5"/>
      <c r="RO1502" s="5"/>
      <c r="RP1502" s="5"/>
      <c r="RQ1502" s="5"/>
      <c r="RR1502" s="5"/>
      <c r="RS1502" s="5"/>
      <c r="RT1502" s="5"/>
      <c r="RU1502" s="5"/>
      <c r="RV1502" s="5"/>
      <c r="RW1502" s="5"/>
      <c r="RX1502" s="5"/>
      <c r="RY1502" s="5"/>
      <c r="RZ1502" s="5"/>
      <c r="SA1502" s="5"/>
      <c r="SB1502" s="5"/>
      <c r="SC1502" s="5"/>
      <c r="SD1502" s="5"/>
      <c r="SE1502" s="5"/>
      <c r="SF1502" s="5"/>
      <c r="SG1502" s="5"/>
      <c r="SH1502" s="5"/>
      <c r="SI1502" s="5"/>
      <c r="SJ1502" s="5"/>
      <c r="SK1502" s="5"/>
      <c r="SL1502" s="5"/>
      <c r="SM1502" s="5"/>
      <c r="SN1502" s="5"/>
      <c r="SO1502" s="5"/>
      <c r="SP1502" s="5"/>
      <c r="SQ1502" s="5"/>
      <c r="SR1502" s="5"/>
      <c r="SS1502" s="5"/>
      <c r="ST1502" s="5"/>
      <c r="SU1502" s="5"/>
      <c r="SV1502" s="5"/>
      <c r="SW1502" s="5"/>
      <c r="SX1502" s="5"/>
      <c r="SY1502" s="5"/>
      <c r="SZ1502" s="5"/>
      <c r="TA1502" s="5"/>
      <c r="TB1502" s="5"/>
      <c r="TC1502" s="5"/>
      <c r="TD1502" s="5"/>
      <c r="TE1502" s="5"/>
      <c r="TF1502" s="5"/>
      <c r="TG1502" s="5"/>
      <c r="TH1502" s="5"/>
      <c r="TI1502" s="5"/>
      <c r="TJ1502" s="5"/>
      <c r="TK1502" s="5"/>
      <c r="TL1502" s="5"/>
      <c r="TM1502" s="5"/>
      <c r="TN1502" s="5"/>
      <c r="TO1502" s="5"/>
      <c r="TP1502" s="5"/>
      <c r="TQ1502" s="5"/>
      <c r="TR1502" s="5"/>
      <c r="TS1502" s="5"/>
      <c r="TT1502" s="5"/>
      <c r="TU1502" s="5"/>
      <c r="TV1502" s="5"/>
      <c r="TW1502" s="5"/>
      <c r="TX1502" s="5"/>
      <c r="TY1502" s="5"/>
      <c r="TZ1502" s="5"/>
      <c r="UA1502" s="5"/>
      <c r="UB1502" s="5"/>
      <c r="UC1502" s="5"/>
      <c r="UD1502" s="5"/>
      <c r="UE1502" s="5"/>
      <c r="UF1502" s="5"/>
      <c r="UG1502" s="5"/>
      <c r="UH1502" s="5"/>
      <c r="UI1502" s="5"/>
      <c r="UJ1502" s="5"/>
      <c r="UK1502" s="5"/>
      <c r="UL1502" s="5"/>
      <c r="UM1502" s="5"/>
      <c r="UN1502" s="5"/>
      <c r="UO1502" s="5"/>
      <c r="UP1502" s="5"/>
      <c r="UQ1502" s="5"/>
      <c r="UR1502" s="5"/>
      <c r="US1502" s="5"/>
      <c r="UT1502" s="5"/>
      <c r="UU1502" s="5"/>
      <c r="UV1502" s="5"/>
      <c r="UW1502" s="5"/>
      <c r="UX1502" s="5"/>
      <c r="UY1502" s="5"/>
      <c r="UZ1502" s="5"/>
      <c r="VA1502" s="5"/>
      <c r="VB1502" s="5"/>
      <c r="VC1502" s="5"/>
      <c r="VD1502" s="5"/>
      <c r="VE1502" s="5"/>
      <c r="VF1502" s="5"/>
      <c r="VG1502" s="5"/>
      <c r="VH1502" s="5"/>
      <c r="VI1502" s="5"/>
      <c r="VJ1502" s="5"/>
      <c r="VK1502" s="5"/>
      <c r="VL1502" s="5"/>
      <c r="VM1502" s="5"/>
      <c r="VN1502" s="5"/>
      <c r="VO1502" s="5"/>
      <c r="VP1502" s="5"/>
      <c r="VQ1502" s="5"/>
      <c r="VR1502" s="5"/>
      <c r="VS1502" s="5"/>
      <c r="VT1502" s="5"/>
      <c r="VU1502" s="5"/>
      <c r="VV1502" s="5"/>
      <c r="VW1502" s="5"/>
      <c r="VX1502" s="5"/>
      <c r="VY1502" s="5"/>
      <c r="VZ1502" s="5"/>
      <c r="WA1502" s="5"/>
      <c r="WB1502" s="5"/>
      <c r="WC1502" s="5"/>
      <c r="WD1502" s="5"/>
      <c r="WE1502" s="5"/>
      <c r="WF1502" s="5"/>
      <c r="WG1502" s="5"/>
      <c r="WH1502" s="5"/>
      <c r="WI1502" s="5"/>
      <c r="WJ1502" s="5"/>
      <c r="WK1502" s="5"/>
      <c r="WL1502" s="5"/>
      <c r="WM1502" s="5"/>
      <c r="WN1502" s="5"/>
      <c r="WO1502" s="5"/>
      <c r="WP1502" s="5"/>
      <c r="WQ1502" s="5"/>
      <c r="WR1502" s="5"/>
      <c r="WS1502" s="5"/>
      <c r="WT1502" s="5"/>
      <c r="WU1502" s="5"/>
      <c r="WV1502" s="5"/>
      <c r="WW1502" s="5"/>
      <c r="WX1502" s="5"/>
      <c r="WY1502" s="5"/>
      <c r="WZ1502" s="5"/>
      <c r="XA1502" s="5"/>
      <c r="XB1502" s="5"/>
      <c r="XC1502" s="5"/>
      <c r="XD1502" s="5"/>
      <c r="XE1502" s="5"/>
      <c r="XF1502" s="5"/>
      <c r="XG1502" s="5"/>
      <c r="XH1502" s="5"/>
      <c r="XI1502" s="5"/>
      <c r="XJ1502" s="5"/>
      <c r="XK1502" s="5"/>
      <c r="XL1502" s="5"/>
      <c r="XM1502" s="5"/>
      <c r="XN1502" s="5"/>
      <c r="XO1502" s="5"/>
      <c r="XP1502" s="5"/>
      <c r="XQ1502" s="5"/>
      <c r="XR1502" s="5"/>
      <c r="XS1502" s="5"/>
      <c r="XT1502" s="5"/>
      <c r="XU1502" s="5"/>
      <c r="XV1502" s="5"/>
      <c r="XW1502" s="5"/>
      <c r="XX1502" s="5"/>
      <c r="XY1502" s="5"/>
      <c r="XZ1502" s="5"/>
      <c r="YA1502" s="5"/>
      <c r="YB1502" s="5"/>
      <c r="YC1502" s="5"/>
      <c r="YD1502" s="5"/>
      <c r="YE1502" s="5"/>
      <c r="YF1502" s="5"/>
      <c r="YG1502" s="5"/>
      <c r="YH1502" s="5"/>
      <c r="YI1502" s="5"/>
      <c r="YJ1502" s="5"/>
      <c r="YK1502" s="5"/>
      <c r="YL1502" s="5"/>
      <c r="YM1502" s="5"/>
      <c r="YN1502" s="5"/>
      <c r="YO1502" s="5"/>
      <c r="YP1502" s="5"/>
      <c r="YQ1502" s="5"/>
      <c r="YR1502" s="5"/>
      <c r="YS1502" s="5"/>
      <c r="YT1502" s="5"/>
      <c r="YU1502" s="5"/>
      <c r="YV1502" s="5"/>
      <c r="YW1502" s="5"/>
      <c r="YX1502" s="5"/>
      <c r="YY1502" s="5"/>
      <c r="YZ1502" s="5"/>
      <c r="ZA1502" s="5"/>
      <c r="ZB1502" s="5"/>
      <c r="ZC1502" s="5"/>
      <c r="ZD1502" s="5"/>
      <c r="ZE1502" s="5"/>
      <c r="ZF1502" s="5"/>
      <c r="ZG1502" s="5"/>
      <c r="ZH1502" s="5"/>
      <c r="ZI1502" s="5"/>
      <c r="ZJ1502" s="5"/>
      <c r="ZK1502" s="5"/>
      <c r="ZL1502" s="5"/>
      <c r="ZM1502" s="5"/>
      <c r="ZN1502" s="5"/>
      <c r="ZO1502" s="5"/>
      <c r="ZP1502" s="5"/>
      <c r="ZQ1502" s="5"/>
      <c r="ZR1502" s="5"/>
      <c r="ZS1502" s="5"/>
      <c r="ZT1502" s="5"/>
      <c r="ZU1502" s="5"/>
      <c r="ZV1502" s="5"/>
      <c r="ZW1502" s="5"/>
      <c r="ZX1502" s="5"/>
      <c r="ZY1502" s="5"/>
      <c r="ZZ1502" s="5"/>
      <c r="AAA1502" s="5"/>
      <c r="AAB1502" s="5"/>
      <c r="AAC1502" s="5"/>
      <c r="AAD1502" s="5"/>
      <c r="AAE1502" s="5"/>
      <c r="AAF1502" s="5"/>
      <c r="AAG1502" s="5"/>
      <c r="AAH1502" s="5"/>
      <c r="AAI1502" s="5"/>
      <c r="AAJ1502" s="5"/>
      <c r="AAK1502" s="5"/>
      <c r="AAL1502" s="5"/>
      <c r="AAM1502" s="5"/>
      <c r="AAN1502" s="5"/>
      <c r="AAO1502" s="5"/>
      <c r="AAP1502" s="5"/>
      <c r="AAQ1502" s="5"/>
      <c r="AAR1502" s="5"/>
      <c r="AAS1502" s="5"/>
      <c r="AAT1502" s="5"/>
      <c r="AAU1502" s="5"/>
      <c r="AAV1502" s="5"/>
      <c r="AAW1502" s="5"/>
      <c r="AAX1502" s="5"/>
      <c r="AAY1502" s="5"/>
      <c r="AAZ1502" s="5"/>
      <c r="ABA1502" s="5"/>
      <c r="ABB1502" s="5"/>
      <c r="ABC1502" s="5"/>
      <c r="ABD1502" s="5"/>
      <c r="ABE1502" s="5"/>
      <c r="ABF1502" s="5"/>
      <c r="ABG1502" s="5"/>
      <c r="ABH1502" s="5"/>
      <c r="ABI1502" s="5"/>
      <c r="ABJ1502" s="5"/>
      <c r="ABK1502" s="5"/>
      <c r="ABL1502" s="5"/>
      <c r="ABM1502" s="5"/>
      <c r="ABN1502" s="5"/>
      <c r="ABO1502" s="5"/>
      <c r="ABP1502" s="5"/>
      <c r="ABQ1502" s="5"/>
      <c r="ABR1502" s="5"/>
      <c r="ABS1502" s="5"/>
      <c r="ABT1502" s="5"/>
      <c r="ABU1502" s="5"/>
      <c r="ABV1502" s="5"/>
      <c r="ABW1502" s="5"/>
      <c r="ABX1502" s="5"/>
      <c r="ABY1502" s="5"/>
      <c r="ABZ1502" s="5"/>
      <c r="ACA1502" s="5"/>
      <c r="ACB1502" s="5"/>
      <c r="ACC1502" s="5"/>
      <c r="ACD1502" s="5"/>
      <c r="ACE1502" s="5"/>
      <c r="ACF1502" s="5"/>
      <c r="ACG1502" s="5"/>
      <c r="ACH1502" s="5"/>
      <c r="ACI1502" s="5"/>
      <c r="ACJ1502" s="5"/>
      <c r="ACK1502" s="5"/>
      <c r="ACL1502" s="5"/>
      <c r="ACM1502" s="5"/>
      <c r="ACN1502" s="5"/>
      <c r="ACO1502" s="5"/>
      <c r="ACP1502" s="5"/>
      <c r="ACQ1502" s="5"/>
      <c r="ACR1502" s="5"/>
      <c r="ACS1502" s="5"/>
      <c r="ACT1502" s="5"/>
      <c r="ACU1502" s="5"/>
      <c r="ACV1502" s="5"/>
      <c r="ACW1502" s="5"/>
      <c r="ACX1502" s="5"/>
      <c r="ACY1502" s="5"/>
      <c r="ACZ1502" s="5"/>
      <c r="ADA1502" s="5"/>
      <c r="ADB1502" s="5"/>
      <c r="ADC1502" s="5"/>
      <c r="ADD1502" s="5"/>
      <c r="ADE1502" s="5"/>
      <c r="ADF1502" s="5"/>
      <c r="ADG1502" s="5"/>
      <c r="ADH1502" s="5"/>
      <c r="ADI1502" s="5"/>
      <c r="ADJ1502" s="5"/>
      <c r="ADK1502" s="5"/>
      <c r="ADL1502" s="5"/>
      <c r="ADM1502" s="5"/>
      <c r="ADN1502" s="5"/>
      <c r="ADO1502" s="5"/>
      <c r="ADP1502" s="5"/>
      <c r="ADQ1502" s="5"/>
      <c r="ADR1502" s="5"/>
      <c r="ADS1502" s="5"/>
      <c r="ADT1502" s="5"/>
      <c r="ADU1502" s="5"/>
      <c r="ADV1502" s="5"/>
      <c r="ADW1502" s="5"/>
      <c r="ADX1502" s="5"/>
      <c r="ADY1502" s="5"/>
      <c r="ADZ1502" s="5"/>
      <c r="AEA1502" s="5"/>
      <c r="AEB1502" s="5"/>
      <c r="AEC1502" s="5"/>
      <c r="AED1502" s="5"/>
      <c r="AEE1502" s="5"/>
      <c r="AEF1502" s="5"/>
      <c r="AEG1502" s="5"/>
      <c r="AEH1502" s="5"/>
      <c r="AEI1502" s="5"/>
      <c r="AEJ1502" s="5"/>
      <c r="AEK1502" s="5"/>
      <c r="AEL1502" s="5"/>
      <c r="AEM1502" s="5"/>
      <c r="AEN1502" s="5"/>
      <c r="AEO1502" s="5"/>
      <c r="AEP1502" s="5"/>
      <c r="AEQ1502" s="5"/>
      <c r="AER1502" s="5"/>
      <c r="AES1502" s="5"/>
      <c r="AET1502" s="5"/>
      <c r="AEU1502" s="5"/>
      <c r="AEV1502" s="5"/>
      <c r="AEW1502" s="5"/>
      <c r="AEX1502" s="5"/>
      <c r="AEY1502" s="5"/>
      <c r="AEZ1502" s="5"/>
      <c r="AFA1502" s="5"/>
      <c r="AFB1502" s="5"/>
      <c r="AFC1502" s="5"/>
      <c r="AFD1502" s="5"/>
      <c r="AFE1502" s="5"/>
      <c r="AFF1502" s="5"/>
      <c r="AFG1502" s="5"/>
      <c r="AFH1502" s="5"/>
      <c r="AFI1502" s="5"/>
      <c r="AFJ1502" s="5"/>
      <c r="AFK1502" s="5"/>
      <c r="AFL1502" s="5"/>
      <c r="AFM1502" s="5"/>
      <c r="AFN1502" s="5"/>
      <c r="AFO1502" s="5"/>
      <c r="AFP1502" s="5"/>
      <c r="AFQ1502" s="5"/>
      <c r="AFR1502" s="5"/>
      <c r="AFS1502" s="5"/>
      <c r="AFT1502" s="5"/>
      <c r="AFU1502" s="5"/>
      <c r="AFV1502" s="5"/>
      <c r="AFW1502" s="5"/>
      <c r="AFX1502" s="5"/>
      <c r="AFY1502" s="5"/>
      <c r="AFZ1502" s="5"/>
      <c r="AGA1502" s="5"/>
      <c r="AGB1502" s="5"/>
      <c r="AGC1502" s="5"/>
      <c r="AGD1502" s="5"/>
      <c r="AGE1502" s="5"/>
      <c r="AGF1502" s="5"/>
      <c r="AGG1502" s="5"/>
      <c r="AGH1502" s="5"/>
      <c r="AGI1502" s="5"/>
      <c r="AGJ1502" s="5"/>
      <c r="AGK1502" s="5"/>
      <c r="AGL1502" s="5"/>
      <c r="AGM1502" s="5"/>
      <c r="AGN1502" s="5"/>
      <c r="AGO1502" s="5"/>
      <c r="AGP1502" s="5"/>
      <c r="AGQ1502" s="5"/>
      <c r="AGR1502" s="5"/>
      <c r="AGS1502" s="5"/>
      <c r="AGT1502" s="5"/>
      <c r="AGU1502" s="5"/>
      <c r="AGV1502" s="5"/>
      <c r="AGW1502" s="5"/>
      <c r="AGX1502" s="5"/>
      <c r="AGY1502" s="5"/>
      <c r="AGZ1502" s="5"/>
      <c r="AHA1502" s="5"/>
      <c r="AHB1502" s="5"/>
      <c r="AHC1502" s="5"/>
      <c r="AHD1502" s="5"/>
      <c r="AHE1502" s="5"/>
      <c r="AHF1502" s="5"/>
      <c r="AHG1502" s="5"/>
      <c r="AHH1502" s="5"/>
      <c r="AHI1502" s="5"/>
      <c r="AHJ1502" s="5"/>
      <c r="AHK1502" s="5"/>
      <c r="AHL1502" s="5"/>
      <c r="AHM1502" s="5"/>
      <c r="AHN1502" s="5"/>
      <c r="AHO1502" s="5"/>
      <c r="AHP1502" s="5"/>
      <c r="AHQ1502" s="5"/>
      <c r="AHR1502" s="5"/>
      <c r="AHS1502" s="5"/>
      <c r="AHT1502" s="5"/>
      <c r="AHU1502" s="5"/>
      <c r="AHV1502" s="5"/>
      <c r="AHW1502" s="5"/>
      <c r="AHX1502" s="5"/>
      <c r="AHY1502" s="5"/>
      <c r="AHZ1502" s="5"/>
      <c r="AIA1502" s="5"/>
      <c r="AIB1502" s="5"/>
      <c r="AIC1502" s="5"/>
      <c r="AID1502" s="5"/>
      <c r="AIE1502" s="5"/>
      <c r="AIF1502" s="5"/>
      <c r="AIG1502" s="5"/>
      <c r="AIH1502" s="5"/>
      <c r="AII1502" s="5"/>
      <c r="AIJ1502" s="5"/>
      <c r="AIK1502" s="5"/>
      <c r="AIL1502" s="5"/>
      <c r="AIM1502" s="5"/>
      <c r="AIN1502" s="5"/>
      <c r="AIO1502" s="5"/>
      <c r="AIP1502" s="5"/>
      <c r="AIQ1502" s="5"/>
      <c r="AIR1502" s="5"/>
      <c r="AIS1502" s="5"/>
      <c r="AIT1502" s="5"/>
      <c r="AIU1502" s="5"/>
      <c r="AIV1502" s="5"/>
      <c r="AIW1502" s="5"/>
      <c r="AIX1502" s="5"/>
      <c r="AIY1502" s="5"/>
      <c r="AIZ1502" s="5"/>
      <c r="AJA1502" s="5"/>
      <c r="AJB1502" s="5"/>
      <c r="AJC1502" s="5"/>
      <c r="AJD1502" s="5"/>
      <c r="AJE1502" s="5"/>
      <c r="AJF1502" s="5"/>
      <c r="AJG1502" s="5"/>
      <c r="AJH1502" s="5"/>
      <c r="AJI1502" s="5"/>
      <c r="AJJ1502" s="5"/>
      <c r="AJK1502" s="5"/>
      <c r="AJL1502" s="5"/>
      <c r="AJM1502" s="5"/>
      <c r="AJN1502" s="5"/>
      <c r="AJO1502" s="5"/>
      <c r="AJP1502" s="5"/>
      <c r="AJQ1502" s="5"/>
      <c r="AJR1502" s="5"/>
      <c r="AJS1502" s="5"/>
      <c r="AJT1502" s="5"/>
      <c r="AJU1502" s="5"/>
      <c r="AJV1502" s="5"/>
      <c r="AJW1502" s="5"/>
      <c r="AJX1502" s="5"/>
      <c r="AJY1502" s="5"/>
      <c r="AJZ1502" s="5"/>
      <c r="AKA1502" s="5"/>
      <c r="AKB1502" s="5"/>
      <c r="AKC1502" s="5"/>
      <c r="AKD1502" s="5"/>
      <c r="AKE1502" s="5"/>
      <c r="AKF1502" s="5"/>
      <c r="AKG1502" s="5"/>
      <c r="AKH1502" s="5"/>
      <c r="AKI1502" s="5"/>
      <c r="AKJ1502" s="5"/>
      <c r="AKK1502" s="5"/>
      <c r="AKL1502" s="5"/>
      <c r="AKM1502" s="5"/>
      <c r="AKN1502" s="5"/>
      <c r="AKO1502" s="5"/>
      <c r="AKP1502" s="5"/>
      <c r="AKQ1502" s="5"/>
      <c r="AKR1502" s="5"/>
      <c r="AKS1502" s="5"/>
      <c r="AKT1502" s="5"/>
      <c r="AKU1502" s="5"/>
      <c r="AKV1502" s="5"/>
      <c r="AKW1502" s="5"/>
      <c r="AKX1502" s="5"/>
      <c r="AKY1502" s="5"/>
      <c r="AKZ1502" s="5"/>
      <c r="ALA1502" s="5"/>
      <c r="ALB1502" s="5"/>
      <c r="ALC1502" s="5"/>
      <c r="ALD1502" s="5"/>
      <c r="ALE1502" s="5"/>
      <c r="ALF1502" s="5"/>
      <c r="ALG1502" s="5"/>
      <c r="ALH1502" s="5"/>
      <c r="ALI1502" s="5"/>
      <c r="ALJ1502" s="5"/>
      <c r="ALK1502" s="5"/>
      <c r="ALL1502" s="5"/>
      <c r="ALM1502" s="5"/>
      <c r="ALN1502" s="5"/>
      <c r="ALO1502" s="5"/>
      <c r="ALP1502" s="5"/>
      <c r="ALQ1502" s="5"/>
      <c r="ALR1502" s="5"/>
      <c r="ALS1502" s="5"/>
      <c r="ALT1502" s="5"/>
      <c r="ALU1502" s="5"/>
      <c r="ALV1502" s="5"/>
      <c r="ALW1502" s="5"/>
      <c r="ALX1502" s="5"/>
      <c r="ALY1502" s="5"/>
      <c r="ALZ1502" s="5"/>
      <c r="AMA1502" s="5"/>
      <c r="AMB1502" s="5"/>
      <c r="AMC1502" s="5"/>
      <c r="AMD1502" s="5"/>
      <c r="AME1502" s="5"/>
      <c r="AMF1502" s="5"/>
      <c r="AMG1502" s="5"/>
      <c r="AMH1502" s="5"/>
      <c r="AMI1502" s="5"/>
      <c r="AMJ1502" s="5"/>
      <c r="AMK1502" s="5"/>
      <c r="AML1502" s="5"/>
      <c r="AMM1502" s="5"/>
      <c r="AMN1502" s="5"/>
      <c r="AMO1502" s="5"/>
      <c r="AMP1502" s="5"/>
      <c r="AMQ1502" s="5"/>
      <c r="AMR1502" s="5"/>
      <c r="AMS1502" s="5"/>
      <c r="AMT1502" s="5"/>
      <c r="AMU1502" s="5"/>
      <c r="AMV1502" s="5"/>
      <c r="AMW1502" s="5"/>
      <c r="AMX1502" s="5"/>
      <c r="AMY1502" s="5"/>
      <c r="AMZ1502" s="5"/>
      <c r="ANA1502" s="5"/>
      <c r="ANB1502" s="5"/>
      <c r="ANC1502" s="5"/>
      <c r="AND1502" s="5"/>
      <c r="ANE1502" s="5"/>
      <c r="ANF1502" s="5"/>
      <c r="ANG1502" s="5"/>
      <c r="ANH1502" s="5"/>
      <c r="ANI1502" s="5"/>
      <c r="ANJ1502" s="5"/>
      <c r="ANK1502" s="5"/>
      <c r="ANL1502" s="5"/>
      <c r="ANM1502" s="5"/>
      <c r="ANN1502" s="5"/>
      <c r="ANO1502" s="5"/>
      <c r="ANP1502" s="5"/>
      <c r="ANQ1502" s="5"/>
      <c r="ANR1502" s="5"/>
      <c r="ANS1502" s="5"/>
      <c r="ANT1502" s="5"/>
      <c r="ANU1502" s="5"/>
      <c r="ANV1502" s="5"/>
      <c r="ANW1502" s="5"/>
      <c r="ANX1502" s="5"/>
      <c r="ANY1502" s="5"/>
      <c r="ANZ1502" s="5"/>
      <c r="AOA1502" s="5"/>
      <c r="AOB1502" s="5"/>
      <c r="AOC1502" s="5"/>
      <c r="AOD1502" s="5"/>
      <c r="AOE1502" s="5"/>
      <c r="AOF1502" s="5"/>
      <c r="AOG1502" s="5"/>
      <c r="AOH1502" s="5"/>
      <c r="AOI1502" s="5"/>
      <c r="AOJ1502" s="5"/>
      <c r="AOK1502" s="5"/>
      <c r="AOL1502" s="5"/>
      <c r="AOM1502" s="5"/>
      <c r="AON1502" s="5"/>
      <c r="AOO1502" s="5"/>
      <c r="AOP1502" s="5"/>
      <c r="AOQ1502" s="5"/>
      <c r="AOR1502" s="5"/>
      <c r="AOS1502" s="5"/>
      <c r="AOT1502" s="5"/>
      <c r="AOU1502" s="5"/>
      <c r="AOV1502" s="5"/>
      <c r="AOW1502" s="5"/>
      <c r="AOX1502" s="5"/>
      <c r="AOY1502" s="5"/>
      <c r="AOZ1502" s="5"/>
      <c r="APA1502" s="5"/>
      <c r="APB1502" s="5"/>
      <c r="APC1502" s="5"/>
      <c r="APD1502" s="5"/>
      <c r="APE1502" s="5"/>
      <c r="APF1502" s="5"/>
      <c r="APG1502" s="5"/>
      <c r="APH1502" s="5"/>
      <c r="API1502" s="5"/>
      <c r="APJ1502" s="5"/>
      <c r="APK1502" s="5"/>
      <c r="APL1502" s="5"/>
      <c r="APM1502" s="5"/>
      <c r="APN1502" s="5"/>
      <c r="APO1502" s="5"/>
      <c r="APP1502" s="5"/>
      <c r="APQ1502" s="5"/>
      <c r="APR1502" s="5"/>
      <c r="APS1502" s="5"/>
      <c r="APT1502" s="5"/>
      <c r="APU1502" s="5"/>
      <c r="APV1502" s="5"/>
      <c r="APW1502" s="5"/>
      <c r="APX1502" s="5"/>
      <c r="APY1502" s="5"/>
      <c r="APZ1502" s="5"/>
      <c r="AQA1502" s="5"/>
      <c r="AQB1502" s="5"/>
      <c r="AQC1502" s="5"/>
      <c r="AQD1502" s="5"/>
      <c r="AQE1502" s="5"/>
      <c r="AQF1502" s="5"/>
      <c r="AQG1502" s="5"/>
      <c r="AQH1502" s="5"/>
      <c r="AQI1502" s="5"/>
      <c r="AQJ1502" s="5"/>
      <c r="AQK1502" s="5"/>
      <c r="AQL1502" s="5"/>
      <c r="AQM1502" s="5"/>
      <c r="AQN1502" s="5"/>
      <c r="AQO1502" s="5"/>
      <c r="AQP1502" s="5"/>
      <c r="AQQ1502" s="5"/>
      <c r="AQR1502" s="5"/>
      <c r="AQS1502" s="5"/>
      <c r="AQT1502" s="5"/>
      <c r="AQU1502" s="5"/>
      <c r="AQV1502" s="5"/>
      <c r="AQW1502" s="5"/>
      <c r="AQX1502" s="5"/>
      <c r="AQY1502" s="5"/>
      <c r="AQZ1502" s="5"/>
      <c r="ARA1502" s="5"/>
      <c r="ARB1502" s="5"/>
      <c r="ARC1502" s="5"/>
      <c r="ARD1502" s="5"/>
      <c r="ARE1502" s="5"/>
      <c r="ARF1502" s="5"/>
      <c r="ARG1502" s="5"/>
      <c r="ARH1502" s="5"/>
      <c r="ARI1502" s="5"/>
      <c r="ARJ1502" s="5"/>
      <c r="ARK1502" s="5"/>
      <c r="ARL1502" s="5"/>
      <c r="ARM1502" s="5"/>
      <c r="ARN1502" s="5"/>
      <c r="ARO1502" s="5"/>
      <c r="ARP1502" s="5"/>
      <c r="ARQ1502" s="5"/>
      <c r="ARR1502" s="5"/>
      <c r="ARS1502" s="5"/>
      <c r="ART1502" s="5"/>
      <c r="ARU1502" s="5"/>
      <c r="ARV1502" s="5"/>
      <c r="ARW1502" s="5"/>
      <c r="ARX1502" s="5"/>
      <c r="ARY1502" s="5"/>
      <c r="ARZ1502" s="5"/>
      <c r="ASA1502" s="5"/>
      <c r="ASB1502" s="5"/>
      <c r="ASC1502" s="5"/>
      <c r="ASD1502" s="5"/>
      <c r="ASE1502" s="5"/>
      <c r="ASF1502" s="5"/>
      <c r="ASG1502" s="5"/>
      <c r="ASH1502" s="5"/>
      <c r="ASI1502" s="5"/>
      <c r="ASJ1502" s="5"/>
      <c r="ASK1502" s="5"/>
      <c r="ASL1502" s="5"/>
      <c r="ASM1502" s="5"/>
      <c r="ASN1502" s="5"/>
      <c r="ASO1502" s="5"/>
      <c r="ASP1502" s="5"/>
      <c r="ASQ1502" s="5"/>
      <c r="ASR1502" s="5"/>
      <c r="ASS1502" s="5"/>
      <c r="AST1502" s="5"/>
      <c r="ASU1502" s="5"/>
      <c r="ASV1502" s="5"/>
      <c r="ASW1502" s="5"/>
      <c r="ASX1502" s="5"/>
      <c r="ASY1502" s="5"/>
      <c r="ASZ1502" s="5"/>
      <c r="ATA1502" s="5"/>
      <c r="ATB1502" s="5"/>
      <c r="ATC1502" s="5"/>
      <c r="ATD1502" s="5"/>
      <c r="ATE1502" s="5"/>
      <c r="ATF1502" s="5"/>
      <c r="ATG1502" s="5"/>
      <c r="ATH1502" s="5"/>
      <c r="ATI1502" s="5"/>
      <c r="ATJ1502" s="5"/>
      <c r="ATK1502" s="5"/>
      <c r="ATL1502" s="5"/>
      <c r="ATM1502" s="5"/>
      <c r="ATN1502" s="5"/>
      <c r="ATO1502" s="5"/>
      <c r="ATP1502" s="5"/>
      <c r="ATQ1502" s="5"/>
      <c r="ATR1502" s="5"/>
      <c r="ATS1502" s="5"/>
      <c r="ATT1502" s="5"/>
      <c r="ATU1502" s="5"/>
      <c r="ATV1502" s="5"/>
      <c r="ATW1502" s="5"/>
      <c r="ATX1502" s="5"/>
    </row>
    <row r="1503" spans="1:1220" ht="12.75" customHeight="1" x14ac:dyDescent="0.35">
      <c r="B1503" s="102"/>
      <c r="C1503" s="14"/>
      <c r="D1503" s="146"/>
    </row>
  </sheetData>
  <hyperlinks>
    <hyperlink ref="D393" location="'Assignment-Course Codes'!Course_Code" display="Assignment-Course Codes" xr:uid="{00000000-0004-0000-0400-000000000000}"/>
    <hyperlink ref="D1386" location="'Assignment-Course Codes'!Course_Code" display="Assignment-Course Codes" xr:uid="{00000000-0004-0000-0400-000002000000}"/>
    <hyperlink ref="C1386" location="'Assignment-Course Codes'!Course_Code" display="See Assignment-Course Codes tab" xr:uid="{00000000-0004-0000-0400-000003000000}"/>
    <hyperlink ref="C393" location="'Assignment-Course Codes'!Course_Code" display="See Assignment-Course Codes tab" xr:uid="{00000000-0004-0000-0400-000004000000}"/>
    <hyperlink ref="C1352" location="'Districts and Schools'!A1" display="See Districts and Schools Tab" xr:uid="{6D9AF431-54A5-4E1A-B4BE-FB77FC49D2F4}"/>
    <hyperlink ref="D1352" location="'Districts and Schools'!A1" display="See Districts and Schools Tab" xr:uid="{CB6B872A-30F9-40FA-8E45-B639477A3A0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56"/>
  <sheetViews>
    <sheetView zoomScale="90" zoomScaleNormal="90" workbookViewId="0">
      <selection sqref="A1:XFD1"/>
    </sheetView>
  </sheetViews>
  <sheetFormatPr defaultColWidth="9.1796875" defaultRowHeight="14.15" customHeight="1" x14ac:dyDescent="0.35"/>
  <cols>
    <col min="1" max="1" width="110" style="315" customWidth="1"/>
    <col min="2" max="2" width="6.453125" style="119" customWidth="1"/>
    <col min="3" max="3" width="9.1796875" style="119"/>
    <col min="4" max="4" width="110" style="299" customWidth="1"/>
    <col min="5" max="16384" width="9.1796875" style="119"/>
  </cols>
  <sheetData>
    <row r="1" spans="1:4" ht="15" customHeight="1" thickBot="1" x14ac:dyDescent="0.4">
      <c r="A1" s="28" t="s">
        <v>4111</v>
      </c>
      <c r="D1" s="312" t="s">
        <v>4112</v>
      </c>
    </row>
    <row r="2" spans="1:4" ht="14.15" customHeight="1" x14ac:dyDescent="0.35">
      <c r="A2" s="304" t="s">
        <v>4113</v>
      </c>
      <c r="D2" s="313" t="s">
        <v>4113</v>
      </c>
    </row>
    <row r="3" spans="1:4" ht="14.15" customHeight="1" x14ac:dyDescent="0.35">
      <c r="A3" s="304" t="s">
        <v>4114</v>
      </c>
      <c r="D3" s="313" t="s">
        <v>4114</v>
      </c>
    </row>
    <row r="4" spans="1:4" ht="14.15" customHeight="1" x14ac:dyDescent="0.35">
      <c r="A4" s="304" t="s">
        <v>4115</v>
      </c>
      <c r="D4" s="313" t="s">
        <v>4115</v>
      </c>
    </row>
    <row r="5" spans="1:4" ht="14.15" customHeight="1" x14ac:dyDescent="0.35">
      <c r="A5" s="304" t="s">
        <v>4116</v>
      </c>
      <c r="D5" s="313" t="s">
        <v>4116</v>
      </c>
    </row>
    <row r="6" spans="1:4" ht="14.15" customHeight="1" x14ac:dyDescent="0.35">
      <c r="A6" s="304" t="s">
        <v>4117</v>
      </c>
      <c r="D6" s="313" t="s">
        <v>4117</v>
      </c>
    </row>
    <row r="7" spans="1:4" ht="14.15" customHeight="1" x14ac:dyDescent="0.35">
      <c r="A7" s="304" t="s">
        <v>4118</v>
      </c>
      <c r="D7" s="313" t="s">
        <v>4118</v>
      </c>
    </row>
    <row r="8" spans="1:4" ht="14.15" customHeight="1" x14ac:dyDescent="0.35">
      <c r="A8" s="304" t="s">
        <v>4119</v>
      </c>
      <c r="D8" s="313" t="s">
        <v>4119</v>
      </c>
    </row>
    <row r="9" spans="1:4" ht="14.15" customHeight="1" x14ac:dyDescent="0.35">
      <c r="A9" s="304" t="s">
        <v>4120</v>
      </c>
      <c r="D9" s="313" t="s">
        <v>4120</v>
      </c>
    </row>
    <row r="10" spans="1:4" ht="14.15" customHeight="1" x14ac:dyDescent="0.35">
      <c r="A10" s="304" t="s">
        <v>4121</v>
      </c>
      <c r="D10" s="313" t="s">
        <v>4121</v>
      </c>
    </row>
    <row r="11" spans="1:4" ht="14.15" customHeight="1" x14ac:dyDescent="0.35">
      <c r="A11" s="304" t="s">
        <v>4122</v>
      </c>
      <c r="D11" s="313" t="s">
        <v>4122</v>
      </c>
    </row>
    <row r="12" spans="1:4" ht="14.15" customHeight="1" x14ac:dyDescent="0.35">
      <c r="A12" s="304" t="s">
        <v>4123</v>
      </c>
      <c r="D12" s="313" t="s">
        <v>4123</v>
      </c>
    </row>
    <row r="13" spans="1:4" ht="14.15" customHeight="1" x14ac:dyDescent="0.35">
      <c r="A13" s="304" t="s">
        <v>4124</v>
      </c>
      <c r="D13" s="313" t="s">
        <v>4124</v>
      </c>
    </row>
    <row r="14" spans="1:4" ht="14.15" customHeight="1" x14ac:dyDescent="0.35">
      <c r="A14" s="304" t="s">
        <v>4125</v>
      </c>
      <c r="D14" s="313" t="s">
        <v>4125</v>
      </c>
    </row>
    <row r="15" spans="1:4" ht="14.15" customHeight="1" x14ac:dyDescent="0.35">
      <c r="A15" s="184" t="s">
        <v>4126</v>
      </c>
      <c r="D15" s="314" t="s">
        <v>4126</v>
      </c>
    </row>
    <row r="16" spans="1:4" ht="14.15" customHeight="1" x14ac:dyDescent="0.35">
      <c r="A16" s="304" t="s">
        <v>4127</v>
      </c>
      <c r="D16" s="313" t="s">
        <v>4127</v>
      </c>
    </row>
    <row r="17" spans="1:4" ht="14.15" customHeight="1" x14ac:dyDescent="0.35">
      <c r="A17" s="304" t="s">
        <v>4128</v>
      </c>
      <c r="D17" s="313" t="s">
        <v>4128</v>
      </c>
    </row>
    <row r="18" spans="1:4" ht="14.15" customHeight="1" x14ac:dyDescent="0.35">
      <c r="A18" s="304" t="s">
        <v>4129</v>
      </c>
      <c r="D18" s="313" t="s">
        <v>4129</v>
      </c>
    </row>
    <row r="19" spans="1:4" ht="14.15" customHeight="1" x14ac:dyDescent="0.35">
      <c r="A19" s="304" t="s">
        <v>4130</v>
      </c>
      <c r="D19" s="313" t="s">
        <v>4130</v>
      </c>
    </row>
    <row r="20" spans="1:4" ht="14.15" customHeight="1" x14ac:dyDescent="0.35">
      <c r="A20" s="304" t="s">
        <v>4131</v>
      </c>
      <c r="D20" s="313" t="s">
        <v>4131</v>
      </c>
    </row>
    <row r="21" spans="1:4" ht="14.15" customHeight="1" x14ac:dyDescent="0.35">
      <c r="A21" s="304" t="s">
        <v>4132</v>
      </c>
      <c r="D21" s="313" t="s">
        <v>4132</v>
      </c>
    </row>
    <row r="22" spans="1:4" ht="14.15" customHeight="1" x14ac:dyDescent="0.35">
      <c r="A22" s="304" t="s">
        <v>4133</v>
      </c>
      <c r="D22" s="313" t="s">
        <v>4133</v>
      </c>
    </row>
    <row r="23" spans="1:4" ht="14.15" customHeight="1" x14ac:dyDescent="0.35">
      <c r="A23" s="304" t="s">
        <v>4134</v>
      </c>
      <c r="D23" s="313" t="s">
        <v>4134</v>
      </c>
    </row>
    <row r="24" spans="1:4" ht="14.15" customHeight="1" x14ac:dyDescent="0.35">
      <c r="A24" s="304" t="s">
        <v>4135</v>
      </c>
      <c r="D24" s="313" t="s">
        <v>4135</v>
      </c>
    </row>
    <row r="25" spans="1:4" ht="14.15" customHeight="1" x14ac:dyDescent="0.35">
      <c r="A25" s="304" t="s">
        <v>4136</v>
      </c>
      <c r="D25" s="313" t="s">
        <v>4136</v>
      </c>
    </row>
    <row r="26" spans="1:4" ht="14.15" customHeight="1" x14ac:dyDescent="0.35">
      <c r="A26" s="304" t="s">
        <v>4137</v>
      </c>
      <c r="D26" s="313" t="s">
        <v>4137</v>
      </c>
    </row>
    <row r="27" spans="1:4" ht="14.15" customHeight="1" x14ac:dyDescent="0.35">
      <c r="A27" s="304" t="s">
        <v>4138</v>
      </c>
      <c r="D27" s="313" t="s">
        <v>4138</v>
      </c>
    </row>
    <row r="28" spans="1:4" ht="14.15" customHeight="1" x14ac:dyDescent="0.35">
      <c r="A28" s="304" t="s">
        <v>4139</v>
      </c>
      <c r="D28" s="313" t="s">
        <v>4139</v>
      </c>
    </row>
    <row r="29" spans="1:4" ht="14.15" customHeight="1" x14ac:dyDescent="0.35">
      <c r="A29" s="304" t="s">
        <v>4140</v>
      </c>
      <c r="D29" s="313" t="s">
        <v>4140</v>
      </c>
    </row>
    <row r="30" spans="1:4" ht="14.15" customHeight="1" x14ac:dyDescent="0.35">
      <c r="A30" s="304" t="s">
        <v>4141</v>
      </c>
      <c r="D30" s="313" t="s">
        <v>4141</v>
      </c>
    </row>
    <row r="31" spans="1:4" ht="14.15" customHeight="1" x14ac:dyDescent="0.35">
      <c r="A31" s="304" t="s">
        <v>4142</v>
      </c>
      <c r="D31" s="313" t="s">
        <v>4142</v>
      </c>
    </row>
    <row r="32" spans="1:4" ht="14.15" customHeight="1" x14ac:dyDescent="0.35">
      <c r="A32" s="304" t="s">
        <v>4143</v>
      </c>
      <c r="D32" s="313" t="s">
        <v>4143</v>
      </c>
    </row>
    <row r="33" spans="1:4" ht="14.15" customHeight="1" x14ac:dyDescent="0.35">
      <c r="A33" s="304" t="s">
        <v>4144</v>
      </c>
      <c r="D33" s="313" t="s">
        <v>4144</v>
      </c>
    </row>
    <row r="34" spans="1:4" ht="14.15" customHeight="1" x14ac:dyDescent="0.35">
      <c r="A34" s="304" t="s">
        <v>4145</v>
      </c>
      <c r="D34" s="313" t="s">
        <v>4145</v>
      </c>
    </row>
    <row r="35" spans="1:4" ht="14.15" customHeight="1" x14ac:dyDescent="0.35">
      <c r="A35" s="304" t="s">
        <v>4146</v>
      </c>
      <c r="D35" s="313" t="s">
        <v>4146</v>
      </c>
    </row>
    <row r="36" spans="1:4" ht="14.15" customHeight="1" x14ac:dyDescent="0.35">
      <c r="A36" s="304" t="s">
        <v>4147</v>
      </c>
      <c r="D36" s="313" t="s">
        <v>4147</v>
      </c>
    </row>
    <row r="37" spans="1:4" ht="14.15" customHeight="1" x14ac:dyDescent="0.35">
      <c r="A37" s="304" t="s">
        <v>4148</v>
      </c>
      <c r="D37" s="313" t="s">
        <v>4148</v>
      </c>
    </row>
    <row r="38" spans="1:4" ht="14.15" customHeight="1" x14ac:dyDescent="0.35">
      <c r="A38" s="304" t="s">
        <v>4149</v>
      </c>
      <c r="D38" s="313" t="s">
        <v>4149</v>
      </c>
    </row>
    <row r="39" spans="1:4" ht="14.15" customHeight="1" x14ac:dyDescent="0.35">
      <c r="A39" s="304" t="s">
        <v>4150</v>
      </c>
      <c r="D39" s="313" t="s">
        <v>4150</v>
      </c>
    </row>
    <row r="40" spans="1:4" ht="14.15" customHeight="1" x14ac:dyDescent="0.35">
      <c r="A40" s="304" t="s">
        <v>4151</v>
      </c>
      <c r="D40" s="313" t="s">
        <v>4151</v>
      </c>
    </row>
    <row r="41" spans="1:4" ht="14.15" customHeight="1" x14ac:dyDescent="0.35">
      <c r="A41" s="304" t="s">
        <v>4152</v>
      </c>
      <c r="D41" s="313" t="s">
        <v>4152</v>
      </c>
    </row>
    <row r="42" spans="1:4" ht="14.15" customHeight="1" x14ac:dyDescent="0.35">
      <c r="A42" s="304" t="s">
        <v>4153</v>
      </c>
      <c r="D42" s="313" t="s">
        <v>4153</v>
      </c>
    </row>
    <row r="43" spans="1:4" ht="14.15" customHeight="1" x14ac:dyDescent="0.35">
      <c r="A43" s="304" t="s">
        <v>4154</v>
      </c>
      <c r="D43" s="313" t="s">
        <v>4154</v>
      </c>
    </row>
    <row r="44" spans="1:4" ht="14.15" customHeight="1" x14ac:dyDescent="0.35">
      <c r="A44" s="304" t="s">
        <v>4155</v>
      </c>
      <c r="D44" s="313" t="s">
        <v>4155</v>
      </c>
    </row>
    <row r="45" spans="1:4" ht="14.15" customHeight="1" x14ac:dyDescent="0.35">
      <c r="A45" s="304" t="s">
        <v>4156</v>
      </c>
      <c r="D45" s="313" t="s">
        <v>4156</v>
      </c>
    </row>
    <row r="46" spans="1:4" ht="14.15" customHeight="1" x14ac:dyDescent="0.35">
      <c r="A46" s="304" t="s">
        <v>4157</v>
      </c>
      <c r="D46" s="313" t="s">
        <v>4157</v>
      </c>
    </row>
    <row r="47" spans="1:4" ht="14.15" customHeight="1" x14ac:dyDescent="0.35">
      <c r="A47" s="304" t="s">
        <v>4158</v>
      </c>
      <c r="D47" s="313" t="s">
        <v>4158</v>
      </c>
    </row>
    <row r="48" spans="1:4" ht="14.15" customHeight="1" x14ac:dyDescent="0.35">
      <c r="A48" s="304" t="s">
        <v>4159</v>
      </c>
      <c r="D48" s="313" t="s">
        <v>4159</v>
      </c>
    </row>
    <row r="49" spans="1:4" ht="14.15" customHeight="1" x14ac:dyDescent="0.35">
      <c r="A49" s="304" t="s">
        <v>4160</v>
      </c>
      <c r="D49" s="313" t="s">
        <v>4160</v>
      </c>
    </row>
    <row r="50" spans="1:4" ht="14.15" customHeight="1" x14ac:dyDescent="0.35">
      <c r="A50" s="304" t="s">
        <v>4161</v>
      </c>
      <c r="D50" s="313" t="s">
        <v>4161</v>
      </c>
    </row>
    <row r="51" spans="1:4" ht="14.15" customHeight="1" x14ac:dyDescent="0.35">
      <c r="A51" s="304" t="s">
        <v>4162</v>
      </c>
      <c r="D51" s="313" t="s">
        <v>4162</v>
      </c>
    </row>
    <row r="52" spans="1:4" ht="14.15" customHeight="1" x14ac:dyDescent="0.35">
      <c r="A52" s="304" t="s">
        <v>4163</v>
      </c>
      <c r="D52" s="313" t="s">
        <v>4163</v>
      </c>
    </row>
    <row r="53" spans="1:4" ht="14.15" customHeight="1" x14ac:dyDescent="0.35">
      <c r="A53" s="304" t="s">
        <v>4164</v>
      </c>
      <c r="D53" s="313" t="s">
        <v>4164</v>
      </c>
    </row>
    <row r="54" spans="1:4" ht="14.15" customHeight="1" x14ac:dyDescent="0.35">
      <c r="A54" s="304" t="s">
        <v>4165</v>
      </c>
      <c r="D54" s="313" t="s">
        <v>4165</v>
      </c>
    </row>
    <row r="55" spans="1:4" ht="14.15" customHeight="1" x14ac:dyDescent="0.35">
      <c r="A55" s="304" t="s">
        <v>4166</v>
      </c>
      <c r="D55" s="313" t="s">
        <v>4166</v>
      </c>
    </row>
    <row r="56" spans="1:4" ht="14.15" customHeight="1" x14ac:dyDescent="0.35">
      <c r="A56" s="304" t="s">
        <v>4167</v>
      </c>
      <c r="D56" s="313" t="s">
        <v>4167</v>
      </c>
    </row>
    <row r="57" spans="1:4" ht="14.15" customHeight="1" x14ac:dyDescent="0.35">
      <c r="A57" s="304" t="s">
        <v>4168</v>
      </c>
      <c r="D57" s="313" t="s">
        <v>4168</v>
      </c>
    </row>
    <row r="58" spans="1:4" ht="14.15" customHeight="1" x14ac:dyDescent="0.35">
      <c r="A58" s="304" t="s">
        <v>4169</v>
      </c>
      <c r="D58" s="313" t="s">
        <v>4169</v>
      </c>
    </row>
    <row r="59" spans="1:4" ht="14.15" customHeight="1" x14ac:dyDescent="0.35">
      <c r="A59" s="304" t="s">
        <v>4170</v>
      </c>
      <c r="D59" s="313" t="s">
        <v>4170</v>
      </c>
    </row>
    <row r="60" spans="1:4" ht="14.15" customHeight="1" x14ac:dyDescent="0.35">
      <c r="A60" s="304" t="s">
        <v>4171</v>
      </c>
      <c r="D60" s="313" t="s">
        <v>4171</v>
      </c>
    </row>
    <row r="61" spans="1:4" ht="14.15" customHeight="1" x14ac:dyDescent="0.35">
      <c r="A61" s="304" t="s">
        <v>4172</v>
      </c>
      <c r="D61" s="313" t="s">
        <v>4172</v>
      </c>
    </row>
    <row r="62" spans="1:4" ht="14.15" customHeight="1" x14ac:dyDescent="0.35">
      <c r="A62" s="304" t="s">
        <v>4173</v>
      </c>
      <c r="D62" s="313" t="s">
        <v>4173</v>
      </c>
    </row>
    <row r="63" spans="1:4" ht="14.15" customHeight="1" x14ac:dyDescent="0.35">
      <c r="A63" s="304" t="s">
        <v>4174</v>
      </c>
      <c r="D63" s="313" t="s">
        <v>4174</v>
      </c>
    </row>
    <row r="64" spans="1:4" ht="14.15" customHeight="1" x14ac:dyDescent="0.35">
      <c r="A64" s="304" t="s">
        <v>4175</v>
      </c>
      <c r="D64" s="313" t="s">
        <v>4175</v>
      </c>
    </row>
    <row r="65" spans="1:4" ht="14.15" customHeight="1" x14ac:dyDescent="0.35">
      <c r="A65" s="304" t="s">
        <v>4176</v>
      </c>
      <c r="D65" s="313" t="s">
        <v>4176</v>
      </c>
    </row>
    <row r="66" spans="1:4" ht="14.15" customHeight="1" x14ac:dyDescent="0.35">
      <c r="A66" s="304" t="s">
        <v>4177</v>
      </c>
      <c r="D66" s="313" t="s">
        <v>4177</v>
      </c>
    </row>
    <row r="67" spans="1:4" ht="14.15" customHeight="1" x14ac:dyDescent="0.35">
      <c r="A67" s="304" t="s">
        <v>4178</v>
      </c>
      <c r="D67" s="313" t="s">
        <v>4178</v>
      </c>
    </row>
    <row r="68" spans="1:4" ht="14.15" customHeight="1" x14ac:dyDescent="0.35">
      <c r="A68" s="304" t="s">
        <v>4179</v>
      </c>
      <c r="D68" s="313" t="s">
        <v>4179</v>
      </c>
    </row>
    <row r="69" spans="1:4" ht="14.15" customHeight="1" x14ac:dyDescent="0.35">
      <c r="A69" s="304" t="s">
        <v>4180</v>
      </c>
      <c r="D69" s="313" t="s">
        <v>4180</v>
      </c>
    </row>
    <row r="70" spans="1:4" ht="14.15" customHeight="1" x14ac:dyDescent="0.35">
      <c r="A70" s="304" t="s">
        <v>4181</v>
      </c>
      <c r="D70" s="313" t="s">
        <v>4181</v>
      </c>
    </row>
    <row r="71" spans="1:4" ht="14.15" customHeight="1" x14ac:dyDescent="0.35">
      <c r="A71" s="304" t="s">
        <v>4182</v>
      </c>
      <c r="D71" s="313" t="s">
        <v>4182</v>
      </c>
    </row>
    <row r="72" spans="1:4" ht="14.15" customHeight="1" x14ac:dyDescent="0.35">
      <c r="A72" s="304" t="s">
        <v>4183</v>
      </c>
      <c r="D72" s="313" t="s">
        <v>4183</v>
      </c>
    </row>
    <row r="73" spans="1:4" ht="14.15" customHeight="1" x14ac:dyDescent="0.35">
      <c r="A73" s="304" t="s">
        <v>4184</v>
      </c>
      <c r="D73" s="313" t="s">
        <v>4184</v>
      </c>
    </row>
    <row r="74" spans="1:4" ht="14.15" customHeight="1" x14ac:dyDescent="0.35">
      <c r="A74" s="304" t="s">
        <v>4185</v>
      </c>
      <c r="D74" s="313" t="s">
        <v>4185</v>
      </c>
    </row>
    <row r="75" spans="1:4" ht="14.15" customHeight="1" x14ac:dyDescent="0.35">
      <c r="A75" s="304" t="s">
        <v>4186</v>
      </c>
      <c r="D75" s="313" t="s">
        <v>4186</v>
      </c>
    </row>
    <row r="76" spans="1:4" ht="14.15" customHeight="1" x14ac:dyDescent="0.35">
      <c r="A76" s="304" t="s">
        <v>4187</v>
      </c>
      <c r="D76" s="313" t="s">
        <v>4187</v>
      </c>
    </row>
    <row r="77" spans="1:4" ht="14.15" customHeight="1" x14ac:dyDescent="0.35">
      <c r="A77" s="304" t="s">
        <v>4188</v>
      </c>
      <c r="D77" s="313" t="s">
        <v>4188</v>
      </c>
    </row>
    <row r="78" spans="1:4" ht="14.15" customHeight="1" x14ac:dyDescent="0.35">
      <c r="A78" s="304" t="s">
        <v>4189</v>
      </c>
      <c r="D78" s="313" t="s">
        <v>4189</v>
      </c>
    </row>
    <row r="79" spans="1:4" ht="14.15" customHeight="1" x14ac:dyDescent="0.35">
      <c r="A79" s="304" t="s">
        <v>4190</v>
      </c>
      <c r="D79" s="313" t="s">
        <v>4190</v>
      </c>
    </row>
    <row r="80" spans="1:4" ht="14.15" customHeight="1" x14ac:dyDescent="0.35">
      <c r="A80" s="304" t="s">
        <v>4191</v>
      </c>
      <c r="D80" s="313" t="s">
        <v>4191</v>
      </c>
    </row>
    <row r="81" spans="1:4" ht="14.15" customHeight="1" x14ac:dyDescent="0.35">
      <c r="A81" s="304" t="s">
        <v>4192</v>
      </c>
      <c r="D81" s="313" t="s">
        <v>4192</v>
      </c>
    </row>
    <row r="82" spans="1:4" ht="14.15" customHeight="1" x14ac:dyDescent="0.35">
      <c r="A82" s="304" t="s">
        <v>4193</v>
      </c>
      <c r="D82" s="313" t="s">
        <v>4193</v>
      </c>
    </row>
    <row r="83" spans="1:4" ht="14.15" customHeight="1" x14ac:dyDescent="0.35">
      <c r="A83" s="304" t="s">
        <v>4194</v>
      </c>
      <c r="D83" s="313" t="s">
        <v>4194</v>
      </c>
    </row>
    <row r="84" spans="1:4" ht="14.15" customHeight="1" x14ac:dyDescent="0.35">
      <c r="A84" s="304" t="s">
        <v>4195</v>
      </c>
      <c r="D84" s="313" t="s">
        <v>4195</v>
      </c>
    </row>
    <row r="85" spans="1:4" ht="14.15" customHeight="1" x14ac:dyDescent="0.35">
      <c r="A85" s="304" t="s">
        <v>4196</v>
      </c>
      <c r="D85" s="313" t="s">
        <v>4196</v>
      </c>
    </row>
    <row r="86" spans="1:4" ht="14.15" customHeight="1" x14ac:dyDescent="0.35">
      <c r="A86" s="304" t="s">
        <v>4197</v>
      </c>
      <c r="D86" s="313" t="s">
        <v>4197</v>
      </c>
    </row>
    <row r="87" spans="1:4" ht="14.15" customHeight="1" x14ac:dyDescent="0.35">
      <c r="A87" s="304" t="s">
        <v>4198</v>
      </c>
      <c r="D87" s="313" t="s">
        <v>4198</v>
      </c>
    </row>
    <row r="88" spans="1:4" ht="14.15" customHeight="1" x14ac:dyDescent="0.35">
      <c r="A88" s="304" t="s">
        <v>4199</v>
      </c>
      <c r="D88" s="313" t="s">
        <v>4199</v>
      </c>
    </row>
    <row r="89" spans="1:4" ht="14.15" customHeight="1" x14ac:dyDescent="0.35">
      <c r="A89" s="304" t="s">
        <v>4200</v>
      </c>
      <c r="D89" s="313" t="s">
        <v>4200</v>
      </c>
    </row>
    <row r="90" spans="1:4" ht="14.15" customHeight="1" x14ac:dyDescent="0.35">
      <c r="A90" s="304" t="s">
        <v>4201</v>
      </c>
      <c r="D90" s="313" t="s">
        <v>4201</v>
      </c>
    </row>
    <row r="91" spans="1:4" ht="14.15" customHeight="1" x14ac:dyDescent="0.35">
      <c r="A91" s="304" t="s">
        <v>4202</v>
      </c>
      <c r="D91" s="313" t="s">
        <v>4202</v>
      </c>
    </row>
    <row r="92" spans="1:4" ht="14.15" customHeight="1" x14ac:dyDescent="0.35">
      <c r="A92" s="304" t="s">
        <v>4203</v>
      </c>
      <c r="D92" s="313" t="s">
        <v>4203</v>
      </c>
    </row>
    <row r="93" spans="1:4" ht="14.15" customHeight="1" x14ac:dyDescent="0.35">
      <c r="A93" s="304" t="s">
        <v>4204</v>
      </c>
      <c r="D93" s="313" t="s">
        <v>4204</v>
      </c>
    </row>
    <row r="94" spans="1:4" ht="14.15" customHeight="1" x14ac:dyDescent="0.35">
      <c r="A94" s="304" t="s">
        <v>4205</v>
      </c>
      <c r="D94" s="313" t="s">
        <v>4205</v>
      </c>
    </row>
    <row r="95" spans="1:4" ht="14.15" customHeight="1" x14ac:dyDescent="0.35">
      <c r="A95" s="304" t="s">
        <v>4206</v>
      </c>
      <c r="D95" s="313" t="s">
        <v>4206</v>
      </c>
    </row>
    <row r="96" spans="1:4" ht="14.15" customHeight="1" x14ac:dyDescent="0.35">
      <c r="A96" s="304" t="s">
        <v>4207</v>
      </c>
      <c r="D96" s="313" t="s">
        <v>4207</v>
      </c>
    </row>
    <row r="97" spans="1:4" ht="14.15" customHeight="1" x14ac:dyDescent="0.35">
      <c r="A97" s="304" t="s">
        <v>4208</v>
      </c>
      <c r="D97" s="313" t="s">
        <v>4208</v>
      </c>
    </row>
    <row r="98" spans="1:4" ht="14.15" customHeight="1" x14ac:dyDescent="0.35">
      <c r="A98" s="304" t="s">
        <v>4209</v>
      </c>
      <c r="D98" s="313" t="s">
        <v>4209</v>
      </c>
    </row>
    <row r="99" spans="1:4" ht="14.15" customHeight="1" x14ac:dyDescent="0.35">
      <c r="A99" s="304" t="s">
        <v>4210</v>
      </c>
      <c r="D99" s="313" t="s">
        <v>4210</v>
      </c>
    </row>
    <row r="100" spans="1:4" ht="14.15" customHeight="1" x14ac:dyDescent="0.35">
      <c r="A100" s="304" t="s">
        <v>4211</v>
      </c>
      <c r="D100" s="313" t="s">
        <v>4211</v>
      </c>
    </row>
    <row r="101" spans="1:4" ht="14.15" customHeight="1" x14ac:dyDescent="0.35">
      <c r="A101" s="304" t="s">
        <v>4212</v>
      </c>
      <c r="D101" s="313" t="s">
        <v>4212</v>
      </c>
    </row>
    <row r="102" spans="1:4" ht="14.15" customHeight="1" x14ac:dyDescent="0.35">
      <c r="A102" s="304" t="s">
        <v>4213</v>
      </c>
      <c r="D102" s="313" t="s">
        <v>4213</v>
      </c>
    </row>
    <row r="103" spans="1:4" ht="14.15" customHeight="1" x14ac:dyDescent="0.35">
      <c r="A103" s="304" t="s">
        <v>4214</v>
      </c>
      <c r="D103" s="313" t="s">
        <v>4214</v>
      </c>
    </row>
    <row r="104" spans="1:4" ht="14.15" customHeight="1" x14ac:dyDescent="0.35">
      <c r="A104" s="304" t="s">
        <v>4215</v>
      </c>
      <c r="D104" s="313" t="s">
        <v>4215</v>
      </c>
    </row>
    <row r="105" spans="1:4" ht="14.15" customHeight="1" x14ac:dyDescent="0.35">
      <c r="A105" s="304" t="s">
        <v>4216</v>
      </c>
      <c r="D105" s="313" t="s">
        <v>4216</v>
      </c>
    </row>
    <row r="106" spans="1:4" ht="14.15" customHeight="1" x14ac:dyDescent="0.35">
      <c r="A106" s="304" t="s">
        <v>4217</v>
      </c>
      <c r="D106" s="313" t="s">
        <v>4217</v>
      </c>
    </row>
    <row r="107" spans="1:4" ht="14.15" customHeight="1" x14ac:dyDescent="0.35">
      <c r="A107" s="304" t="s">
        <v>4218</v>
      </c>
      <c r="D107" s="313" t="s">
        <v>4218</v>
      </c>
    </row>
    <row r="108" spans="1:4" ht="14.15" customHeight="1" x14ac:dyDescent="0.35">
      <c r="A108" s="304" t="s">
        <v>4219</v>
      </c>
      <c r="D108" s="313" t="s">
        <v>4219</v>
      </c>
    </row>
    <row r="109" spans="1:4" ht="14.15" customHeight="1" x14ac:dyDescent="0.35">
      <c r="A109" s="304" t="s">
        <v>4220</v>
      </c>
      <c r="D109" s="313" t="s">
        <v>4220</v>
      </c>
    </row>
    <row r="110" spans="1:4" ht="14.15" customHeight="1" x14ac:dyDescent="0.35">
      <c r="A110" s="304" t="s">
        <v>4221</v>
      </c>
      <c r="D110" s="313" t="s">
        <v>4221</v>
      </c>
    </row>
    <row r="111" spans="1:4" ht="14.15" customHeight="1" x14ac:dyDescent="0.35">
      <c r="A111" s="304" t="s">
        <v>4222</v>
      </c>
      <c r="D111" s="313" t="s">
        <v>4222</v>
      </c>
    </row>
    <row r="112" spans="1:4" ht="14.15" customHeight="1" x14ac:dyDescent="0.35">
      <c r="A112" s="304" t="s">
        <v>4223</v>
      </c>
      <c r="D112" s="313" t="s">
        <v>4223</v>
      </c>
    </row>
    <row r="113" spans="1:4" ht="14.15" customHeight="1" x14ac:dyDescent="0.35">
      <c r="A113" s="304" t="s">
        <v>4224</v>
      </c>
      <c r="D113" s="313" t="s">
        <v>4224</v>
      </c>
    </row>
    <row r="114" spans="1:4" ht="14.15" customHeight="1" x14ac:dyDescent="0.35">
      <c r="A114" s="304" t="s">
        <v>4225</v>
      </c>
      <c r="D114" s="313" t="s">
        <v>4225</v>
      </c>
    </row>
    <row r="115" spans="1:4" ht="14.15" customHeight="1" x14ac:dyDescent="0.35">
      <c r="A115" s="304" t="s">
        <v>4226</v>
      </c>
      <c r="D115" s="313" t="s">
        <v>4226</v>
      </c>
    </row>
    <row r="116" spans="1:4" ht="14.15" customHeight="1" x14ac:dyDescent="0.35">
      <c r="A116" s="304" t="s">
        <v>4227</v>
      </c>
      <c r="D116" s="313" t="s">
        <v>4227</v>
      </c>
    </row>
    <row r="117" spans="1:4" ht="14.15" customHeight="1" x14ac:dyDescent="0.35">
      <c r="A117" s="304" t="s">
        <v>4228</v>
      </c>
      <c r="D117" s="313" t="s">
        <v>4228</v>
      </c>
    </row>
    <row r="118" spans="1:4" ht="14.15" customHeight="1" x14ac:dyDescent="0.35">
      <c r="A118" s="304" t="s">
        <v>4229</v>
      </c>
      <c r="D118" s="313" t="s">
        <v>4229</v>
      </c>
    </row>
    <row r="119" spans="1:4" ht="14.15" customHeight="1" x14ac:dyDescent="0.35">
      <c r="A119" s="304" t="s">
        <v>4230</v>
      </c>
      <c r="D119" s="313" t="s">
        <v>4230</v>
      </c>
    </row>
    <row r="120" spans="1:4" ht="14.15" customHeight="1" x14ac:dyDescent="0.35">
      <c r="A120" s="304" t="s">
        <v>4231</v>
      </c>
      <c r="D120" s="313" t="s">
        <v>4231</v>
      </c>
    </row>
    <row r="121" spans="1:4" ht="14.15" customHeight="1" x14ac:dyDescent="0.35">
      <c r="A121" s="304" t="s">
        <v>4232</v>
      </c>
      <c r="D121" s="313" t="s">
        <v>4232</v>
      </c>
    </row>
    <row r="122" spans="1:4" ht="14.15" customHeight="1" x14ac:dyDescent="0.35">
      <c r="A122" s="304" t="s">
        <v>4233</v>
      </c>
      <c r="D122" s="313" t="s">
        <v>4233</v>
      </c>
    </row>
    <row r="123" spans="1:4" ht="14.15" customHeight="1" x14ac:dyDescent="0.35">
      <c r="A123" s="304" t="s">
        <v>4234</v>
      </c>
      <c r="D123" s="313" t="s">
        <v>4234</v>
      </c>
    </row>
    <row r="124" spans="1:4" ht="14.15" customHeight="1" x14ac:dyDescent="0.35">
      <c r="A124" s="304" t="s">
        <v>4235</v>
      </c>
      <c r="D124" s="313" t="s">
        <v>4235</v>
      </c>
    </row>
    <row r="125" spans="1:4" ht="14.15" customHeight="1" x14ac:dyDescent="0.35">
      <c r="A125" s="304" t="s">
        <v>4236</v>
      </c>
      <c r="D125" s="313" t="s">
        <v>4236</v>
      </c>
    </row>
    <row r="126" spans="1:4" ht="14.15" customHeight="1" x14ac:dyDescent="0.35">
      <c r="A126" s="304" t="s">
        <v>4237</v>
      </c>
      <c r="D126" s="313" t="s">
        <v>4237</v>
      </c>
    </row>
    <row r="127" spans="1:4" ht="14.15" customHeight="1" x14ac:dyDescent="0.35">
      <c r="A127" s="304" t="s">
        <v>4238</v>
      </c>
      <c r="D127" s="313" t="s">
        <v>4238</v>
      </c>
    </row>
    <row r="128" spans="1:4" ht="14.15" customHeight="1" x14ac:dyDescent="0.35">
      <c r="A128" s="304" t="s">
        <v>4239</v>
      </c>
      <c r="D128" s="313" t="s">
        <v>4239</v>
      </c>
    </row>
    <row r="129" spans="1:4" ht="14.15" customHeight="1" x14ac:dyDescent="0.35">
      <c r="A129" s="304" t="s">
        <v>4240</v>
      </c>
      <c r="D129" s="313" t="s">
        <v>4240</v>
      </c>
    </row>
    <row r="130" spans="1:4" ht="14.15" customHeight="1" x14ac:dyDescent="0.35">
      <c r="A130" s="304" t="s">
        <v>4241</v>
      </c>
      <c r="D130" s="313" t="s">
        <v>4241</v>
      </c>
    </row>
    <row r="131" spans="1:4" ht="14.15" customHeight="1" x14ac:dyDescent="0.35">
      <c r="A131" s="304" t="s">
        <v>4242</v>
      </c>
      <c r="D131" s="313" t="s">
        <v>4242</v>
      </c>
    </row>
    <row r="132" spans="1:4" ht="14.15" customHeight="1" x14ac:dyDescent="0.35">
      <c r="A132" s="304" t="s">
        <v>4243</v>
      </c>
      <c r="D132" s="313" t="s">
        <v>4243</v>
      </c>
    </row>
    <row r="133" spans="1:4" ht="14.15" customHeight="1" x14ac:dyDescent="0.35">
      <c r="A133" s="304" t="s">
        <v>4244</v>
      </c>
      <c r="D133" s="313" t="s">
        <v>4244</v>
      </c>
    </row>
    <row r="134" spans="1:4" ht="14.15" customHeight="1" x14ac:dyDescent="0.35">
      <c r="A134" s="304" t="s">
        <v>4245</v>
      </c>
      <c r="D134" s="313" t="s">
        <v>4245</v>
      </c>
    </row>
    <row r="135" spans="1:4" ht="14.15" customHeight="1" x14ac:dyDescent="0.35">
      <c r="A135" s="304" t="s">
        <v>4246</v>
      </c>
      <c r="D135" s="313" t="s">
        <v>4246</v>
      </c>
    </row>
    <row r="136" spans="1:4" ht="14.15" customHeight="1" x14ac:dyDescent="0.35">
      <c r="A136" s="304" t="s">
        <v>4247</v>
      </c>
      <c r="D136" s="313" t="s">
        <v>4247</v>
      </c>
    </row>
    <row r="137" spans="1:4" ht="14.15" customHeight="1" x14ac:dyDescent="0.35">
      <c r="A137" s="304" t="s">
        <v>4248</v>
      </c>
      <c r="D137" s="313" t="s">
        <v>4248</v>
      </c>
    </row>
    <row r="138" spans="1:4" ht="14.15" customHeight="1" x14ac:dyDescent="0.35">
      <c r="A138" s="304" t="s">
        <v>4249</v>
      </c>
      <c r="D138" s="313" t="s">
        <v>4249</v>
      </c>
    </row>
    <row r="139" spans="1:4" ht="14.15" customHeight="1" x14ac:dyDescent="0.35">
      <c r="A139" s="304" t="s">
        <v>4250</v>
      </c>
      <c r="D139" s="313" t="s">
        <v>4250</v>
      </c>
    </row>
    <row r="140" spans="1:4" ht="14.15" customHeight="1" x14ac:dyDescent="0.35">
      <c r="A140" s="304" t="s">
        <v>4251</v>
      </c>
      <c r="D140" s="313" t="s">
        <v>4251</v>
      </c>
    </row>
    <row r="141" spans="1:4" ht="14.15" customHeight="1" x14ac:dyDescent="0.35">
      <c r="A141" s="304" t="s">
        <v>4252</v>
      </c>
      <c r="D141" s="313" t="s">
        <v>4252</v>
      </c>
    </row>
    <row r="142" spans="1:4" ht="14.15" customHeight="1" x14ac:dyDescent="0.35">
      <c r="A142" s="304" t="s">
        <v>4253</v>
      </c>
      <c r="D142" s="313" t="s">
        <v>4253</v>
      </c>
    </row>
    <row r="143" spans="1:4" ht="14.15" customHeight="1" x14ac:dyDescent="0.35">
      <c r="A143" s="304" t="s">
        <v>4254</v>
      </c>
      <c r="D143" s="313" t="s">
        <v>4254</v>
      </c>
    </row>
    <row r="144" spans="1:4" ht="14.15" customHeight="1" x14ac:dyDescent="0.35">
      <c r="A144" s="304" t="s">
        <v>4255</v>
      </c>
      <c r="D144" s="313" t="s">
        <v>4255</v>
      </c>
    </row>
    <row r="145" spans="1:4" ht="14.15" customHeight="1" x14ac:dyDescent="0.35">
      <c r="A145" s="304" t="s">
        <v>4256</v>
      </c>
      <c r="D145" s="313" t="s">
        <v>4256</v>
      </c>
    </row>
    <row r="146" spans="1:4" ht="14.15" customHeight="1" x14ac:dyDescent="0.35">
      <c r="A146" s="304" t="s">
        <v>4257</v>
      </c>
      <c r="D146" s="313" t="s">
        <v>4257</v>
      </c>
    </row>
    <row r="147" spans="1:4" ht="14.15" customHeight="1" x14ac:dyDescent="0.35">
      <c r="A147" s="304" t="s">
        <v>4258</v>
      </c>
      <c r="D147" s="313" t="s">
        <v>4258</v>
      </c>
    </row>
    <row r="148" spans="1:4" ht="14.15" customHeight="1" x14ac:dyDescent="0.35">
      <c r="A148" s="304" t="s">
        <v>4259</v>
      </c>
      <c r="D148" s="313" t="s">
        <v>4259</v>
      </c>
    </row>
    <row r="149" spans="1:4" ht="14.15" customHeight="1" x14ac:dyDescent="0.35">
      <c r="A149" s="363" t="s">
        <v>13646</v>
      </c>
    </row>
    <row r="150" spans="1:4" ht="14.15" customHeight="1" x14ac:dyDescent="0.35">
      <c r="A150" s="363" t="s">
        <v>13647</v>
      </c>
    </row>
    <row r="151" spans="1:4" ht="14.15" customHeight="1" x14ac:dyDescent="0.35">
      <c r="A151" s="363" t="s">
        <v>13648</v>
      </c>
    </row>
    <row r="152" spans="1:4" ht="14.15" customHeight="1" x14ac:dyDescent="0.35">
      <c r="A152" s="363" t="s">
        <v>13649</v>
      </c>
    </row>
    <row r="153" spans="1:4" ht="14.15" customHeight="1" x14ac:dyDescent="0.35">
      <c r="A153" s="363" t="s">
        <v>13650</v>
      </c>
    </row>
    <row r="154" spans="1:4" ht="14.15" customHeight="1" x14ac:dyDescent="0.35">
      <c r="A154" s="363" t="s">
        <v>13651</v>
      </c>
    </row>
    <row r="155" spans="1:4" ht="14.15" customHeight="1" x14ac:dyDescent="0.35">
      <c r="A155" s="363" t="s">
        <v>13652</v>
      </c>
    </row>
    <row r="156" spans="1:4" ht="14.15" customHeight="1" x14ac:dyDescent="0.35">
      <c r="A156" s="304" t="s">
        <v>4260</v>
      </c>
      <c r="D156" s="313" t="s">
        <v>4260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0902-53D4-4BC2-BD36-46138A4E47B5}">
  <dimension ref="A1:E2848"/>
  <sheetViews>
    <sheetView zoomScale="90" zoomScaleNormal="90" workbookViewId="0">
      <selection sqref="A1:XFD1"/>
    </sheetView>
  </sheetViews>
  <sheetFormatPr defaultColWidth="8.7265625" defaultRowHeight="14.5" customHeight="1" x14ac:dyDescent="0.35"/>
  <cols>
    <col min="1" max="1" width="11.54296875" style="196" bestFit="1" customWidth="1"/>
    <col min="2" max="2" width="21" style="196" bestFit="1" customWidth="1"/>
    <col min="3" max="3" width="14.54296875" style="320" bestFit="1" customWidth="1"/>
    <col min="4" max="4" width="67.7265625" style="321" customWidth="1"/>
    <col min="5" max="5" width="83.7265625" style="322" customWidth="1"/>
    <col min="6" max="16384" width="8.7265625" style="196"/>
  </cols>
  <sheetData>
    <row r="1" spans="1:5" s="119" customFormat="1" ht="15" customHeight="1" thickBot="1" x14ac:dyDescent="0.4">
      <c r="A1" s="28" t="s">
        <v>4261</v>
      </c>
      <c r="B1" s="28" t="s">
        <v>45</v>
      </c>
      <c r="C1" s="28" t="s">
        <v>4262</v>
      </c>
      <c r="D1" s="28" t="s">
        <v>4263</v>
      </c>
      <c r="E1" s="28" t="s">
        <v>4264</v>
      </c>
    </row>
    <row r="2" spans="1:5" ht="14.5" customHeight="1" x14ac:dyDescent="0.35">
      <c r="A2" s="196" t="str">
        <f>"01"</f>
        <v>01</v>
      </c>
      <c r="B2" s="196" t="s">
        <v>4265</v>
      </c>
      <c r="C2" s="320" t="s">
        <v>4266</v>
      </c>
      <c r="D2" s="321" t="s">
        <v>4267</v>
      </c>
      <c r="E2" s="322" t="s">
        <v>4268</v>
      </c>
    </row>
    <row r="3" spans="1:5" ht="14.5" customHeight="1" x14ac:dyDescent="0.35">
      <c r="A3" s="196" t="str">
        <f>"01.00"</f>
        <v>01.00</v>
      </c>
      <c r="B3" s="196" t="s">
        <v>4107</v>
      </c>
      <c r="C3" s="320" t="s">
        <v>4269</v>
      </c>
      <c r="D3" s="321" t="s">
        <v>4270</v>
      </c>
      <c r="E3" s="322" t="s">
        <v>4271</v>
      </c>
    </row>
    <row r="4" spans="1:5" ht="14.5" customHeight="1" x14ac:dyDescent="0.35">
      <c r="A4" s="196" t="str">
        <f>"01.0000"</f>
        <v>01.0000</v>
      </c>
      <c r="B4" s="196" t="s">
        <v>4107</v>
      </c>
      <c r="C4" s="320" t="s">
        <v>4269</v>
      </c>
      <c r="D4" s="321" t="s">
        <v>4270</v>
      </c>
      <c r="E4" s="322" t="s">
        <v>4272</v>
      </c>
    </row>
    <row r="5" spans="1:5" ht="14.5" customHeight="1" x14ac:dyDescent="0.35">
      <c r="A5" s="196" t="str">
        <f>"01.01"</f>
        <v>01.01</v>
      </c>
      <c r="B5" s="196" t="s">
        <v>4107</v>
      </c>
      <c r="C5" s="320" t="s">
        <v>4269</v>
      </c>
      <c r="D5" s="321" t="s">
        <v>4273</v>
      </c>
      <c r="E5" s="322" t="s">
        <v>4274</v>
      </c>
    </row>
    <row r="6" spans="1:5" ht="14.5" customHeight="1" x14ac:dyDescent="0.35">
      <c r="A6" s="196" t="str">
        <f>"01.0101"</f>
        <v>01.0101</v>
      </c>
      <c r="B6" s="196" t="s">
        <v>4107</v>
      </c>
      <c r="C6" s="320" t="s">
        <v>4269</v>
      </c>
      <c r="D6" s="321" t="s">
        <v>4275</v>
      </c>
      <c r="E6" s="322" t="s">
        <v>4276</v>
      </c>
    </row>
    <row r="7" spans="1:5" ht="14.5" customHeight="1" x14ac:dyDescent="0.35">
      <c r="A7" s="196" t="str">
        <f>"01.0102"</f>
        <v>01.0102</v>
      </c>
      <c r="B7" s="196" t="s">
        <v>4107</v>
      </c>
      <c r="C7" s="320" t="s">
        <v>4269</v>
      </c>
      <c r="D7" s="321" t="s">
        <v>4277</v>
      </c>
      <c r="E7" s="322" t="s">
        <v>4278</v>
      </c>
    </row>
    <row r="8" spans="1:5" ht="14.5" customHeight="1" x14ac:dyDescent="0.35">
      <c r="A8" s="196" t="str">
        <f>"01.0103"</f>
        <v>01.0103</v>
      </c>
      <c r="B8" s="196" t="s">
        <v>4107</v>
      </c>
      <c r="C8" s="320" t="s">
        <v>4269</v>
      </c>
      <c r="D8" s="321" t="s">
        <v>4279</v>
      </c>
      <c r="E8" s="322" t="s">
        <v>4280</v>
      </c>
    </row>
    <row r="9" spans="1:5" ht="14.5" customHeight="1" x14ac:dyDescent="0.35">
      <c r="A9" s="196" t="str">
        <f>"01.0104"</f>
        <v>01.0104</v>
      </c>
      <c r="B9" s="196" t="s">
        <v>4107</v>
      </c>
      <c r="C9" s="320" t="s">
        <v>4269</v>
      </c>
      <c r="D9" s="321" t="s">
        <v>4281</v>
      </c>
      <c r="E9" s="322" t="s">
        <v>4282</v>
      </c>
    </row>
    <row r="10" spans="1:5" ht="14.5" customHeight="1" x14ac:dyDescent="0.35">
      <c r="A10" s="196" t="str">
        <f>"01.0105"</f>
        <v>01.0105</v>
      </c>
      <c r="B10" s="196" t="s">
        <v>4107</v>
      </c>
      <c r="C10" s="320" t="s">
        <v>4269</v>
      </c>
      <c r="D10" s="321" t="s">
        <v>4283</v>
      </c>
      <c r="E10" s="322" t="s">
        <v>4284</v>
      </c>
    </row>
    <row r="11" spans="1:5" ht="14.5" customHeight="1" x14ac:dyDescent="0.35">
      <c r="A11" s="196" t="str">
        <f>"01.0106"</f>
        <v>01.0106</v>
      </c>
      <c r="B11" s="196" t="s">
        <v>4265</v>
      </c>
      <c r="C11" s="320" t="s">
        <v>4266</v>
      </c>
      <c r="D11" s="321" t="s">
        <v>4285</v>
      </c>
      <c r="E11" s="322" t="s">
        <v>4286</v>
      </c>
    </row>
    <row r="12" spans="1:5" ht="14.5" customHeight="1" x14ac:dyDescent="0.35">
      <c r="A12" s="196" t="str">
        <f>"01.0199"</f>
        <v>01.0199</v>
      </c>
      <c r="B12" s="196" t="s">
        <v>4107</v>
      </c>
      <c r="C12" s="320" t="s">
        <v>4269</v>
      </c>
      <c r="D12" s="321" t="s">
        <v>4287</v>
      </c>
      <c r="E12" s="322" t="s">
        <v>4288</v>
      </c>
    </row>
    <row r="13" spans="1:5" ht="14.5" customHeight="1" x14ac:dyDescent="0.35">
      <c r="A13" s="196" t="str">
        <f>"01.02"</f>
        <v>01.02</v>
      </c>
      <c r="B13" s="196" t="s">
        <v>4107</v>
      </c>
      <c r="C13" s="320" t="s">
        <v>4269</v>
      </c>
      <c r="D13" s="321" t="s">
        <v>4289</v>
      </c>
      <c r="E13" s="322" t="s">
        <v>4290</v>
      </c>
    </row>
    <row r="14" spans="1:5" ht="14.5" customHeight="1" x14ac:dyDescent="0.35">
      <c r="A14" s="196" t="str">
        <f>"01.0201"</f>
        <v>01.0201</v>
      </c>
      <c r="B14" s="196" t="s">
        <v>4107</v>
      </c>
      <c r="C14" s="320" t="s">
        <v>4269</v>
      </c>
      <c r="D14" s="321" t="s">
        <v>4291</v>
      </c>
      <c r="E14" s="322" t="s">
        <v>4292</v>
      </c>
    </row>
    <row r="15" spans="1:5" ht="14.5" customHeight="1" x14ac:dyDescent="0.35">
      <c r="A15" s="196" t="str">
        <f>"01.0204"</f>
        <v>01.0204</v>
      </c>
      <c r="B15" s="196" t="s">
        <v>4107</v>
      </c>
      <c r="C15" s="320" t="s">
        <v>4269</v>
      </c>
      <c r="D15" s="321" t="s">
        <v>4293</v>
      </c>
      <c r="E15" s="322" t="s">
        <v>4294</v>
      </c>
    </row>
    <row r="16" spans="1:5" ht="14.5" customHeight="1" x14ac:dyDescent="0.35">
      <c r="A16" s="196" t="str">
        <f>"01.0205"</f>
        <v>01.0205</v>
      </c>
      <c r="B16" s="196" t="s">
        <v>4265</v>
      </c>
      <c r="C16" s="320" t="s">
        <v>4266</v>
      </c>
      <c r="D16" s="321" t="s">
        <v>4295</v>
      </c>
      <c r="E16" s="322" t="s">
        <v>4296</v>
      </c>
    </row>
    <row r="17" spans="1:5" s="327" customFormat="1" ht="14.5" customHeight="1" x14ac:dyDescent="0.35">
      <c r="A17" s="323" t="str">
        <f>"01.0207"</f>
        <v>01.0207</v>
      </c>
      <c r="B17" s="323" t="s">
        <v>4297</v>
      </c>
      <c r="C17" s="324" t="s">
        <v>4269</v>
      </c>
      <c r="D17" s="325" t="s">
        <v>4298</v>
      </c>
      <c r="E17" s="326" t="s">
        <v>4299</v>
      </c>
    </row>
    <row r="18" spans="1:5" ht="14.5" customHeight="1" x14ac:dyDescent="0.35">
      <c r="A18" s="196" t="str">
        <f>"01.0299"</f>
        <v>01.0299</v>
      </c>
      <c r="B18" s="196" t="s">
        <v>4107</v>
      </c>
      <c r="C18" s="320" t="s">
        <v>4269</v>
      </c>
      <c r="D18" s="321" t="s">
        <v>4300</v>
      </c>
      <c r="E18" s="322" t="s">
        <v>4301</v>
      </c>
    </row>
    <row r="19" spans="1:5" ht="14.5" customHeight="1" x14ac:dyDescent="0.35">
      <c r="A19" s="196" t="str">
        <f>"01.03"</f>
        <v>01.03</v>
      </c>
      <c r="B19" s="196" t="s">
        <v>4107</v>
      </c>
      <c r="C19" s="320" t="s">
        <v>4269</v>
      </c>
      <c r="D19" s="321" t="s">
        <v>4302</v>
      </c>
      <c r="E19" s="322" t="s">
        <v>4303</v>
      </c>
    </row>
    <row r="20" spans="1:5" ht="14.5" customHeight="1" x14ac:dyDescent="0.35">
      <c r="A20" s="196" t="str">
        <f>"01.0301"</f>
        <v>01.0301</v>
      </c>
      <c r="B20" s="196" t="s">
        <v>4107</v>
      </c>
      <c r="C20" s="320" t="s">
        <v>4269</v>
      </c>
      <c r="D20" s="321" t="s">
        <v>4304</v>
      </c>
      <c r="E20" s="322" t="s">
        <v>4305</v>
      </c>
    </row>
    <row r="21" spans="1:5" ht="14.5" customHeight="1" x14ac:dyDescent="0.35">
      <c r="A21" s="196" t="str">
        <f>"01.0302"</f>
        <v>01.0302</v>
      </c>
      <c r="B21" s="196" t="s">
        <v>4107</v>
      </c>
      <c r="C21" s="320" t="s">
        <v>4269</v>
      </c>
      <c r="D21" s="321" t="s">
        <v>4306</v>
      </c>
      <c r="E21" s="322" t="s">
        <v>4307</v>
      </c>
    </row>
    <row r="22" spans="1:5" ht="14.5" customHeight="1" x14ac:dyDescent="0.35">
      <c r="A22" s="196" t="str">
        <f>"01.0303"</f>
        <v>01.0303</v>
      </c>
      <c r="B22" s="196" t="s">
        <v>4107</v>
      </c>
      <c r="C22" s="320" t="s">
        <v>4269</v>
      </c>
      <c r="D22" s="321" t="s">
        <v>4308</v>
      </c>
      <c r="E22" s="322" t="s">
        <v>4309</v>
      </c>
    </row>
    <row r="23" spans="1:5" ht="14.5" customHeight="1" x14ac:dyDescent="0.35">
      <c r="A23" s="196" t="str">
        <f>"01.0304"</f>
        <v>01.0304</v>
      </c>
      <c r="B23" s="196" t="s">
        <v>4107</v>
      </c>
      <c r="C23" s="320" t="s">
        <v>4269</v>
      </c>
      <c r="D23" s="321" t="s">
        <v>4310</v>
      </c>
      <c r="E23" s="322" t="s">
        <v>4311</v>
      </c>
    </row>
    <row r="24" spans="1:5" ht="14.5" customHeight="1" x14ac:dyDescent="0.35">
      <c r="A24" s="196" t="str">
        <f>"01.0306"</f>
        <v>01.0306</v>
      </c>
      <c r="B24" s="196" t="s">
        <v>4107</v>
      </c>
      <c r="C24" s="320" t="s">
        <v>4269</v>
      </c>
      <c r="D24" s="321" t="s">
        <v>4312</v>
      </c>
      <c r="E24" s="322" t="s">
        <v>4313</v>
      </c>
    </row>
    <row r="25" spans="1:5" ht="14.5" customHeight="1" x14ac:dyDescent="0.35">
      <c r="A25" s="196" t="str">
        <f>"01.0307"</f>
        <v>01.0307</v>
      </c>
      <c r="B25" s="196" t="s">
        <v>4107</v>
      </c>
      <c r="C25" s="320" t="s">
        <v>4269</v>
      </c>
      <c r="D25" s="321" t="s">
        <v>4314</v>
      </c>
      <c r="E25" s="322" t="s">
        <v>4315</v>
      </c>
    </row>
    <row r="26" spans="1:5" ht="14.5" customHeight="1" x14ac:dyDescent="0.35">
      <c r="A26" s="196" t="str">
        <f>"01.0308"</f>
        <v>01.0308</v>
      </c>
      <c r="B26" s="196" t="s">
        <v>4107</v>
      </c>
      <c r="C26" s="320" t="s">
        <v>4269</v>
      </c>
      <c r="D26" s="321" t="s">
        <v>4316</v>
      </c>
      <c r="E26" s="322" t="s">
        <v>4317</v>
      </c>
    </row>
    <row r="27" spans="1:5" s="332" customFormat="1" ht="14.5" customHeight="1" x14ac:dyDescent="0.35">
      <c r="A27" s="328" t="str">
        <f>"01.0309"</f>
        <v>01.0309</v>
      </c>
      <c r="B27" s="328" t="s">
        <v>4318</v>
      </c>
      <c r="C27" s="329" t="s">
        <v>4269</v>
      </c>
      <c r="D27" s="330" t="s">
        <v>4319</v>
      </c>
      <c r="E27" s="331" t="s">
        <v>4320</v>
      </c>
    </row>
    <row r="28" spans="1:5" s="327" customFormat="1" ht="14.5" customHeight="1" x14ac:dyDescent="0.35">
      <c r="A28" s="323" t="str">
        <f>"01.0310"</f>
        <v>01.0310</v>
      </c>
      <c r="B28" s="323" t="s">
        <v>4297</v>
      </c>
      <c r="C28" s="324" t="s">
        <v>4269</v>
      </c>
      <c r="D28" s="325" t="s">
        <v>4321</v>
      </c>
      <c r="E28" s="326" t="s">
        <v>4322</v>
      </c>
    </row>
    <row r="29" spans="1:5" ht="14.5" customHeight="1" x14ac:dyDescent="0.35">
      <c r="A29" s="196" t="str">
        <f>"01.0399"</f>
        <v>01.0399</v>
      </c>
      <c r="B29" s="196" t="s">
        <v>4107</v>
      </c>
      <c r="C29" s="320" t="s">
        <v>4269</v>
      </c>
      <c r="D29" s="321" t="s">
        <v>4323</v>
      </c>
      <c r="E29" s="322" t="s">
        <v>4324</v>
      </c>
    </row>
    <row r="30" spans="1:5" ht="14.5" customHeight="1" x14ac:dyDescent="0.35">
      <c r="A30" s="196" t="str">
        <f>"01.04"</f>
        <v>01.04</v>
      </c>
      <c r="B30" s="196" t="s">
        <v>4107</v>
      </c>
      <c r="C30" s="320" t="s">
        <v>4269</v>
      </c>
      <c r="D30" s="321" t="s">
        <v>4325</v>
      </c>
      <c r="E30" s="322" t="s">
        <v>4326</v>
      </c>
    </row>
    <row r="31" spans="1:5" ht="14.5" customHeight="1" x14ac:dyDescent="0.35">
      <c r="A31" s="196" t="str">
        <f>"01.0401"</f>
        <v>01.0401</v>
      </c>
      <c r="B31" s="196" t="s">
        <v>4107</v>
      </c>
      <c r="C31" s="320" t="s">
        <v>4269</v>
      </c>
      <c r="D31" s="321" t="s">
        <v>4325</v>
      </c>
      <c r="E31" s="322" t="s">
        <v>4327</v>
      </c>
    </row>
    <row r="32" spans="1:5" s="327" customFormat="1" ht="14.5" customHeight="1" x14ac:dyDescent="0.35">
      <c r="A32" s="323" t="str">
        <f>"01.0480"</f>
        <v>01.0480</v>
      </c>
      <c r="B32" s="323" t="s">
        <v>4297</v>
      </c>
      <c r="C32" s="324" t="s">
        <v>4269</v>
      </c>
      <c r="D32" s="325" t="s">
        <v>4328</v>
      </c>
      <c r="E32" s="326" t="s">
        <v>4329</v>
      </c>
    </row>
    <row r="33" spans="1:5" ht="14.5" customHeight="1" x14ac:dyDescent="0.35">
      <c r="A33" s="196" t="str">
        <f>"01.05"</f>
        <v>01.05</v>
      </c>
      <c r="B33" s="196" t="s">
        <v>4107</v>
      </c>
      <c r="C33" s="320" t="s">
        <v>4269</v>
      </c>
      <c r="D33" s="321" t="s">
        <v>4330</v>
      </c>
      <c r="E33" s="322" t="s">
        <v>4331</v>
      </c>
    </row>
    <row r="34" spans="1:5" ht="14.5" customHeight="1" x14ac:dyDescent="0.35">
      <c r="A34" s="196" t="str">
        <f>"01.0504"</f>
        <v>01.0504</v>
      </c>
      <c r="B34" s="196" t="s">
        <v>4107</v>
      </c>
      <c r="C34" s="320" t="s">
        <v>4269</v>
      </c>
      <c r="D34" s="321" t="s">
        <v>4332</v>
      </c>
      <c r="E34" s="322" t="s">
        <v>4333</v>
      </c>
    </row>
    <row r="35" spans="1:5" ht="14.5" customHeight="1" x14ac:dyDescent="0.35">
      <c r="A35" s="196" t="str">
        <f>"01.0505"</f>
        <v>01.0505</v>
      </c>
      <c r="B35" s="196" t="s">
        <v>4107</v>
      </c>
      <c r="C35" s="320" t="s">
        <v>4269</v>
      </c>
      <c r="D35" s="321" t="s">
        <v>4334</v>
      </c>
      <c r="E35" s="322" t="s">
        <v>4335</v>
      </c>
    </row>
    <row r="36" spans="1:5" ht="14.5" customHeight="1" x14ac:dyDescent="0.35">
      <c r="A36" s="196" t="str">
        <f>"01.0507"</f>
        <v>01.0507</v>
      </c>
      <c r="B36" s="196" t="s">
        <v>4107</v>
      </c>
      <c r="C36" s="320" t="s">
        <v>4269</v>
      </c>
      <c r="D36" s="321" t="s">
        <v>4336</v>
      </c>
      <c r="E36" s="322" t="s">
        <v>4337</v>
      </c>
    </row>
    <row r="37" spans="1:5" ht="14.5" customHeight="1" x14ac:dyDescent="0.35">
      <c r="A37" s="196" t="str">
        <f>"01.0508"</f>
        <v>01.0508</v>
      </c>
      <c r="B37" s="196" t="s">
        <v>4107</v>
      </c>
      <c r="C37" s="320" t="s">
        <v>4269</v>
      </c>
      <c r="D37" s="321" t="s">
        <v>4338</v>
      </c>
      <c r="E37" s="322" t="s">
        <v>4339</v>
      </c>
    </row>
    <row r="38" spans="1:5" s="327" customFormat="1" ht="14.5" customHeight="1" x14ac:dyDescent="0.35">
      <c r="A38" s="323" t="str">
        <f>"01.0509"</f>
        <v>01.0509</v>
      </c>
      <c r="B38" s="323" t="s">
        <v>4297</v>
      </c>
      <c r="C38" s="324" t="s">
        <v>4269</v>
      </c>
      <c r="D38" s="325" t="s">
        <v>4340</v>
      </c>
      <c r="E38" s="326" t="s">
        <v>4341</v>
      </c>
    </row>
    <row r="39" spans="1:5" ht="14.5" customHeight="1" x14ac:dyDescent="0.35">
      <c r="A39" s="196" t="str">
        <f>"01.0599"</f>
        <v>01.0599</v>
      </c>
      <c r="B39" s="196" t="s">
        <v>4107</v>
      </c>
      <c r="C39" s="320" t="s">
        <v>4269</v>
      </c>
      <c r="D39" s="321" t="s">
        <v>4342</v>
      </c>
      <c r="E39" s="322" t="s">
        <v>4343</v>
      </c>
    </row>
    <row r="40" spans="1:5" ht="14.5" customHeight="1" x14ac:dyDescent="0.35">
      <c r="A40" s="196" t="str">
        <f>"01.06"</f>
        <v>01.06</v>
      </c>
      <c r="B40" s="196" t="s">
        <v>4107</v>
      </c>
      <c r="C40" s="320" t="s">
        <v>4269</v>
      </c>
      <c r="D40" s="321" t="s">
        <v>4344</v>
      </c>
      <c r="E40" s="322" t="s">
        <v>4345</v>
      </c>
    </row>
    <row r="41" spans="1:5" ht="14.5" customHeight="1" x14ac:dyDescent="0.35">
      <c r="A41" s="196" t="str">
        <f>"01.0601"</f>
        <v>01.0601</v>
      </c>
      <c r="B41" s="196" t="s">
        <v>4107</v>
      </c>
      <c r="C41" s="320" t="s">
        <v>4269</v>
      </c>
      <c r="D41" s="321" t="s">
        <v>4346</v>
      </c>
      <c r="E41" s="322" t="s">
        <v>4347</v>
      </c>
    </row>
    <row r="42" spans="1:5" ht="14.5" customHeight="1" x14ac:dyDescent="0.35">
      <c r="A42" s="196" t="str">
        <f>"01.0603"</f>
        <v>01.0603</v>
      </c>
      <c r="B42" s="196" t="s">
        <v>4107</v>
      </c>
      <c r="C42" s="320" t="s">
        <v>4269</v>
      </c>
      <c r="D42" s="321" t="s">
        <v>4348</v>
      </c>
      <c r="E42" s="322" t="s">
        <v>4349</v>
      </c>
    </row>
    <row r="43" spans="1:5" ht="14.5" customHeight="1" x14ac:dyDescent="0.35">
      <c r="A43" s="196" t="str">
        <f>"01.0604"</f>
        <v>01.0604</v>
      </c>
      <c r="B43" s="196" t="s">
        <v>4107</v>
      </c>
      <c r="C43" s="320" t="s">
        <v>4269</v>
      </c>
      <c r="D43" s="321" t="s">
        <v>4350</v>
      </c>
      <c r="E43" s="322" t="s">
        <v>4351</v>
      </c>
    </row>
    <row r="44" spans="1:5" ht="14.5" customHeight="1" x14ac:dyDescent="0.35">
      <c r="A44" s="196" t="str">
        <f>"01.0605"</f>
        <v>01.0605</v>
      </c>
      <c r="B44" s="196" t="s">
        <v>4107</v>
      </c>
      <c r="C44" s="320" t="s">
        <v>4269</v>
      </c>
      <c r="D44" s="321" t="s">
        <v>4352</v>
      </c>
      <c r="E44" s="322" t="s">
        <v>4353</v>
      </c>
    </row>
    <row r="45" spans="1:5" ht="14.5" customHeight="1" x14ac:dyDescent="0.35">
      <c r="A45" s="196" t="str">
        <f>"01.0606"</f>
        <v>01.0606</v>
      </c>
      <c r="B45" s="196" t="s">
        <v>4107</v>
      </c>
      <c r="C45" s="320" t="s">
        <v>4269</v>
      </c>
      <c r="D45" s="321" t="s">
        <v>4354</v>
      </c>
      <c r="E45" s="322" t="s">
        <v>4355</v>
      </c>
    </row>
    <row r="46" spans="1:5" ht="14.5" customHeight="1" x14ac:dyDescent="0.35">
      <c r="A46" s="196" t="str">
        <f>"01.0607"</f>
        <v>01.0607</v>
      </c>
      <c r="B46" s="196" t="s">
        <v>4107</v>
      </c>
      <c r="C46" s="320" t="s">
        <v>4269</v>
      </c>
      <c r="D46" s="321" t="s">
        <v>4356</v>
      </c>
      <c r="E46" s="322" t="s">
        <v>4357</v>
      </c>
    </row>
    <row r="47" spans="1:5" ht="14.5" customHeight="1" x14ac:dyDescent="0.35">
      <c r="A47" s="196" t="str">
        <f>"01.0608"</f>
        <v>01.0608</v>
      </c>
      <c r="B47" s="196" t="s">
        <v>4107</v>
      </c>
      <c r="C47" s="320" t="s">
        <v>4269</v>
      </c>
      <c r="D47" s="321" t="s">
        <v>4358</v>
      </c>
      <c r="E47" s="322" t="s">
        <v>4359</v>
      </c>
    </row>
    <row r="48" spans="1:5" s="327" customFormat="1" ht="14.5" customHeight="1" x14ac:dyDescent="0.35">
      <c r="A48" s="323" t="str">
        <f>"01.0609"</f>
        <v>01.0609</v>
      </c>
      <c r="B48" s="323" t="s">
        <v>4297</v>
      </c>
      <c r="C48" s="324" t="s">
        <v>4269</v>
      </c>
      <c r="D48" s="325" t="s">
        <v>4360</v>
      </c>
      <c r="E48" s="326" t="s">
        <v>4361</v>
      </c>
    </row>
    <row r="49" spans="1:5" s="327" customFormat="1" ht="14.5" customHeight="1" x14ac:dyDescent="0.35">
      <c r="A49" s="323" t="str">
        <f>"01.0610"</f>
        <v>01.0610</v>
      </c>
      <c r="B49" s="323" t="s">
        <v>4297</v>
      </c>
      <c r="C49" s="324" t="s">
        <v>4269</v>
      </c>
      <c r="D49" s="325" t="s">
        <v>4362</v>
      </c>
      <c r="E49" s="326" t="s">
        <v>4363</v>
      </c>
    </row>
    <row r="50" spans="1:5" s="327" customFormat="1" ht="14.5" customHeight="1" x14ac:dyDescent="0.35">
      <c r="A50" s="323" t="str">
        <f>"01.0680"</f>
        <v>01.0680</v>
      </c>
      <c r="B50" s="323" t="s">
        <v>4297</v>
      </c>
      <c r="C50" s="324" t="s">
        <v>4269</v>
      </c>
      <c r="D50" s="325" t="s">
        <v>4328</v>
      </c>
      <c r="E50" s="326" t="s">
        <v>4329</v>
      </c>
    </row>
    <row r="51" spans="1:5" ht="14.5" customHeight="1" x14ac:dyDescent="0.35">
      <c r="A51" s="196" t="str">
        <f>"01.0699"</f>
        <v>01.0699</v>
      </c>
      <c r="B51" s="196" t="s">
        <v>4107</v>
      </c>
      <c r="C51" s="320" t="s">
        <v>4269</v>
      </c>
      <c r="D51" s="321" t="s">
        <v>4364</v>
      </c>
      <c r="E51" s="322" t="s">
        <v>4365</v>
      </c>
    </row>
    <row r="52" spans="1:5" ht="14.5" customHeight="1" x14ac:dyDescent="0.35">
      <c r="A52" s="196" t="str">
        <f>"01.07"</f>
        <v>01.07</v>
      </c>
      <c r="B52" s="196" t="s">
        <v>4107</v>
      </c>
      <c r="C52" s="320" t="s">
        <v>4269</v>
      </c>
      <c r="D52" s="321" t="s">
        <v>4366</v>
      </c>
      <c r="E52" s="322" t="s">
        <v>4367</v>
      </c>
    </row>
    <row r="53" spans="1:5" ht="14.5" customHeight="1" x14ac:dyDescent="0.35">
      <c r="A53" s="196" t="str">
        <f>"01.0701"</f>
        <v>01.0701</v>
      </c>
      <c r="B53" s="196" t="s">
        <v>4107</v>
      </c>
      <c r="C53" s="320" t="s">
        <v>4269</v>
      </c>
      <c r="D53" s="321" t="s">
        <v>4366</v>
      </c>
      <c r="E53" s="322" t="s">
        <v>4368</v>
      </c>
    </row>
    <row r="54" spans="1:5" ht="14.5" customHeight="1" x14ac:dyDescent="0.35">
      <c r="A54" s="196" t="str">
        <f>"01.08"</f>
        <v>01.08</v>
      </c>
      <c r="B54" s="196" t="s">
        <v>4107</v>
      </c>
      <c r="C54" s="320" t="s">
        <v>4269</v>
      </c>
      <c r="D54" s="321" t="s">
        <v>4369</v>
      </c>
      <c r="E54" s="322" t="s">
        <v>4370</v>
      </c>
    </row>
    <row r="55" spans="1:5" ht="14.5" customHeight="1" x14ac:dyDescent="0.35">
      <c r="A55" s="196" t="str">
        <f>"01.0801"</f>
        <v>01.0801</v>
      </c>
      <c r="B55" s="196" t="s">
        <v>4107</v>
      </c>
      <c r="C55" s="320" t="s">
        <v>4269</v>
      </c>
      <c r="D55" s="321" t="s">
        <v>4371</v>
      </c>
      <c r="E55" s="322" t="s">
        <v>4372</v>
      </c>
    </row>
    <row r="56" spans="1:5" ht="14.5" customHeight="1" x14ac:dyDescent="0.35">
      <c r="A56" s="196" t="str">
        <f>"01.0802"</f>
        <v>01.0802</v>
      </c>
      <c r="B56" s="196" t="s">
        <v>4107</v>
      </c>
      <c r="C56" s="320" t="s">
        <v>4269</v>
      </c>
      <c r="D56" s="321" t="s">
        <v>4373</v>
      </c>
      <c r="E56" s="322" t="s">
        <v>4374</v>
      </c>
    </row>
    <row r="57" spans="1:5" ht="14.5" customHeight="1" x14ac:dyDescent="0.35">
      <c r="A57" s="196" t="str">
        <f>"01.0899"</f>
        <v>01.0899</v>
      </c>
      <c r="B57" s="196" t="s">
        <v>4107</v>
      </c>
      <c r="C57" s="320" t="s">
        <v>4269</v>
      </c>
      <c r="D57" s="321" t="s">
        <v>4375</v>
      </c>
      <c r="E57" s="322" t="s">
        <v>4376</v>
      </c>
    </row>
    <row r="58" spans="1:5" ht="14.5" customHeight="1" x14ac:dyDescent="0.35">
      <c r="A58" s="196" t="str">
        <f>"01.09"</f>
        <v>01.09</v>
      </c>
      <c r="B58" s="196" t="s">
        <v>4107</v>
      </c>
      <c r="C58" s="320" t="s">
        <v>4269</v>
      </c>
      <c r="D58" s="321" t="s">
        <v>4377</v>
      </c>
      <c r="E58" s="322" t="s">
        <v>4378</v>
      </c>
    </row>
    <row r="59" spans="1:5" ht="14.5" customHeight="1" x14ac:dyDescent="0.35">
      <c r="A59" s="196" t="str">
        <f>"01.0901"</f>
        <v>01.0901</v>
      </c>
      <c r="B59" s="196" t="s">
        <v>4107</v>
      </c>
      <c r="C59" s="320" t="s">
        <v>4269</v>
      </c>
      <c r="D59" s="321" t="s">
        <v>4379</v>
      </c>
      <c r="E59" s="322" t="s">
        <v>4380</v>
      </c>
    </row>
    <row r="60" spans="1:5" ht="14.5" customHeight="1" x14ac:dyDescent="0.35">
      <c r="A60" s="196" t="str">
        <f>"01.0902"</f>
        <v>01.0902</v>
      </c>
      <c r="B60" s="196" t="s">
        <v>4107</v>
      </c>
      <c r="C60" s="320" t="s">
        <v>4269</v>
      </c>
      <c r="D60" s="321" t="s">
        <v>4381</v>
      </c>
      <c r="E60" s="322" t="s">
        <v>4382</v>
      </c>
    </row>
    <row r="61" spans="1:5" ht="14.5" customHeight="1" x14ac:dyDescent="0.35">
      <c r="A61" s="196" t="str">
        <f>"01.0903"</f>
        <v>01.0903</v>
      </c>
      <c r="B61" s="196" t="s">
        <v>4107</v>
      </c>
      <c r="C61" s="320" t="s">
        <v>4269</v>
      </c>
      <c r="D61" s="321" t="s">
        <v>4383</v>
      </c>
      <c r="E61" s="322" t="s">
        <v>4384</v>
      </c>
    </row>
    <row r="62" spans="1:5" ht="14.5" customHeight="1" x14ac:dyDescent="0.35">
      <c r="A62" s="196" t="str">
        <f>"01.0904"</f>
        <v>01.0904</v>
      </c>
      <c r="B62" s="196" t="s">
        <v>4107</v>
      </c>
      <c r="C62" s="320" t="s">
        <v>4269</v>
      </c>
      <c r="D62" s="321" t="s">
        <v>4385</v>
      </c>
      <c r="E62" s="322" t="s">
        <v>4386</v>
      </c>
    </row>
    <row r="63" spans="1:5" ht="14.5" customHeight="1" x14ac:dyDescent="0.35">
      <c r="A63" s="196" t="str">
        <f>"01.0905"</f>
        <v>01.0905</v>
      </c>
      <c r="B63" s="196" t="s">
        <v>4107</v>
      </c>
      <c r="C63" s="320" t="s">
        <v>4269</v>
      </c>
      <c r="D63" s="321" t="s">
        <v>4387</v>
      </c>
      <c r="E63" s="322" t="s">
        <v>4388</v>
      </c>
    </row>
    <row r="64" spans="1:5" ht="14.5" customHeight="1" x14ac:dyDescent="0.35">
      <c r="A64" s="196" t="str">
        <f>"01.0906"</f>
        <v>01.0906</v>
      </c>
      <c r="B64" s="196" t="s">
        <v>4107</v>
      </c>
      <c r="C64" s="320" t="s">
        <v>4269</v>
      </c>
      <c r="D64" s="321" t="s">
        <v>4389</v>
      </c>
      <c r="E64" s="322" t="s">
        <v>4390</v>
      </c>
    </row>
    <row r="65" spans="1:5" ht="14.5" customHeight="1" x14ac:dyDescent="0.35">
      <c r="A65" s="196" t="str">
        <f>"01.0907"</f>
        <v>01.0907</v>
      </c>
      <c r="B65" s="196" t="s">
        <v>4107</v>
      </c>
      <c r="C65" s="320" t="s">
        <v>4269</v>
      </c>
      <c r="D65" s="321" t="s">
        <v>4391</v>
      </c>
      <c r="E65" s="322" t="s">
        <v>4392</v>
      </c>
    </row>
    <row r="66" spans="1:5" ht="14.5" customHeight="1" x14ac:dyDescent="0.35">
      <c r="A66" s="196" t="str">
        <f>"01.0999"</f>
        <v>01.0999</v>
      </c>
      <c r="B66" s="196" t="s">
        <v>4107</v>
      </c>
      <c r="C66" s="320" t="s">
        <v>4269</v>
      </c>
      <c r="D66" s="321" t="s">
        <v>4393</v>
      </c>
      <c r="E66" s="322" t="s">
        <v>4394</v>
      </c>
    </row>
    <row r="67" spans="1:5" ht="14.5" customHeight="1" x14ac:dyDescent="0.35">
      <c r="A67" s="196" t="str">
        <f>"01.10"</f>
        <v>01.10</v>
      </c>
      <c r="B67" s="196" t="s">
        <v>4107</v>
      </c>
      <c r="C67" s="320" t="s">
        <v>4269</v>
      </c>
      <c r="D67" s="321" t="s">
        <v>4395</v>
      </c>
      <c r="E67" s="322" t="s">
        <v>4396</v>
      </c>
    </row>
    <row r="68" spans="1:5" ht="14.5" customHeight="1" x14ac:dyDescent="0.35">
      <c r="A68" s="196" t="str">
        <f>"01.1001"</f>
        <v>01.1001</v>
      </c>
      <c r="B68" s="196" t="s">
        <v>4107</v>
      </c>
      <c r="C68" s="320" t="s">
        <v>4269</v>
      </c>
      <c r="D68" s="321" t="s">
        <v>4397</v>
      </c>
      <c r="E68" s="322" t="s">
        <v>4398</v>
      </c>
    </row>
    <row r="69" spans="1:5" ht="14.5" customHeight="1" x14ac:dyDescent="0.35">
      <c r="A69" s="196" t="str">
        <f>"01.1002"</f>
        <v>01.1002</v>
      </c>
      <c r="B69" s="196" t="s">
        <v>4107</v>
      </c>
      <c r="C69" s="320" t="s">
        <v>4269</v>
      </c>
      <c r="D69" s="321" t="s">
        <v>4399</v>
      </c>
      <c r="E69" s="322" t="s">
        <v>4400</v>
      </c>
    </row>
    <row r="70" spans="1:5" s="327" customFormat="1" ht="14.5" customHeight="1" x14ac:dyDescent="0.35">
      <c r="A70" s="323" t="str">
        <f>"01.1003"</f>
        <v>01.1003</v>
      </c>
      <c r="B70" s="323" t="s">
        <v>4297</v>
      </c>
      <c r="C70" s="324" t="s">
        <v>4269</v>
      </c>
      <c r="D70" s="325" t="s">
        <v>4401</v>
      </c>
      <c r="E70" s="326" t="s">
        <v>4402</v>
      </c>
    </row>
    <row r="71" spans="1:5" s="327" customFormat="1" ht="14.5" customHeight="1" x14ac:dyDescent="0.35">
      <c r="A71" s="323" t="str">
        <f>"01.1004"</f>
        <v>01.1004</v>
      </c>
      <c r="B71" s="323" t="s">
        <v>4403</v>
      </c>
      <c r="C71" s="324" t="s">
        <v>4269</v>
      </c>
      <c r="D71" s="325" t="s">
        <v>4319</v>
      </c>
      <c r="E71" s="326" t="s">
        <v>4404</v>
      </c>
    </row>
    <row r="72" spans="1:5" s="327" customFormat="1" ht="14.5" customHeight="1" x14ac:dyDescent="0.35">
      <c r="A72" s="323" t="str">
        <f>"01.1005"</f>
        <v>01.1005</v>
      </c>
      <c r="B72" s="323" t="s">
        <v>4297</v>
      </c>
      <c r="C72" s="324" t="s">
        <v>4269</v>
      </c>
      <c r="D72" s="325" t="s">
        <v>4405</v>
      </c>
      <c r="E72" s="326" t="s">
        <v>4406</v>
      </c>
    </row>
    <row r="73" spans="1:5" ht="14.5" customHeight="1" x14ac:dyDescent="0.35">
      <c r="A73" s="196" t="str">
        <f>"01.1099"</f>
        <v>01.1099</v>
      </c>
      <c r="B73" s="196" t="s">
        <v>4107</v>
      </c>
      <c r="C73" s="320" t="s">
        <v>4269</v>
      </c>
      <c r="D73" s="321" t="s">
        <v>4407</v>
      </c>
      <c r="E73" s="322" t="s">
        <v>4408</v>
      </c>
    </row>
    <row r="74" spans="1:5" ht="14.5" customHeight="1" x14ac:dyDescent="0.35">
      <c r="A74" s="196" t="str">
        <f>"01.11"</f>
        <v>01.11</v>
      </c>
      <c r="B74" s="196" t="s">
        <v>4107</v>
      </c>
      <c r="C74" s="320" t="s">
        <v>4269</v>
      </c>
      <c r="D74" s="321" t="s">
        <v>4409</v>
      </c>
      <c r="E74" s="322" t="s">
        <v>4410</v>
      </c>
    </row>
    <row r="75" spans="1:5" ht="14.5" customHeight="1" x14ac:dyDescent="0.35">
      <c r="A75" s="196" t="str">
        <f>"01.1101"</f>
        <v>01.1101</v>
      </c>
      <c r="B75" s="196" t="s">
        <v>4107</v>
      </c>
      <c r="C75" s="320" t="s">
        <v>4269</v>
      </c>
      <c r="D75" s="321" t="s">
        <v>4411</v>
      </c>
      <c r="E75" s="322" t="s">
        <v>4412</v>
      </c>
    </row>
    <row r="76" spans="1:5" ht="14.5" customHeight="1" x14ac:dyDescent="0.35">
      <c r="A76" s="196" t="str">
        <f>"01.1102"</f>
        <v>01.1102</v>
      </c>
      <c r="B76" s="196" t="s">
        <v>4107</v>
      </c>
      <c r="C76" s="320" t="s">
        <v>4269</v>
      </c>
      <c r="D76" s="321" t="s">
        <v>4413</v>
      </c>
      <c r="E76" s="322" t="s">
        <v>4414</v>
      </c>
    </row>
    <row r="77" spans="1:5" ht="14.5" customHeight="1" x14ac:dyDescent="0.35">
      <c r="A77" s="196" t="str">
        <f>"01.1103"</f>
        <v>01.1103</v>
      </c>
      <c r="B77" s="196" t="s">
        <v>4107</v>
      </c>
      <c r="C77" s="320" t="s">
        <v>4269</v>
      </c>
      <c r="D77" s="321" t="s">
        <v>4415</v>
      </c>
      <c r="E77" s="322" t="s">
        <v>4416</v>
      </c>
    </row>
    <row r="78" spans="1:5" ht="14.5" customHeight="1" x14ac:dyDescent="0.35">
      <c r="A78" s="196" t="str">
        <f>"01.1104"</f>
        <v>01.1104</v>
      </c>
      <c r="B78" s="196" t="s">
        <v>4107</v>
      </c>
      <c r="C78" s="320" t="s">
        <v>4269</v>
      </c>
      <c r="D78" s="321" t="s">
        <v>4417</v>
      </c>
      <c r="E78" s="322" t="s">
        <v>4418</v>
      </c>
    </row>
    <row r="79" spans="1:5" ht="14.5" customHeight="1" x14ac:dyDescent="0.35">
      <c r="A79" s="196" t="str">
        <f>"01.1105"</f>
        <v>01.1105</v>
      </c>
      <c r="B79" s="196" t="s">
        <v>4107</v>
      </c>
      <c r="C79" s="320" t="s">
        <v>4269</v>
      </c>
      <c r="D79" s="321" t="s">
        <v>4419</v>
      </c>
      <c r="E79" s="322" t="s">
        <v>4420</v>
      </c>
    </row>
    <row r="80" spans="1:5" ht="14.5" customHeight="1" x14ac:dyDescent="0.35">
      <c r="A80" s="196" t="str">
        <f>"01.1106"</f>
        <v>01.1106</v>
      </c>
      <c r="B80" s="196" t="s">
        <v>4107</v>
      </c>
      <c r="C80" s="320" t="s">
        <v>4269</v>
      </c>
      <c r="D80" s="321" t="s">
        <v>4421</v>
      </c>
      <c r="E80" s="322" t="s">
        <v>4422</v>
      </c>
    </row>
    <row r="81" spans="1:5" s="327" customFormat="1" ht="14.5" customHeight="1" x14ac:dyDescent="0.35">
      <c r="A81" s="323" t="str">
        <f>"01.1180"</f>
        <v>01.1180</v>
      </c>
      <c r="B81" s="323" t="s">
        <v>4297</v>
      </c>
      <c r="C81" s="324" t="s">
        <v>4269</v>
      </c>
      <c r="D81" s="325" t="s">
        <v>4328</v>
      </c>
      <c r="E81" s="326" t="s">
        <v>4329</v>
      </c>
    </row>
    <row r="82" spans="1:5" ht="14.5" customHeight="1" x14ac:dyDescent="0.35">
      <c r="A82" s="196" t="str">
        <f>"01.1199"</f>
        <v>01.1199</v>
      </c>
      <c r="B82" s="196" t="s">
        <v>4107</v>
      </c>
      <c r="C82" s="320" t="s">
        <v>4269</v>
      </c>
      <c r="D82" s="321" t="s">
        <v>4423</v>
      </c>
      <c r="E82" s="322" t="s">
        <v>4424</v>
      </c>
    </row>
    <row r="83" spans="1:5" ht="14.5" customHeight="1" x14ac:dyDescent="0.35">
      <c r="A83" s="196" t="str">
        <f>"01.12"</f>
        <v>01.12</v>
      </c>
      <c r="B83" s="196" t="s">
        <v>4107</v>
      </c>
      <c r="C83" s="320" t="s">
        <v>4269</v>
      </c>
      <c r="D83" s="321" t="s">
        <v>4425</v>
      </c>
      <c r="E83" s="322" t="s">
        <v>4426</v>
      </c>
    </row>
    <row r="84" spans="1:5" ht="14.5" customHeight="1" x14ac:dyDescent="0.35">
      <c r="A84" s="196" t="str">
        <f>"01.1201"</f>
        <v>01.1201</v>
      </c>
      <c r="B84" s="196" t="s">
        <v>4107</v>
      </c>
      <c r="C84" s="320" t="s">
        <v>4269</v>
      </c>
      <c r="D84" s="321" t="s">
        <v>4427</v>
      </c>
      <c r="E84" s="322" t="s">
        <v>4428</v>
      </c>
    </row>
    <row r="85" spans="1:5" ht="14.5" customHeight="1" x14ac:dyDescent="0.35">
      <c r="A85" s="196" t="str">
        <f>"01.1202"</f>
        <v>01.1202</v>
      </c>
      <c r="B85" s="196" t="s">
        <v>4107</v>
      </c>
      <c r="C85" s="320" t="s">
        <v>4269</v>
      </c>
      <c r="D85" s="321" t="s">
        <v>4429</v>
      </c>
      <c r="E85" s="322" t="s">
        <v>4430</v>
      </c>
    </row>
    <row r="86" spans="1:5" ht="14.5" customHeight="1" x14ac:dyDescent="0.35">
      <c r="A86" s="196" t="str">
        <f>"01.1203"</f>
        <v>01.1203</v>
      </c>
      <c r="B86" s="196" t="s">
        <v>4107</v>
      </c>
      <c r="C86" s="320" t="s">
        <v>4269</v>
      </c>
      <c r="D86" s="321" t="s">
        <v>4431</v>
      </c>
      <c r="E86" s="322" t="s">
        <v>4432</v>
      </c>
    </row>
    <row r="87" spans="1:5" ht="14.5" customHeight="1" x14ac:dyDescent="0.35">
      <c r="A87" s="196" t="str">
        <f>"01.1299"</f>
        <v>01.1299</v>
      </c>
      <c r="B87" s="196" t="s">
        <v>4107</v>
      </c>
      <c r="C87" s="320" t="s">
        <v>4269</v>
      </c>
      <c r="D87" s="321" t="s">
        <v>4433</v>
      </c>
      <c r="E87" s="322" t="s">
        <v>4434</v>
      </c>
    </row>
    <row r="88" spans="1:5" s="327" customFormat="1" ht="14.5" customHeight="1" x14ac:dyDescent="0.35">
      <c r="A88" s="323" t="str">
        <f>"01.13"</f>
        <v>01.13</v>
      </c>
      <c r="B88" s="323" t="s">
        <v>4297</v>
      </c>
      <c r="C88" s="324" t="s">
        <v>4269</v>
      </c>
      <c r="D88" s="325" t="s">
        <v>4435</v>
      </c>
      <c r="E88" s="326" t="s">
        <v>4436</v>
      </c>
    </row>
    <row r="89" spans="1:5" s="327" customFormat="1" ht="14.5" customHeight="1" x14ac:dyDescent="0.35">
      <c r="A89" s="323" t="str">
        <f>"01.1302"</f>
        <v>01.1302</v>
      </c>
      <c r="B89" s="323" t="s">
        <v>4403</v>
      </c>
      <c r="C89" s="324" t="s">
        <v>4269</v>
      </c>
      <c r="D89" s="325" t="s">
        <v>4437</v>
      </c>
      <c r="E89" s="326" t="s">
        <v>4438</v>
      </c>
    </row>
    <row r="90" spans="1:5" s="327" customFormat="1" ht="14.5" customHeight="1" x14ac:dyDescent="0.35">
      <c r="A90" s="323" t="str">
        <f>"01.1399"</f>
        <v>01.1399</v>
      </c>
      <c r="B90" s="323" t="s">
        <v>4297</v>
      </c>
      <c r="C90" s="324" t="s">
        <v>4269</v>
      </c>
      <c r="D90" s="325" t="s">
        <v>4439</v>
      </c>
      <c r="E90" s="326" t="s">
        <v>4440</v>
      </c>
    </row>
    <row r="91" spans="1:5" s="327" customFormat="1" ht="14.5" customHeight="1" x14ac:dyDescent="0.35">
      <c r="A91" s="323" t="str">
        <f>"01.80"</f>
        <v>01.80</v>
      </c>
      <c r="B91" s="323" t="s">
        <v>4403</v>
      </c>
      <c r="C91" s="324" t="s">
        <v>4269</v>
      </c>
      <c r="D91" s="325" t="s">
        <v>4441</v>
      </c>
      <c r="E91" s="326" t="s">
        <v>4442</v>
      </c>
    </row>
    <row r="92" spans="1:5" s="327" customFormat="1" ht="14.5" customHeight="1" x14ac:dyDescent="0.35">
      <c r="A92" s="323" t="str">
        <f>"01.8001"</f>
        <v>01.8001</v>
      </c>
      <c r="B92" s="323" t="s">
        <v>4403</v>
      </c>
      <c r="C92" s="324" t="s">
        <v>4269</v>
      </c>
      <c r="D92" s="325" t="s">
        <v>4441</v>
      </c>
      <c r="E92" s="326" t="s">
        <v>4443</v>
      </c>
    </row>
    <row r="93" spans="1:5" s="327" customFormat="1" ht="14.5" customHeight="1" x14ac:dyDescent="0.35">
      <c r="A93" s="323" t="str">
        <f>"01.81"</f>
        <v>01.81</v>
      </c>
      <c r="B93" s="323" t="s">
        <v>4403</v>
      </c>
      <c r="C93" s="324" t="s">
        <v>4269</v>
      </c>
      <c r="D93" s="325" t="s">
        <v>4444</v>
      </c>
      <c r="E93" s="326" t="s">
        <v>4445</v>
      </c>
    </row>
    <row r="94" spans="1:5" s="327" customFormat="1" ht="14.5" customHeight="1" x14ac:dyDescent="0.35">
      <c r="A94" s="323" t="str">
        <f>"01.8101"</f>
        <v>01.8101</v>
      </c>
      <c r="B94" s="323" t="s">
        <v>4403</v>
      </c>
      <c r="C94" s="324" t="s">
        <v>4269</v>
      </c>
      <c r="D94" s="325" t="s">
        <v>4446</v>
      </c>
      <c r="E94" s="326" t="s">
        <v>4447</v>
      </c>
    </row>
    <row r="95" spans="1:5" s="327" customFormat="1" ht="14.5" customHeight="1" x14ac:dyDescent="0.35">
      <c r="A95" s="323" t="str">
        <f>"01.8102"</f>
        <v>01.8102</v>
      </c>
      <c r="B95" s="323" t="s">
        <v>4403</v>
      </c>
      <c r="C95" s="324" t="s">
        <v>4269</v>
      </c>
      <c r="D95" s="325" t="s">
        <v>4448</v>
      </c>
      <c r="E95" s="326" t="s">
        <v>4449</v>
      </c>
    </row>
    <row r="96" spans="1:5" s="327" customFormat="1" ht="14.5" customHeight="1" x14ac:dyDescent="0.35">
      <c r="A96" s="323" t="str">
        <f>"01.8103"</f>
        <v>01.8103</v>
      </c>
      <c r="B96" s="323" t="s">
        <v>4403</v>
      </c>
      <c r="C96" s="324" t="s">
        <v>4269</v>
      </c>
      <c r="D96" s="325" t="s">
        <v>4450</v>
      </c>
      <c r="E96" s="326" t="s">
        <v>4451</v>
      </c>
    </row>
    <row r="97" spans="1:5" s="327" customFormat="1" ht="14.5" customHeight="1" x14ac:dyDescent="0.35">
      <c r="A97" s="323" t="str">
        <f>"01.8104"</f>
        <v>01.8104</v>
      </c>
      <c r="B97" s="323" t="s">
        <v>4403</v>
      </c>
      <c r="C97" s="324" t="s">
        <v>4269</v>
      </c>
      <c r="D97" s="325" t="s">
        <v>4452</v>
      </c>
      <c r="E97" s="326" t="s">
        <v>4453</v>
      </c>
    </row>
    <row r="98" spans="1:5" s="327" customFormat="1" ht="14.5" customHeight="1" x14ac:dyDescent="0.35">
      <c r="A98" s="323" t="str">
        <f>"01.8105"</f>
        <v>01.8105</v>
      </c>
      <c r="B98" s="323" t="s">
        <v>4403</v>
      </c>
      <c r="C98" s="324" t="s">
        <v>4269</v>
      </c>
      <c r="D98" s="325" t="s">
        <v>4454</v>
      </c>
      <c r="E98" s="326" t="s">
        <v>4455</v>
      </c>
    </row>
    <row r="99" spans="1:5" s="327" customFormat="1" ht="14.5" customHeight="1" x14ac:dyDescent="0.35">
      <c r="A99" s="323" t="str">
        <f>"01.8106"</f>
        <v>01.8106</v>
      </c>
      <c r="B99" s="323" t="s">
        <v>4403</v>
      </c>
      <c r="C99" s="324" t="s">
        <v>4269</v>
      </c>
      <c r="D99" s="325" t="s">
        <v>4456</v>
      </c>
      <c r="E99" s="326" t="s">
        <v>4457</v>
      </c>
    </row>
    <row r="100" spans="1:5" s="327" customFormat="1" ht="14.5" customHeight="1" x14ac:dyDescent="0.35">
      <c r="A100" s="323" t="str">
        <f>"01.8107"</f>
        <v>01.8107</v>
      </c>
      <c r="B100" s="323" t="s">
        <v>4403</v>
      </c>
      <c r="C100" s="324" t="s">
        <v>4269</v>
      </c>
      <c r="D100" s="325" t="s">
        <v>4458</v>
      </c>
      <c r="E100" s="326" t="s">
        <v>4459</v>
      </c>
    </row>
    <row r="101" spans="1:5" s="327" customFormat="1" ht="14.5" customHeight="1" x14ac:dyDescent="0.35">
      <c r="A101" s="323" t="str">
        <f>"01.8108"</f>
        <v>01.8108</v>
      </c>
      <c r="B101" s="323" t="s">
        <v>4403</v>
      </c>
      <c r="C101" s="324" t="s">
        <v>4269</v>
      </c>
      <c r="D101" s="325" t="s">
        <v>4460</v>
      </c>
      <c r="E101" s="326" t="s">
        <v>4461</v>
      </c>
    </row>
    <row r="102" spans="1:5" s="327" customFormat="1" ht="14.5" customHeight="1" x14ac:dyDescent="0.35">
      <c r="A102" s="323" t="str">
        <f>"01.8109"</f>
        <v>01.8109</v>
      </c>
      <c r="B102" s="323" t="s">
        <v>4403</v>
      </c>
      <c r="C102" s="324" t="s">
        <v>4269</v>
      </c>
      <c r="D102" s="325" t="s">
        <v>4462</v>
      </c>
      <c r="E102" s="326" t="s">
        <v>4463</v>
      </c>
    </row>
    <row r="103" spans="1:5" s="327" customFormat="1" ht="14.5" customHeight="1" x14ac:dyDescent="0.35">
      <c r="A103" s="323" t="str">
        <f>"01.8110"</f>
        <v>01.8110</v>
      </c>
      <c r="B103" s="323" t="s">
        <v>4403</v>
      </c>
      <c r="C103" s="324" t="s">
        <v>4269</v>
      </c>
      <c r="D103" s="325" t="s">
        <v>4464</v>
      </c>
      <c r="E103" s="326" t="s">
        <v>4465</v>
      </c>
    </row>
    <row r="104" spans="1:5" s="327" customFormat="1" ht="14.5" customHeight="1" x14ac:dyDescent="0.35">
      <c r="A104" s="323" t="str">
        <f>"01.8111"</f>
        <v>01.8111</v>
      </c>
      <c r="B104" s="323" t="s">
        <v>4403</v>
      </c>
      <c r="C104" s="324" t="s">
        <v>4269</v>
      </c>
      <c r="D104" s="325" t="s">
        <v>4466</v>
      </c>
      <c r="E104" s="326" t="s">
        <v>4467</v>
      </c>
    </row>
    <row r="105" spans="1:5" s="327" customFormat="1" ht="14.5" customHeight="1" x14ac:dyDescent="0.35">
      <c r="A105" s="323" t="str">
        <f>"01.8199"</f>
        <v>01.8199</v>
      </c>
      <c r="B105" s="323" t="s">
        <v>4403</v>
      </c>
      <c r="C105" s="324" t="s">
        <v>4269</v>
      </c>
      <c r="D105" s="325" t="s">
        <v>4468</v>
      </c>
      <c r="E105" s="326" t="s">
        <v>4469</v>
      </c>
    </row>
    <row r="106" spans="1:5" s="327" customFormat="1" ht="14.5" customHeight="1" x14ac:dyDescent="0.35">
      <c r="A106" s="323" t="str">
        <f>"01.82"</f>
        <v>01.82</v>
      </c>
      <c r="B106" s="323" t="s">
        <v>4297</v>
      </c>
      <c r="C106" s="324" t="s">
        <v>4269</v>
      </c>
      <c r="D106" s="325" t="s">
        <v>4470</v>
      </c>
      <c r="E106" s="326" t="s">
        <v>4471</v>
      </c>
    </row>
    <row r="107" spans="1:5" s="327" customFormat="1" ht="14.5" customHeight="1" x14ac:dyDescent="0.35">
      <c r="A107" s="323" t="str">
        <f>"01.8201"</f>
        <v>01.8201</v>
      </c>
      <c r="B107" s="323" t="s">
        <v>4297</v>
      </c>
      <c r="C107" s="324" t="s">
        <v>4269</v>
      </c>
      <c r="D107" s="325" t="s">
        <v>4472</v>
      </c>
      <c r="E107" s="326" t="s">
        <v>4473</v>
      </c>
    </row>
    <row r="108" spans="1:5" s="327" customFormat="1" ht="14.5" customHeight="1" x14ac:dyDescent="0.35">
      <c r="A108" s="323" t="str">
        <f>"01.8202"</f>
        <v>01.8202</v>
      </c>
      <c r="B108" s="323" t="s">
        <v>4297</v>
      </c>
      <c r="C108" s="324" t="s">
        <v>4269</v>
      </c>
      <c r="D108" s="325" t="s">
        <v>4474</v>
      </c>
      <c r="E108" s="326" t="s">
        <v>4475</v>
      </c>
    </row>
    <row r="109" spans="1:5" s="327" customFormat="1" ht="14.5" customHeight="1" x14ac:dyDescent="0.35">
      <c r="A109" s="323" t="str">
        <f>"01.8203"</f>
        <v>01.8203</v>
      </c>
      <c r="B109" s="323" t="s">
        <v>4297</v>
      </c>
      <c r="C109" s="324" t="s">
        <v>4269</v>
      </c>
      <c r="D109" s="325" t="s">
        <v>4476</v>
      </c>
      <c r="E109" s="326" t="s">
        <v>4477</v>
      </c>
    </row>
    <row r="110" spans="1:5" s="327" customFormat="1" ht="14.5" customHeight="1" x14ac:dyDescent="0.35">
      <c r="A110" s="323" t="str">
        <f>"01.8204"</f>
        <v>01.8204</v>
      </c>
      <c r="B110" s="323" t="s">
        <v>4297</v>
      </c>
      <c r="C110" s="324" t="s">
        <v>4269</v>
      </c>
      <c r="D110" s="325" t="s">
        <v>4478</v>
      </c>
      <c r="E110" s="326" t="s">
        <v>4479</v>
      </c>
    </row>
    <row r="111" spans="1:5" s="327" customFormat="1" ht="14.5" customHeight="1" x14ac:dyDescent="0.35">
      <c r="A111" s="323" t="str">
        <f>"01.8299"</f>
        <v>01.8299</v>
      </c>
      <c r="B111" s="323" t="s">
        <v>4297</v>
      </c>
      <c r="C111" s="324" t="s">
        <v>4269</v>
      </c>
      <c r="D111" s="325" t="s">
        <v>4480</v>
      </c>
      <c r="E111" s="326" t="s">
        <v>4481</v>
      </c>
    </row>
    <row r="112" spans="1:5" s="327" customFormat="1" ht="14.5" customHeight="1" x14ac:dyDescent="0.35">
      <c r="A112" s="323" t="str">
        <f>"01.83"</f>
        <v>01.83</v>
      </c>
      <c r="B112" s="323" t="s">
        <v>4297</v>
      </c>
      <c r="C112" s="324" t="s">
        <v>4269</v>
      </c>
      <c r="D112" s="325" t="s">
        <v>4482</v>
      </c>
      <c r="E112" s="326" t="s">
        <v>4483</v>
      </c>
    </row>
    <row r="113" spans="1:5" s="327" customFormat="1" ht="14.5" customHeight="1" x14ac:dyDescent="0.35">
      <c r="A113" s="323" t="str">
        <f>"01.8301"</f>
        <v>01.8301</v>
      </c>
      <c r="B113" s="323" t="s">
        <v>4403</v>
      </c>
      <c r="C113" s="324" t="s">
        <v>4269</v>
      </c>
      <c r="D113" s="325" t="s">
        <v>4484</v>
      </c>
      <c r="E113" s="326" t="s">
        <v>4485</v>
      </c>
    </row>
    <row r="114" spans="1:5" s="327" customFormat="1" ht="14.5" customHeight="1" x14ac:dyDescent="0.35">
      <c r="A114" s="323" t="str">
        <f>"01.8399"</f>
        <v>01.8399</v>
      </c>
      <c r="B114" s="323" t="s">
        <v>4297</v>
      </c>
      <c r="C114" s="324" t="s">
        <v>4269</v>
      </c>
      <c r="D114" s="325" t="s">
        <v>4486</v>
      </c>
      <c r="E114" s="326" t="s">
        <v>4487</v>
      </c>
    </row>
    <row r="115" spans="1:5" ht="14.5" customHeight="1" x14ac:dyDescent="0.35">
      <c r="A115" s="196" t="str">
        <f>"01.99"</f>
        <v>01.99</v>
      </c>
      <c r="B115" s="196" t="s">
        <v>4265</v>
      </c>
      <c r="C115" s="320" t="s">
        <v>4266</v>
      </c>
      <c r="D115" s="321" t="s">
        <v>4488</v>
      </c>
      <c r="E115" s="322" t="s">
        <v>4489</v>
      </c>
    </row>
    <row r="116" spans="1:5" ht="14.5" customHeight="1" x14ac:dyDescent="0.35">
      <c r="A116" s="196" t="str">
        <f>"01.9999"</f>
        <v>01.9999</v>
      </c>
      <c r="B116" s="196" t="s">
        <v>4265</v>
      </c>
      <c r="C116" s="320" t="s">
        <v>4266</v>
      </c>
      <c r="D116" s="321" t="s">
        <v>4488</v>
      </c>
      <c r="E116" s="322" t="s">
        <v>4490</v>
      </c>
    </row>
    <row r="117" spans="1:5" ht="14.5" customHeight="1" x14ac:dyDescent="0.35">
      <c r="A117" s="196" t="str">
        <f>"03"</f>
        <v>03</v>
      </c>
      <c r="B117" s="196" t="s">
        <v>4107</v>
      </c>
      <c r="C117" s="320" t="s">
        <v>4269</v>
      </c>
      <c r="D117" s="321" t="s">
        <v>4491</v>
      </c>
      <c r="E117" s="322" t="s">
        <v>4492</v>
      </c>
    </row>
    <row r="118" spans="1:5" ht="14.5" customHeight="1" x14ac:dyDescent="0.35">
      <c r="A118" s="196" t="str">
        <f>"03.01"</f>
        <v>03.01</v>
      </c>
      <c r="B118" s="196" t="s">
        <v>4107</v>
      </c>
      <c r="C118" s="320" t="s">
        <v>4269</v>
      </c>
      <c r="D118" s="321" t="s">
        <v>4493</v>
      </c>
      <c r="E118" s="322" t="s">
        <v>4494</v>
      </c>
    </row>
    <row r="119" spans="1:5" ht="14.5" customHeight="1" x14ac:dyDescent="0.35">
      <c r="A119" s="196" t="str">
        <f>"03.0101"</f>
        <v>03.0101</v>
      </c>
      <c r="B119" s="196" t="s">
        <v>4107</v>
      </c>
      <c r="C119" s="320" t="s">
        <v>4269</v>
      </c>
      <c r="D119" s="321" t="s">
        <v>4495</v>
      </c>
      <c r="E119" s="322" t="s">
        <v>4496</v>
      </c>
    </row>
    <row r="120" spans="1:5" ht="14.5" customHeight="1" x14ac:dyDescent="0.35">
      <c r="A120" s="196" t="str">
        <f>"03.0103"</f>
        <v>03.0103</v>
      </c>
      <c r="B120" s="196" t="s">
        <v>4107</v>
      </c>
      <c r="C120" s="320" t="s">
        <v>4269</v>
      </c>
      <c r="D120" s="321" t="s">
        <v>4497</v>
      </c>
      <c r="E120" s="322" t="s">
        <v>4498</v>
      </c>
    </row>
    <row r="121" spans="1:5" ht="14.5" customHeight="1" x14ac:dyDescent="0.35">
      <c r="A121" s="196" t="str">
        <f>"03.0104"</f>
        <v>03.0104</v>
      </c>
      <c r="B121" s="196" t="s">
        <v>4107</v>
      </c>
      <c r="C121" s="320" t="s">
        <v>4269</v>
      </c>
      <c r="D121" s="321" t="s">
        <v>4499</v>
      </c>
      <c r="E121" s="322" t="s">
        <v>4500</v>
      </c>
    </row>
    <row r="122" spans="1:5" ht="14.5" customHeight="1" x14ac:dyDescent="0.35">
      <c r="A122" s="196" t="str">
        <f>"03.0199"</f>
        <v>03.0199</v>
      </c>
      <c r="B122" s="196" t="s">
        <v>4107</v>
      </c>
      <c r="C122" s="320" t="s">
        <v>4269</v>
      </c>
      <c r="D122" s="321" t="s">
        <v>4501</v>
      </c>
      <c r="E122" s="322" t="s">
        <v>4502</v>
      </c>
    </row>
    <row r="123" spans="1:5" ht="14.5" customHeight="1" x14ac:dyDescent="0.35">
      <c r="A123" s="196" t="str">
        <f>"03.02"</f>
        <v>03.02</v>
      </c>
      <c r="B123" s="196" t="s">
        <v>4265</v>
      </c>
      <c r="C123" s="320" t="s">
        <v>4266</v>
      </c>
      <c r="D123" s="321" t="s">
        <v>4503</v>
      </c>
      <c r="E123" s="322" t="s">
        <v>4504</v>
      </c>
    </row>
    <row r="124" spans="1:5" ht="14.5" customHeight="1" x14ac:dyDescent="0.35">
      <c r="A124" s="196" t="str">
        <f>"03.0201"</f>
        <v>03.0201</v>
      </c>
      <c r="B124" s="196" t="s">
        <v>4265</v>
      </c>
      <c r="C124" s="320" t="s">
        <v>4266</v>
      </c>
      <c r="D124" s="321" t="s">
        <v>4505</v>
      </c>
      <c r="E124" s="322" t="s">
        <v>4506</v>
      </c>
    </row>
    <row r="125" spans="1:5" ht="14.5" customHeight="1" x14ac:dyDescent="0.35">
      <c r="A125" s="196" t="str">
        <f>"03.0204"</f>
        <v>03.0204</v>
      </c>
      <c r="B125" s="196" t="s">
        <v>4265</v>
      </c>
      <c r="C125" s="320" t="s">
        <v>4266</v>
      </c>
      <c r="D125" s="321" t="s">
        <v>4507</v>
      </c>
      <c r="E125" s="322" t="s">
        <v>4508</v>
      </c>
    </row>
    <row r="126" spans="1:5" ht="14.5" customHeight="1" x14ac:dyDescent="0.35">
      <c r="A126" s="196" t="str">
        <f>"03.0205"</f>
        <v>03.0205</v>
      </c>
      <c r="B126" s="196" t="s">
        <v>4107</v>
      </c>
      <c r="C126" s="320" t="s">
        <v>4269</v>
      </c>
      <c r="D126" s="321" t="s">
        <v>4509</v>
      </c>
      <c r="E126" s="322" t="s">
        <v>4510</v>
      </c>
    </row>
    <row r="127" spans="1:5" ht="14.5" customHeight="1" x14ac:dyDescent="0.35">
      <c r="A127" s="196" t="str">
        <f>"03.0206"</f>
        <v>03.0206</v>
      </c>
      <c r="B127" s="196" t="s">
        <v>4107</v>
      </c>
      <c r="C127" s="320" t="s">
        <v>4269</v>
      </c>
      <c r="D127" s="321" t="s">
        <v>4511</v>
      </c>
      <c r="E127" s="322" t="s">
        <v>4512</v>
      </c>
    </row>
    <row r="128" spans="1:5" ht="14.5" customHeight="1" x14ac:dyDescent="0.35">
      <c r="A128" s="196" t="str">
        <f>"03.0207"</f>
        <v>03.0207</v>
      </c>
      <c r="B128" s="196" t="s">
        <v>4265</v>
      </c>
      <c r="C128" s="320" t="s">
        <v>4266</v>
      </c>
      <c r="D128" s="321" t="s">
        <v>4513</v>
      </c>
      <c r="E128" s="322" t="s">
        <v>4514</v>
      </c>
    </row>
    <row r="129" spans="1:5" ht="14.5" customHeight="1" x14ac:dyDescent="0.35">
      <c r="A129" s="196" t="str">
        <f>"03.0208"</f>
        <v>03.0208</v>
      </c>
      <c r="B129" s="196" t="s">
        <v>4265</v>
      </c>
      <c r="C129" s="320" t="s">
        <v>4266</v>
      </c>
      <c r="D129" s="321" t="s">
        <v>4515</v>
      </c>
      <c r="E129" s="322" t="s">
        <v>4516</v>
      </c>
    </row>
    <row r="130" spans="1:5" s="327" customFormat="1" ht="14.5" customHeight="1" x14ac:dyDescent="0.35">
      <c r="A130" s="323" t="str">
        <f>"03.0209"</f>
        <v>03.0209</v>
      </c>
      <c r="B130" s="323" t="s">
        <v>4297</v>
      </c>
      <c r="C130" s="324" t="s">
        <v>4269</v>
      </c>
      <c r="D130" s="325" t="s">
        <v>4517</v>
      </c>
      <c r="E130" s="326" t="s">
        <v>4518</v>
      </c>
    </row>
    <row r="131" spans="1:5" s="327" customFormat="1" ht="14.5" customHeight="1" x14ac:dyDescent="0.35">
      <c r="A131" s="323" t="str">
        <f>"03.0210"</f>
        <v>03.0210</v>
      </c>
      <c r="B131" s="323" t="s">
        <v>4297</v>
      </c>
      <c r="C131" s="324" t="s">
        <v>4269</v>
      </c>
      <c r="D131" s="325" t="s">
        <v>4519</v>
      </c>
      <c r="E131" s="326" t="s">
        <v>4520</v>
      </c>
    </row>
    <row r="132" spans="1:5" ht="14.5" customHeight="1" x14ac:dyDescent="0.35">
      <c r="A132" s="196" t="str">
        <f>"03.0299"</f>
        <v>03.0299</v>
      </c>
      <c r="B132" s="196" t="s">
        <v>4265</v>
      </c>
      <c r="C132" s="320" t="s">
        <v>4266</v>
      </c>
      <c r="D132" s="321" t="s">
        <v>4521</v>
      </c>
      <c r="E132" s="322" t="s">
        <v>4522</v>
      </c>
    </row>
    <row r="133" spans="1:5" ht="14.5" customHeight="1" x14ac:dyDescent="0.35">
      <c r="A133" s="196" t="str">
        <f>"03.03"</f>
        <v>03.03</v>
      </c>
      <c r="B133" s="196" t="s">
        <v>4107</v>
      </c>
      <c r="C133" s="320" t="s">
        <v>4269</v>
      </c>
      <c r="D133" s="321" t="s">
        <v>4523</v>
      </c>
      <c r="E133" s="322" t="s">
        <v>4524</v>
      </c>
    </row>
    <row r="134" spans="1:5" ht="14.5" customHeight="1" x14ac:dyDescent="0.35">
      <c r="A134" s="196" t="str">
        <f>"03.0301"</f>
        <v>03.0301</v>
      </c>
      <c r="B134" s="196" t="s">
        <v>4107</v>
      </c>
      <c r="C134" s="320" t="s">
        <v>4269</v>
      </c>
      <c r="D134" s="321" t="s">
        <v>4523</v>
      </c>
      <c r="E134" s="322" t="s">
        <v>4525</v>
      </c>
    </row>
    <row r="135" spans="1:5" ht="14.5" customHeight="1" x14ac:dyDescent="0.35">
      <c r="A135" s="196" t="str">
        <f>"03.05"</f>
        <v>03.05</v>
      </c>
      <c r="B135" s="196" t="s">
        <v>4107</v>
      </c>
      <c r="C135" s="320" t="s">
        <v>4269</v>
      </c>
      <c r="D135" s="321" t="s">
        <v>4526</v>
      </c>
      <c r="E135" s="322" t="s">
        <v>4527</v>
      </c>
    </row>
    <row r="136" spans="1:5" ht="14.5" customHeight="1" x14ac:dyDescent="0.35">
      <c r="A136" s="196" t="str">
        <f>"03.0501"</f>
        <v>03.0501</v>
      </c>
      <c r="B136" s="196" t="s">
        <v>4107</v>
      </c>
      <c r="C136" s="320" t="s">
        <v>4269</v>
      </c>
      <c r="D136" s="321" t="s">
        <v>4528</v>
      </c>
      <c r="E136" s="322" t="s">
        <v>4529</v>
      </c>
    </row>
    <row r="137" spans="1:5" ht="14.5" customHeight="1" x14ac:dyDescent="0.35">
      <c r="A137" s="196" t="str">
        <f>"03.0502"</f>
        <v>03.0502</v>
      </c>
      <c r="B137" s="196" t="s">
        <v>4107</v>
      </c>
      <c r="C137" s="320" t="s">
        <v>4269</v>
      </c>
      <c r="D137" s="321" t="s">
        <v>4530</v>
      </c>
      <c r="E137" s="322" t="s">
        <v>4531</v>
      </c>
    </row>
    <row r="138" spans="1:5" ht="14.5" customHeight="1" x14ac:dyDescent="0.35">
      <c r="A138" s="196" t="str">
        <f>"03.0506"</f>
        <v>03.0506</v>
      </c>
      <c r="B138" s="196" t="s">
        <v>4107</v>
      </c>
      <c r="C138" s="320" t="s">
        <v>4269</v>
      </c>
      <c r="D138" s="321" t="s">
        <v>4532</v>
      </c>
      <c r="E138" s="322" t="s">
        <v>4533</v>
      </c>
    </row>
    <row r="139" spans="1:5" ht="14.5" customHeight="1" x14ac:dyDescent="0.35">
      <c r="A139" s="196" t="str">
        <f>"03.0508"</f>
        <v>03.0508</v>
      </c>
      <c r="B139" s="196" t="s">
        <v>4107</v>
      </c>
      <c r="C139" s="320" t="s">
        <v>4269</v>
      </c>
      <c r="D139" s="321" t="s">
        <v>4534</v>
      </c>
      <c r="E139" s="322" t="s">
        <v>4535</v>
      </c>
    </row>
    <row r="140" spans="1:5" ht="14.5" customHeight="1" x14ac:dyDescent="0.35">
      <c r="A140" s="196" t="str">
        <f>"03.0509"</f>
        <v>03.0509</v>
      </c>
      <c r="B140" s="196" t="s">
        <v>4265</v>
      </c>
      <c r="C140" s="320" t="s">
        <v>4266</v>
      </c>
      <c r="D140" s="321" t="s">
        <v>4536</v>
      </c>
      <c r="E140" s="322" t="s">
        <v>4537</v>
      </c>
    </row>
    <row r="141" spans="1:5" ht="14.5" customHeight="1" x14ac:dyDescent="0.35">
      <c r="A141" s="196" t="str">
        <f>"03.0510"</f>
        <v>03.0510</v>
      </c>
      <c r="B141" s="196" t="s">
        <v>4107</v>
      </c>
      <c r="C141" s="320" t="s">
        <v>4269</v>
      </c>
      <c r="D141" s="321" t="s">
        <v>4538</v>
      </c>
      <c r="E141" s="322" t="s">
        <v>4539</v>
      </c>
    </row>
    <row r="142" spans="1:5" ht="14.5" customHeight="1" x14ac:dyDescent="0.35">
      <c r="A142" s="196" t="str">
        <f>"03.0511"</f>
        <v>03.0511</v>
      </c>
      <c r="B142" s="196" t="s">
        <v>4107</v>
      </c>
      <c r="C142" s="320" t="s">
        <v>4269</v>
      </c>
      <c r="D142" s="321" t="s">
        <v>4540</v>
      </c>
      <c r="E142" s="322" t="s">
        <v>4541</v>
      </c>
    </row>
    <row r="143" spans="1:5" ht="14.5" customHeight="1" x14ac:dyDescent="0.35">
      <c r="A143" s="196" t="str">
        <f>"03.0599"</f>
        <v>03.0599</v>
      </c>
      <c r="B143" s="196" t="s">
        <v>4107</v>
      </c>
      <c r="C143" s="320" t="s">
        <v>4269</v>
      </c>
      <c r="D143" s="321" t="s">
        <v>4542</v>
      </c>
      <c r="E143" s="322" t="s">
        <v>4543</v>
      </c>
    </row>
    <row r="144" spans="1:5" ht="14.5" customHeight="1" x14ac:dyDescent="0.35">
      <c r="A144" s="196" t="str">
        <f>"03.06"</f>
        <v>03.06</v>
      </c>
      <c r="B144" s="196" t="s">
        <v>4107</v>
      </c>
      <c r="C144" s="320" t="s">
        <v>4269</v>
      </c>
      <c r="D144" s="321" t="s">
        <v>4544</v>
      </c>
      <c r="E144" s="322" t="s">
        <v>4545</v>
      </c>
    </row>
    <row r="145" spans="1:5" ht="14.5" customHeight="1" x14ac:dyDescent="0.35">
      <c r="A145" s="196" t="str">
        <f>"03.0601"</f>
        <v>03.0601</v>
      </c>
      <c r="B145" s="196" t="s">
        <v>4107</v>
      </c>
      <c r="C145" s="320" t="s">
        <v>4269</v>
      </c>
      <c r="D145" s="321" t="s">
        <v>4546</v>
      </c>
      <c r="E145" s="322" t="s">
        <v>4547</v>
      </c>
    </row>
    <row r="146" spans="1:5" ht="14.5" customHeight="1" x14ac:dyDescent="0.35">
      <c r="A146" s="196" t="str">
        <f>"03.99"</f>
        <v>03.99</v>
      </c>
      <c r="B146" s="196" t="s">
        <v>4107</v>
      </c>
      <c r="C146" s="320" t="s">
        <v>4269</v>
      </c>
      <c r="D146" s="321" t="s">
        <v>4548</v>
      </c>
      <c r="E146" s="322" t="s">
        <v>4549</v>
      </c>
    </row>
    <row r="147" spans="1:5" ht="14.5" customHeight="1" x14ac:dyDescent="0.35">
      <c r="A147" s="196" t="str">
        <f>"03.9999"</f>
        <v>03.9999</v>
      </c>
      <c r="B147" s="196" t="s">
        <v>4107</v>
      </c>
      <c r="C147" s="320" t="s">
        <v>4269</v>
      </c>
      <c r="D147" s="321" t="s">
        <v>4548</v>
      </c>
      <c r="E147" s="322" t="s">
        <v>4550</v>
      </c>
    </row>
    <row r="148" spans="1:5" ht="14.5" customHeight="1" x14ac:dyDescent="0.35">
      <c r="A148" s="196" t="str">
        <f>"04"</f>
        <v>04</v>
      </c>
      <c r="B148" s="196" t="s">
        <v>4107</v>
      </c>
      <c r="C148" s="320" t="s">
        <v>4269</v>
      </c>
      <c r="D148" s="321" t="s">
        <v>4551</v>
      </c>
      <c r="E148" s="322" t="s">
        <v>4552</v>
      </c>
    </row>
    <row r="149" spans="1:5" ht="14.5" customHeight="1" x14ac:dyDescent="0.35">
      <c r="A149" s="196" t="str">
        <f>"04.02"</f>
        <v>04.02</v>
      </c>
      <c r="B149" s="196" t="s">
        <v>4107</v>
      </c>
      <c r="C149" s="320" t="s">
        <v>4269</v>
      </c>
      <c r="D149" s="321" t="s">
        <v>4553</v>
      </c>
      <c r="E149" s="322" t="s">
        <v>4554</v>
      </c>
    </row>
    <row r="150" spans="1:5" s="327" customFormat="1" ht="14.5" customHeight="1" x14ac:dyDescent="0.35">
      <c r="A150" s="323" t="str">
        <f>"04.0200"</f>
        <v>04.0200</v>
      </c>
      <c r="B150" s="323" t="s">
        <v>4297</v>
      </c>
      <c r="C150" s="324" t="s">
        <v>4269</v>
      </c>
      <c r="D150" s="325" t="s">
        <v>4555</v>
      </c>
      <c r="E150" s="326" t="s">
        <v>4556</v>
      </c>
    </row>
    <row r="151" spans="1:5" ht="14.5" customHeight="1" x14ac:dyDescent="0.35">
      <c r="A151" s="196" t="str">
        <f>"04.0201"</f>
        <v>04.0201</v>
      </c>
      <c r="B151" s="196" t="s">
        <v>4107</v>
      </c>
      <c r="C151" s="320" t="s">
        <v>4269</v>
      </c>
      <c r="D151" s="321" t="s">
        <v>4553</v>
      </c>
      <c r="E151" s="322" t="s">
        <v>4557</v>
      </c>
    </row>
    <row r="152" spans="1:5" s="327" customFormat="1" ht="14.5" customHeight="1" x14ac:dyDescent="0.35">
      <c r="A152" s="323" t="str">
        <f>"04.0202"</f>
        <v>04.0202</v>
      </c>
      <c r="B152" s="323" t="s">
        <v>4297</v>
      </c>
      <c r="C152" s="324" t="s">
        <v>4269</v>
      </c>
      <c r="D152" s="325" t="s">
        <v>4558</v>
      </c>
      <c r="E152" s="326" t="s">
        <v>4559</v>
      </c>
    </row>
    <row r="153" spans="1:5" s="327" customFormat="1" ht="14.5" customHeight="1" x14ac:dyDescent="0.35">
      <c r="A153" s="323" t="str">
        <f>"04.0299"</f>
        <v>04.0299</v>
      </c>
      <c r="B153" s="323" t="s">
        <v>4297</v>
      </c>
      <c r="C153" s="324" t="s">
        <v>4269</v>
      </c>
      <c r="D153" s="325" t="s">
        <v>4560</v>
      </c>
      <c r="E153" s="326" t="s">
        <v>4561</v>
      </c>
    </row>
    <row r="154" spans="1:5" ht="14.5" customHeight="1" x14ac:dyDescent="0.35">
      <c r="A154" s="196" t="str">
        <f>"04.03"</f>
        <v>04.03</v>
      </c>
      <c r="B154" s="196" t="s">
        <v>4107</v>
      </c>
      <c r="C154" s="320" t="s">
        <v>4269</v>
      </c>
      <c r="D154" s="321" t="s">
        <v>4562</v>
      </c>
      <c r="E154" s="322" t="s">
        <v>4563</v>
      </c>
    </row>
    <row r="155" spans="1:5" ht="14.5" customHeight="1" x14ac:dyDescent="0.35">
      <c r="A155" s="196" t="str">
        <f>"04.0301"</f>
        <v>04.0301</v>
      </c>
      <c r="B155" s="196" t="s">
        <v>4107</v>
      </c>
      <c r="C155" s="320" t="s">
        <v>4269</v>
      </c>
      <c r="D155" s="321" t="s">
        <v>4562</v>
      </c>
      <c r="E155" s="322" t="s">
        <v>4564</v>
      </c>
    </row>
    <row r="156" spans="1:5" ht="14.5" customHeight="1" x14ac:dyDescent="0.35">
      <c r="A156" s="196" t="str">
        <f>"04.04"</f>
        <v>04.04</v>
      </c>
      <c r="B156" s="196" t="s">
        <v>4107</v>
      </c>
      <c r="C156" s="320" t="s">
        <v>4269</v>
      </c>
      <c r="D156" s="321" t="s">
        <v>4565</v>
      </c>
      <c r="E156" s="322" t="s">
        <v>4566</v>
      </c>
    </row>
    <row r="157" spans="1:5" ht="14.5" customHeight="1" x14ac:dyDescent="0.35">
      <c r="A157" s="196" t="str">
        <f>"04.0401"</f>
        <v>04.0401</v>
      </c>
      <c r="B157" s="196" t="s">
        <v>4107</v>
      </c>
      <c r="C157" s="320" t="s">
        <v>4269</v>
      </c>
      <c r="D157" s="321" t="s">
        <v>4567</v>
      </c>
      <c r="E157" s="322" t="s">
        <v>4568</v>
      </c>
    </row>
    <row r="158" spans="1:5" s="327" customFormat="1" ht="14.5" customHeight="1" x14ac:dyDescent="0.35">
      <c r="A158" s="323" t="str">
        <f>"04.0402"</f>
        <v>04.0402</v>
      </c>
      <c r="B158" s="323" t="s">
        <v>4297</v>
      </c>
      <c r="C158" s="324" t="s">
        <v>4269</v>
      </c>
      <c r="D158" s="325" t="s">
        <v>4569</v>
      </c>
      <c r="E158" s="326" t="s">
        <v>4570</v>
      </c>
    </row>
    <row r="159" spans="1:5" s="327" customFormat="1" ht="14.5" customHeight="1" x14ac:dyDescent="0.35">
      <c r="A159" s="323" t="str">
        <f>"04.0403"</f>
        <v>04.0403</v>
      </c>
      <c r="B159" s="323" t="s">
        <v>4297</v>
      </c>
      <c r="C159" s="324" t="s">
        <v>4269</v>
      </c>
      <c r="D159" s="325" t="s">
        <v>4571</v>
      </c>
      <c r="E159" s="326" t="s">
        <v>4572</v>
      </c>
    </row>
    <row r="160" spans="1:5" s="327" customFormat="1" ht="14.5" customHeight="1" x14ac:dyDescent="0.35">
      <c r="A160" s="323" t="str">
        <f>"04.0499"</f>
        <v>04.0499</v>
      </c>
      <c r="B160" s="323" t="s">
        <v>4297</v>
      </c>
      <c r="C160" s="324" t="s">
        <v>4269</v>
      </c>
      <c r="D160" s="325" t="s">
        <v>4573</v>
      </c>
      <c r="E160" s="326" t="s">
        <v>4574</v>
      </c>
    </row>
    <row r="161" spans="1:5" ht="14.5" customHeight="1" x14ac:dyDescent="0.35">
      <c r="A161" s="196" t="str">
        <f>"04.05"</f>
        <v>04.05</v>
      </c>
      <c r="B161" s="196" t="s">
        <v>4107</v>
      </c>
      <c r="C161" s="320" t="s">
        <v>4269</v>
      </c>
      <c r="D161" s="321" t="s">
        <v>4575</v>
      </c>
      <c r="E161" s="322" t="s">
        <v>4576</v>
      </c>
    </row>
    <row r="162" spans="1:5" ht="14.5" customHeight="1" x14ac:dyDescent="0.35">
      <c r="A162" s="196" t="str">
        <f>"04.0501"</f>
        <v>04.0501</v>
      </c>
      <c r="B162" s="196" t="s">
        <v>4107</v>
      </c>
      <c r="C162" s="320" t="s">
        <v>4269</v>
      </c>
      <c r="D162" s="321" t="s">
        <v>4575</v>
      </c>
      <c r="E162" s="322" t="s">
        <v>4577</v>
      </c>
    </row>
    <row r="163" spans="1:5" ht="14.5" customHeight="1" x14ac:dyDescent="0.35">
      <c r="A163" s="196" t="str">
        <f>"04.06"</f>
        <v>04.06</v>
      </c>
      <c r="B163" s="196" t="s">
        <v>4107</v>
      </c>
      <c r="C163" s="320" t="s">
        <v>4269</v>
      </c>
      <c r="D163" s="321" t="s">
        <v>4578</v>
      </c>
      <c r="E163" s="322" t="s">
        <v>4579</v>
      </c>
    </row>
    <row r="164" spans="1:5" ht="14.5" customHeight="1" x14ac:dyDescent="0.35">
      <c r="A164" s="196" t="str">
        <f>"04.0601"</f>
        <v>04.0601</v>
      </c>
      <c r="B164" s="196" t="s">
        <v>4107</v>
      </c>
      <c r="C164" s="320" t="s">
        <v>4269</v>
      </c>
      <c r="D164" s="321" t="s">
        <v>4578</v>
      </c>
      <c r="E164" s="322" t="s">
        <v>4580</v>
      </c>
    </row>
    <row r="165" spans="1:5" ht="14.5" customHeight="1" x14ac:dyDescent="0.35">
      <c r="A165" s="196" t="str">
        <f>"04.08"</f>
        <v>04.08</v>
      </c>
      <c r="B165" s="196" t="s">
        <v>4265</v>
      </c>
      <c r="C165" s="320" t="s">
        <v>4266</v>
      </c>
      <c r="D165" s="321" t="s">
        <v>4581</v>
      </c>
      <c r="E165" s="322" t="s">
        <v>4582</v>
      </c>
    </row>
    <row r="166" spans="1:5" ht="14.5" customHeight="1" x14ac:dyDescent="0.35">
      <c r="A166" s="196" t="str">
        <f>"04.0801"</f>
        <v>04.0801</v>
      </c>
      <c r="B166" s="196" t="s">
        <v>4107</v>
      </c>
      <c r="C166" s="320" t="s">
        <v>4269</v>
      </c>
      <c r="D166" s="321" t="s">
        <v>4583</v>
      </c>
      <c r="E166" s="322" t="s">
        <v>4584</v>
      </c>
    </row>
    <row r="167" spans="1:5" s="327" customFormat="1" ht="14.5" customHeight="1" x14ac:dyDescent="0.35">
      <c r="A167" s="323" t="str">
        <f>"04.0802"</f>
        <v>04.0802</v>
      </c>
      <c r="B167" s="323" t="s">
        <v>4297</v>
      </c>
      <c r="C167" s="324" t="s">
        <v>4269</v>
      </c>
      <c r="D167" s="325" t="s">
        <v>4585</v>
      </c>
      <c r="E167" s="326" t="s">
        <v>4586</v>
      </c>
    </row>
    <row r="168" spans="1:5" s="327" customFormat="1" ht="14.5" customHeight="1" x14ac:dyDescent="0.35">
      <c r="A168" s="323" t="str">
        <f>"04.0803"</f>
        <v>04.0803</v>
      </c>
      <c r="B168" s="323" t="s">
        <v>4297</v>
      </c>
      <c r="C168" s="324" t="s">
        <v>4269</v>
      </c>
      <c r="D168" s="325" t="s">
        <v>4587</v>
      </c>
      <c r="E168" s="326" t="s">
        <v>4588</v>
      </c>
    </row>
    <row r="169" spans="1:5" s="327" customFormat="1" ht="14.5" customHeight="1" x14ac:dyDescent="0.35">
      <c r="A169" s="323" t="str">
        <f>"04.0899"</f>
        <v>04.0899</v>
      </c>
      <c r="B169" s="323" t="s">
        <v>4297</v>
      </c>
      <c r="C169" s="324" t="s">
        <v>4269</v>
      </c>
      <c r="D169" s="325" t="s">
        <v>4589</v>
      </c>
      <c r="E169" s="326" t="s">
        <v>4590</v>
      </c>
    </row>
    <row r="170" spans="1:5" ht="14.5" customHeight="1" x14ac:dyDescent="0.35">
      <c r="A170" s="196" t="str">
        <f>"04.09"</f>
        <v>04.09</v>
      </c>
      <c r="B170" s="196" t="s">
        <v>4107</v>
      </c>
      <c r="C170" s="320" t="s">
        <v>4269</v>
      </c>
      <c r="D170" s="321" t="s">
        <v>4591</v>
      </c>
      <c r="E170" s="322" t="s">
        <v>4592</v>
      </c>
    </row>
    <row r="171" spans="1:5" ht="14.5" customHeight="1" x14ac:dyDescent="0.35">
      <c r="A171" s="196" t="str">
        <f>"04.0901"</f>
        <v>04.0901</v>
      </c>
      <c r="B171" s="196" t="s">
        <v>4107</v>
      </c>
      <c r="C171" s="320" t="s">
        <v>4269</v>
      </c>
      <c r="D171" s="321" t="s">
        <v>4593</v>
      </c>
      <c r="E171" s="322" t="s">
        <v>4594</v>
      </c>
    </row>
    <row r="172" spans="1:5" ht="14.5" customHeight="1" x14ac:dyDescent="0.35">
      <c r="A172" s="196" t="str">
        <f>"04.0902"</f>
        <v>04.0902</v>
      </c>
      <c r="B172" s="196" t="s">
        <v>4107</v>
      </c>
      <c r="C172" s="320" t="s">
        <v>4269</v>
      </c>
      <c r="D172" s="321" t="s">
        <v>4595</v>
      </c>
      <c r="E172" s="322" t="s">
        <v>4596</v>
      </c>
    </row>
    <row r="173" spans="1:5" ht="14.5" customHeight="1" x14ac:dyDescent="0.35">
      <c r="A173" s="196" t="str">
        <f>"04.0999"</f>
        <v>04.0999</v>
      </c>
      <c r="B173" s="196" t="s">
        <v>4107</v>
      </c>
      <c r="C173" s="320" t="s">
        <v>4269</v>
      </c>
      <c r="D173" s="321" t="s">
        <v>4597</v>
      </c>
      <c r="E173" s="322" t="s">
        <v>4598</v>
      </c>
    </row>
    <row r="174" spans="1:5" ht="14.5" customHeight="1" x14ac:dyDescent="0.35">
      <c r="A174" s="196" t="str">
        <f>"04.10"</f>
        <v>04.10</v>
      </c>
      <c r="B174" s="196" t="s">
        <v>4107</v>
      </c>
      <c r="C174" s="320" t="s">
        <v>4269</v>
      </c>
      <c r="D174" s="321" t="s">
        <v>4599</v>
      </c>
      <c r="E174" s="322" t="s">
        <v>4600</v>
      </c>
    </row>
    <row r="175" spans="1:5" ht="14.5" customHeight="1" x14ac:dyDescent="0.35">
      <c r="A175" s="196" t="str">
        <f>"04.1001"</f>
        <v>04.1001</v>
      </c>
      <c r="B175" s="196" t="s">
        <v>4107</v>
      </c>
      <c r="C175" s="320" t="s">
        <v>4269</v>
      </c>
      <c r="D175" s="321" t="s">
        <v>4599</v>
      </c>
      <c r="E175" s="322" t="s">
        <v>4601</v>
      </c>
    </row>
    <row r="176" spans="1:5" ht="14.5" customHeight="1" x14ac:dyDescent="0.35">
      <c r="A176" s="196" t="str">
        <f>"04.99"</f>
        <v>04.99</v>
      </c>
      <c r="B176" s="196" t="s">
        <v>4107</v>
      </c>
      <c r="C176" s="320" t="s">
        <v>4269</v>
      </c>
      <c r="D176" s="321" t="s">
        <v>4602</v>
      </c>
      <c r="E176" s="322" t="s">
        <v>4603</v>
      </c>
    </row>
    <row r="177" spans="1:5" ht="14.5" customHeight="1" x14ac:dyDescent="0.35">
      <c r="A177" s="196" t="str">
        <f>"04.9999"</f>
        <v>04.9999</v>
      </c>
      <c r="B177" s="196" t="s">
        <v>4107</v>
      </c>
      <c r="C177" s="320" t="s">
        <v>4269</v>
      </c>
      <c r="D177" s="321" t="s">
        <v>4602</v>
      </c>
      <c r="E177" s="322" t="s">
        <v>4604</v>
      </c>
    </row>
    <row r="178" spans="1:5" ht="14.5" customHeight="1" x14ac:dyDescent="0.35">
      <c r="A178" s="196" t="str">
        <f>"05"</f>
        <v>05</v>
      </c>
      <c r="B178" s="196" t="s">
        <v>4107</v>
      </c>
      <c r="C178" s="320" t="s">
        <v>4269</v>
      </c>
      <c r="D178" s="321" t="s">
        <v>4605</v>
      </c>
      <c r="E178" s="322" t="s">
        <v>4606</v>
      </c>
    </row>
    <row r="179" spans="1:5" ht="14.5" customHeight="1" x14ac:dyDescent="0.35">
      <c r="A179" s="196" t="str">
        <f>"05.01"</f>
        <v>05.01</v>
      </c>
      <c r="B179" s="196" t="s">
        <v>4107</v>
      </c>
      <c r="C179" s="320" t="s">
        <v>4269</v>
      </c>
      <c r="D179" s="321" t="s">
        <v>4607</v>
      </c>
      <c r="E179" s="322" t="s">
        <v>4608</v>
      </c>
    </row>
    <row r="180" spans="1:5" ht="14.5" customHeight="1" x14ac:dyDescent="0.35">
      <c r="A180" s="196" t="str">
        <f>"05.0101"</f>
        <v>05.0101</v>
      </c>
      <c r="B180" s="196" t="s">
        <v>4107</v>
      </c>
      <c r="C180" s="320" t="s">
        <v>4269</v>
      </c>
      <c r="D180" s="321" t="s">
        <v>4609</v>
      </c>
      <c r="E180" s="322" t="s">
        <v>4610</v>
      </c>
    </row>
    <row r="181" spans="1:5" ht="14.5" customHeight="1" x14ac:dyDescent="0.35">
      <c r="A181" s="196" t="str">
        <f>"05.0102"</f>
        <v>05.0102</v>
      </c>
      <c r="B181" s="196" t="s">
        <v>4107</v>
      </c>
      <c r="C181" s="320" t="s">
        <v>4269</v>
      </c>
      <c r="D181" s="321" t="s">
        <v>4611</v>
      </c>
      <c r="E181" s="322" t="s">
        <v>4612</v>
      </c>
    </row>
    <row r="182" spans="1:5" ht="14.5" customHeight="1" x14ac:dyDescent="0.35">
      <c r="A182" s="196" t="str">
        <f>"05.0103"</f>
        <v>05.0103</v>
      </c>
      <c r="B182" s="196" t="s">
        <v>4107</v>
      </c>
      <c r="C182" s="320" t="s">
        <v>4269</v>
      </c>
      <c r="D182" s="321" t="s">
        <v>4613</v>
      </c>
      <c r="E182" s="322" t="s">
        <v>4614</v>
      </c>
    </row>
    <row r="183" spans="1:5" ht="14.5" customHeight="1" x14ac:dyDescent="0.35">
      <c r="A183" s="196" t="str">
        <f>"05.0104"</f>
        <v>05.0104</v>
      </c>
      <c r="B183" s="196" t="s">
        <v>4107</v>
      </c>
      <c r="C183" s="320" t="s">
        <v>4269</v>
      </c>
      <c r="D183" s="321" t="s">
        <v>4615</v>
      </c>
      <c r="E183" s="322" t="s">
        <v>4616</v>
      </c>
    </row>
    <row r="184" spans="1:5" ht="14.5" customHeight="1" x14ac:dyDescent="0.35">
      <c r="A184" s="196" t="str">
        <f>"05.0105"</f>
        <v>05.0105</v>
      </c>
      <c r="B184" s="196" t="s">
        <v>4107</v>
      </c>
      <c r="C184" s="320" t="s">
        <v>4269</v>
      </c>
      <c r="D184" s="321" t="s">
        <v>4617</v>
      </c>
      <c r="E184" s="322" t="s">
        <v>4618</v>
      </c>
    </row>
    <row r="185" spans="1:5" ht="14.5" customHeight="1" x14ac:dyDescent="0.35">
      <c r="A185" s="196" t="str">
        <f>"05.0106"</f>
        <v>05.0106</v>
      </c>
      <c r="B185" s="196" t="s">
        <v>4107</v>
      </c>
      <c r="C185" s="320" t="s">
        <v>4269</v>
      </c>
      <c r="D185" s="321" t="s">
        <v>4619</v>
      </c>
      <c r="E185" s="322" t="s">
        <v>4620</v>
      </c>
    </row>
    <row r="186" spans="1:5" ht="14.5" customHeight="1" x14ac:dyDescent="0.35">
      <c r="A186" s="196" t="str">
        <f>"05.0107"</f>
        <v>05.0107</v>
      </c>
      <c r="B186" s="196" t="s">
        <v>4107</v>
      </c>
      <c r="C186" s="320" t="s">
        <v>4269</v>
      </c>
      <c r="D186" s="321" t="s">
        <v>4621</v>
      </c>
      <c r="E186" s="322" t="s">
        <v>4622</v>
      </c>
    </row>
    <row r="187" spans="1:5" ht="14.5" customHeight="1" x14ac:dyDescent="0.35">
      <c r="A187" s="196" t="str">
        <f>"05.0108"</f>
        <v>05.0108</v>
      </c>
      <c r="B187" s="196" t="s">
        <v>4107</v>
      </c>
      <c r="C187" s="320" t="s">
        <v>4269</v>
      </c>
      <c r="D187" s="321" t="s">
        <v>4623</v>
      </c>
      <c r="E187" s="322" t="s">
        <v>4624</v>
      </c>
    </row>
    <row r="188" spans="1:5" ht="14.5" customHeight="1" x14ac:dyDescent="0.35">
      <c r="A188" s="196" t="str">
        <f>"05.0109"</f>
        <v>05.0109</v>
      </c>
      <c r="B188" s="196" t="s">
        <v>4107</v>
      </c>
      <c r="C188" s="320" t="s">
        <v>4269</v>
      </c>
      <c r="D188" s="321" t="s">
        <v>4625</v>
      </c>
      <c r="E188" s="322" t="s">
        <v>4626</v>
      </c>
    </row>
    <row r="189" spans="1:5" ht="14.5" customHeight="1" x14ac:dyDescent="0.35">
      <c r="A189" s="196" t="str">
        <f>"05.0110"</f>
        <v>05.0110</v>
      </c>
      <c r="B189" s="196" t="s">
        <v>4107</v>
      </c>
      <c r="C189" s="320" t="s">
        <v>4269</v>
      </c>
      <c r="D189" s="321" t="s">
        <v>4627</v>
      </c>
      <c r="E189" s="322" t="s">
        <v>4628</v>
      </c>
    </row>
    <row r="190" spans="1:5" ht="14.5" customHeight="1" x14ac:dyDescent="0.35">
      <c r="A190" s="196" t="str">
        <f>"05.0111"</f>
        <v>05.0111</v>
      </c>
      <c r="B190" s="196" t="s">
        <v>4265</v>
      </c>
      <c r="C190" s="320" t="s">
        <v>4266</v>
      </c>
      <c r="D190" s="321" t="s">
        <v>4629</v>
      </c>
      <c r="E190" s="322" t="s">
        <v>4630</v>
      </c>
    </row>
    <row r="191" spans="1:5" ht="14.5" customHeight="1" x14ac:dyDescent="0.35">
      <c r="A191" s="196" t="str">
        <f>"05.0112"</f>
        <v>05.0112</v>
      </c>
      <c r="B191" s="196" t="s">
        <v>4107</v>
      </c>
      <c r="C191" s="320" t="s">
        <v>4269</v>
      </c>
      <c r="D191" s="321" t="s">
        <v>4631</v>
      </c>
      <c r="E191" s="322" t="s">
        <v>4632</v>
      </c>
    </row>
    <row r="192" spans="1:5" ht="14.5" customHeight="1" x14ac:dyDescent="0.35">
      <c r="A192" s="196" t="str">
        <f>"05.0113"</f>
        <v>05.0113</v>
      </c>
      <c r="B192" s="196" t="s">
        <v>4107</v>
      </c>
      <c r="C192" s="320" t="s">
        <v>4269</v>
      </c>
      <c r="D192" s="321" t="s">
        <v>4633</v>
      </c>
      <c r="E192" s="322" t="s">
        <v>4634</v>
      </c>
    </row>
    <row r="193" spans="1:5" ht="14.5" customHeight="1" x14ac:dyDescent="0.35">
      <c r="A193" s="196" t="str">
        <f>"05.0114"</f>
        <v>05.0114</v>
      </c>
      <c r="B193" s="196" t="s">
        <v>4107</v>
      </c>
      <c r="C193" s="320" t="s">
        <v>4269</v>
      </c>
      <c r="D193" s="321" t="s">
        <v>4635</v>
      </c>
      <c r="E193" s="322" t="s">
        <v>4636</v>
      </c>
    </row>
    <row r="194" spans="1:5" ht="14.5" customHeight="1" x14ac:dyDescent="0.35">
      <c r="A194" s="196" t="str">
        <f>"05.0115"</f>
        <v>05.0115</v>
      </c>
      <c r="B194" s="196" t="s">
        <v>4107</v>
      </c>
      <c r="C194" s="320" t="s">
        <v>4269</v>
      </c>
      <c r="D194" s="321" t="s">
        <v>4637</v>
      </c>
      <c r="E194" s="322" t="s">
        <v>4638</v>
      </c>
    </row>
    <row r="195" spans="1:5" ht="14.5" customHeight="1" x14ac:dyDescent="0.35">
      <c r="A195" s="196" t="str">
        <f>"05.0116"</f>
        <v>05.0116</v>
      </c>
      <c r="B195" s="196" t="s">
        <v>4107</v>
      </c>
      <c r="C195" s="320" t="s">
        <v>4269</v>
      </c>
      <c r="D195" s="321" t="s">
        <v>4639</v>
      </c>
      <c r="E195" s="322" t="s">
        <v>4640</v>
      </c>
    </row>
    <row r="196" spans="1:5" ht="14.5" customHeight="1" x14ac:dyDescent="0.35">
      <c r="A196" s="196" t="str">
        <f>"05.0117"</f>
        <v>05.0117</v>
      </c>
      <c r="B196" s="196" t="s">
        <v>4107</v>
      </c>
      <c r="C196" s="320" t="s">
        <v>4269</v>
      </c>
      <c r="D196" s="321" t="s">
        <v>4641</v>
      </c>
      <c r="E196" s="322" t="s">
        <v>4642</v>
      </c>
    </row>
    <row r="197" spans="1:5" ht="14.5" customHeight="1" x14ac:dyDescent="0.35">
      <c r="A197" s="196" t="str">
        <f>"05.0118"</f>
        <v>05.0118</v>
      </c>
      <c r="B197" s="196" t="s">
        <v>4107</v>
      </c>
      <c r="C197" s="320" t="s">
        <v>4269</v>
      </c>
      <c r="D197" s="321" t="s">
        <v>4643</v>
      </c>
      <c r="E197" s="322" t="s">
        <v>4644</v>
      </c>
    </row>
    <row r="198" spans="1:5" ht="14.5" customHeight="1" x14ac:dyDescent="0.35">
      <c r="A198" s="196" t="str">
        <f>"05.0119"</f>
        <v>05.0119</v>
      </c>
      <c r="B198" s="196" t="s">
        <v>4107</v>
      </c>
      <c r="C198" s="320" t="s">
        <v>4269</v>
      </c>
      <c r="D198" s="321" t="s">
        <v>4645</v>
      </c>
      <c r="E198" s="322" t="s">
        <v>4646</v>
      </c>
    </row>
    <row r="199" spans="1:5" ht="14.5" customHeight="1" x14ac:dyDescent="0.35">
      <c r="A199" s="196" t="str">
        <f>"05.0120"</f>
        <v>05.0120</v>
      </c>
      <c r="B199" s="196" t="s">
        <v>4107</v>
      </c>
      <c r="C199" s="320" t="s">
        <v>4269</v>
      </c>
      <c r="D199" s="321" t="s">
        <v>4647</v>
      </c>
      <c r="E199" s="322" t="s">
        <v>4648</v>
      </c>
    </row>
    <row r="200" spans="1:5" ht="14.5" customHeight="1" x14ac:dyDescent="0.35">
      <c r="A200" s="196" t="str">
        <f>"05.0121"</f>
        <v>05.0121</v>
      </c>
      <c r="B200" s="196" t="s">
        <v>4107</v>
      </c>
      <c r="C200" s="320" t="s">
        <v>4269</v>
      </c>
      <c r="D200" s="321" t="s">
        <v>4649</v>
      </c>
      <c r="E200" s="322" t="s">
        <v>4650</v>
      </c>
    </row>
    <row r="201" spans="1:5" ht="14.5" customHeight="1" x14ac:dyDescent="0.35">
      <c r="A201" s="196" t="str">
        <f>"05.0122"</f>
        <v>05.0122</v>
      </c>
      <c r="B201" s="196" t="s">
        <v>4265</v>
      </c>
      <c r="C201" s="320" t="s">
        <v>4266</v>
      </c>
      <c r="D201" s="321" t="s">
        <v>4651</v>
      </c>
      <c r="E201" s="322" t="s">
        <v>4652</v>
      </c>
    </row>
    <row r="202" spans="1:5" ht="14.5" customHeight="1" x14ac:dyDescent="0.35">
      <c r="A202" s="196" t="str">
        <f>"05.0123"</f>
        <v>05.0123</v>
      </c>
      <c r="B202" s="196" t="s">
        <v>4107</v>
      </c>
      <c r="C202" s="320" t="s">
        <v>4269</v>
      </c>
      <c r="D202" s="321" t="s">
        <v>4653</v>
      </c>
      <c r="E202" s="322" t="s">
        <v>4654</v>
      </c>
    </row>
    <row r="203" spans="1:5" ht="14.5" customHeight="1" x14ac:dyDescent="0.35">
      <c r="A203" s="196" t="str">
        <f>"05.0124"</f>
        <v>05.0124</v>
      </c>
      <c r="B203" s="196" t="s">
        <v>4107</v>
      </c>
      <c r="C203" s="320" t="s">
        <v>4269</v>
      </c>
      <c r="D203" s="321" t="s">
        <v>4655</v>
      </c>
      <c r="E203" s="322" t="s">
        <v>4656</v>
      </c>
    </row>
    <row r="204" spans="1:5" ht="14.5" customHeight="1" x14ac:dyDescent="0.35">
      <c r="A204" s="196" t="str">
        <f>"05.0125"</f>
        <v>05.0125</v>
      </c>
      <c r="B204" s="196" t="s">
        <v>4107</v>
      </c>
      <c r="C204" s="320" t="s">
        <v>4269</v>
      </c>
      <c r="D204" s="321" t="s">
        <v>4657</v>
      </c>
      <c r="E204" s="322" t="s">
        <v>4658</v>
      </c>
    </row>
    <row r="205" spans="1:5" ht="14.5" customHeight="1" x14ac:dyDescent="0.35">
      <c r="A205" s="196" t="str">
        <f>"05.0126"</f>
        <v>05.0126</v>
      </c>
      <c r="B205" s="196" t="s">
        <v>4107</v>
      </c>
      <c r="C205" s="320" t="s">
        <v>4269</v>
      </c>
      <c r="D205" s="321" t="s">
        <v>4659</v>
      </c>
      <c r="E205" s="322" t="s">
        <v>4660</v>
      </c>
    </row>
    <row r="206" spans="1:5" ht="14.5" customHeight="1" x14ac:dyDescent="0.35">
      <c r="A206" s="196" t="str">
        <f>"05.0127"</f>
        <v>05.0127</v>
      </c>
      <c r="B206" s="196" t="s">
        <v>4107</v>
      </c>
      <c r="C206" s="320" t="s">
        <v>4269</v>
      </c>
      <c r="D206" s="321" t="s">
        <v>4661</v>
      </c>
      <c r="E206" s="322" t="s">
        <v>4662</v>
      </c>
    </row>
    <row r="207" spans="1:5" ht="14.5" customHeight="1" x14ac:dyDescent="0.35">
      <c r="A207" s="196" t="str">
        <f>"05.0128"</f>
        <v>05.0128</v>
      </c>
      <c r="B207" s="196" t="s">
        <v>4107</v>
      </c>
      <c r="C207" s="320" t="s">
        <v>4269</v>
      </c>
      <c r="D207" s="321" t="s">
        <v>4663</v>
      </c>
      <c r="E207" s="322" t="s">
        <v>4664</v>
      </c>
    </row>
    <row r="208" spans="1:5" ht="14.5" customHeight="1" x14ac:dyDescent="0.35">
      <c r="A208" s="196" t="str">
        <f>"05.0129"</f>
        <v>05.0129</v>
      </c>
      <c r="B208" s="196" t="s">
        <v>4107</v>
      </c>
      <c r="C208" s="320" t="s">
        <v>4269</v>
      </c>
      <c r="D208" s="321" t="s">
        <v>4665</v>
      </c>
      <c r="E208" s="322" t="s">
        <v>4666</v>
      </c>
    </row>
    <row r="209" spans="1:5" ht="14.5" customHeight="1" x14ac:dyDescent="0.35">
      <c r="A209" s="196" t="str">
        <f>"05.0130"</f>
        <v>05.0130</v>
      </c>
      <c r="B209" s="196" t="s">
        <v>4107</v>
      </c>
      <c r="C209" s="320" t="s">
        <v>4269</v>
      </c>
      <c r="D209" s="321" t="s">
        <v>4667</v>
      </c>
      <c r="E209" s="322" t="s">
        <v>4668</v>
      </c>
    </row>
    <row r="210" spans="1:5" ht="14.5" customHeight="1" x14ac:dyDescent="0.35">
      <c r="A210" s="196" t="str">
        <f>"05.0131"</f>
        <v>05.0131</v>
      </c>
      <c r="B210" s="196" t="s">
        <v>4107</v>
      </c>
      <c r="C210" s="320" t="s">
        <v>4269</v>
      </c>
      <c r="D210" s="321" t="s">
        <v>4669</v>
      </c>
      <c r="E210" s="322" t="s">
        <v>4670</v>
      </c>
    </row>
    <row r="211" spans="1:5" ht="14.5" customHeight="1" x14ac:dyDescent="0.35">
      <c r="A211" s="196" t="str">
        <f>"05.0132"</f>
        <v>05.0132</v>
      </c>
      <c r="B211" s="196" t="s">
        <v>4107</v>
      </c>
      <c r="C211" s="320" t="s">
        <v>4269</v>
      </c>
      <c r="D211" s="321" t="s">
        <v>4671</v>
      </c>
      <c r="E211" s="322" t="s">
        <v>4672</v>
      </c>
    </row>
    <row r="212" spans="1:5" ht="14.5" customHeight="1" x14ac:dyDescent="0.35">
      <c r="A212" s="196" t="str">
        <f>"05.0133"</f>
        <v>05.0133</v>
      </c>
      <c r="B212" s="196" t="s">
        <v>4107</v>
      </c>
      <c r="C212" s="320" t="s">
        <v>4269</v>
      </c>
      <c r="D212" s="321" t="s">
        <v>4673</v>
      </c>
      <c r="E212" s="322" t="s">
        <v>4674</v>
      </c>
    </row>
    <row r="213" spans="1:5" ht="14.5" customHeight="1" x14ac:dyDescent="0.35">
      <c r="A213" s="196" t="str">
        <f>"05.0134"</f>
        <v>05.0134</v>
      </c>
      <c r="B213" s="196" t="s">
        <v>4107</v>
      </c>
      <c r="C213" s="320" t="s">
        <v>4269</v>
      </c>
      <c r="D213" s="321" t="s">
        <v>4675</v>
      </c>
      <c r="E213" s="322" t="s">
        <v>4676</v>
      </c>
    </row>
    <row r="214" spans="1:5" s="327" customFormat="1" ht="14.5" customHeight="1" x14ac:dyDescent="0.35">
      <c r="A214" s="323" t="str">
        <f>"05.0135"</f>
        <v>05.0135</v>
      </c>
      <c r="B214" s="323" t="s">
        <v>4297</v>
      </c>
      <c r="C214" s="324" t="s">
        <v>4269</v>
      </c>
      <c r="D214" s="325" t="s">
        <v>4677</v>
      </c>
      <c r="E214" s="326" t="s">
        <v>4678</v>
      </c>
    </row>
    <row r="215" spans="1:5" s="327" customFormat="1" ht="14.5" customHeight="1" x14ac:dyDescent="0.35">
      <c r="A215" s="323" t="str">
        <f>"05.0136"</f>
        <v>05.0136</v>
      </c>
      <c r="B215" s="323" t="s">
        <v>4297</v>
      </c>
      <c r="C215" s="324" t="s">
        <v>4269</v>
      </c>
      <c r="D215" s="325" t="s">
        <v>4679</v>
      </c>
      <c r="E215" s="326" t="s">
        <v>4680</v>
      </c>
    </row>
    <row r="216" spans="1:5" ht="14.5" customHeight="1" x14ac:dyDescent="0.35">
      <c r="A216" s="196" t="str">
        <f>"05.0199"</f>
        <v>05.0199</v>
      </c>
      <c r="B216" s="196" t="s">
        <v>4107</v>
      </c>
      <c r="C216" s="320" t="s">
        <v>4269</v>
      </c>
      <c r="D216" s="321" t="s">
        <v>4681</v>
      </c>
      <c r="E216" s="322" t="s">
        <v>4682</v>
      </c>
    </row>
    <row r="217" spans="1:5" ht="14.5" customHeight="1" x14ac:dyDescent="0.35">
      <c r="A217" s="196" t="str">
        <f>"05.02"</f>
        <v>05.02</v>
      </c>
      <c r="B217" s="196" t="s">
        <v>4107</v>
      </c>
      <c r="C217" s="320" t="s">
        <v>4269</v>
      </c>
      <c r="D217" s="321" t="s">
        <v>4683</v>
      </c>
      <c r="E217" s="322" t="s">
        <v>4684</v>
      </c>
    </row>
    <row r="218" spans="1:5" ht="14.5" customHeight="1" x14ac:dyDescent="0.35">
      <c r="A218" s="196" t="str">
        <f>"05.0200"</f>
        <v>05.0200</v>
      </c>
      <c r="B218" s="196" t="s">
        <v>4107</v>
      </c>
      <c r="C218" s="320" t="s">
        <v>4269</v>
      </c>
      <c r="D218" s="321" t="s">
        <v>4685</v>
      </c>
      <c r="E218" s="322" t="s">
        <v>4686</v>
      </c>
    </row>
    <row r="219" spans="1:5" ht="14.5" customHeight="1" x14ac:dyDescent="0.35">
      <c r="A219" s="196" t="str">
        <f>"05.0201"</f>
        <v>05.0201</v>
      </c>
      <c r="B219" s="196" t="s">
        <v>4107</v>
      </c>
      <c r="C219" s="320" t="s">
        <v>4269</v>
      </c>
      <c r="D219" s="321" t="s">
        <v>4687</v>
      </c>
      <c r="E219" s="322" t="s">
        <v>4688</v>
      </c>
    </row>
    <row r="220" spans="1:5" ht="14.5" customHeight="1" x14ac:dyDescent="0.35">
      <c r="A220" s="196" t="str">
        <f>"05.0202"</f>
        <v>05.0202</v>
      </c>
      <c r="B220" s="196" t="s">
        <v>4107</v>
      </c>
      <c r="C220" s="320" t="s">
        <v>4269</v>
      </c>
      <c r="D220" s="321" t="s">
        <v>4689</v>
      </c>
      <c r="E220" s="322" t="s">
        <v>4690</v>
      </c>
    </row>
    <row r="221" spans="1:5" ht="14.5" customHeight="1" x14ac:dyDescent="0.35">
      <c r="A221" s="196" t="str">
        <f>"05.0203"</f>
        <v>05.0203</v>
      </c>
      <c r="B221" s="196" t="s">
        <v>4107</v>
      </c>
      <c r="C221" s="320" t="s">
        <v>4269</v>
      </c>
      <c r="D221" s="321" t="s">
        <v>4691</v>
      </c>
      <c r="E221" s="322" t="s">
        <v>4692</v>
      </c>
    </row>
    <row r="222" spans="1:5" ht="14.5" customHeight="1" x14ac:dyDescent="0.35">
      <c r="A222" s="196" t="str">
        <f>"05.0206"</f>
        <v>05.0206</v>
      </c>
      <c r="B222" s="196" t="s">
        <v>4107</v>
      </c>
      <c r="C222" s="320" t="s">
        <v>4269</v>
      </c>
      <c r="D222" s="321" t="s">
        <v>4693</v>
      </c>
      <c r="E222" s="322" t="s">
        <v>4694</v>
      </c>
    </row>
    <row r="223" spans="1:5" ht="14.5" customHeight="1" x14ac:dyDescent="0.35">
      <c r="A223" s="196" t="str">
        <f>"05.0207"</f>
        <v>05.0207</v>
      </c>
      <c r="B223" s="196" t="s">
        <v>4107</v>
      </c>
      <c r="C223" s="320" t="s">
        <v>4269</v>
      </c>
      <c r="D223" s="321" t="s">
        <v>4695</v>
      </c>
      <c r="E223" s="322" t="s">
        <v>4696</v>
      </c>
    </row>
    <row r="224" spans="1:5" ht="14.5" customHeight="1" x14ac:dyDescent="0.35">
      <c r="A224" s="196" t="str">
        <f>"05.0208"</f>
        <v>05.0208</v>
      </c>
      <c r="B224" s="196" t="s">
        <v>4107</v>
      </c>
      <c r="C224" s="320" t="s">
        <v>4269</v>
      </c>
      <c r="D224" s="321" t="s">
        <v>4697</v>
      </c>
      <c r="E224" s="322" t="s">
        <v>4698</v>
      </c>
    </row>
    <row r="225" spans="1:5" ht="14.5" customHeight="1" x14ac:dyDescent="0.35">
      <c r="A225" s="196" t="str">
        <f>"05.0209"</f>
        <v>05.0209</v>
      </c>
      <c r="B225" s="196" t="s">
        <v>4107</v>
      </c>
      <c r="C225" s="320" t="s">
        <v>4269</v>
      </c>
      <c r="D225" s="321" t="s">
        <v>4699</v>
      </c>
      <c r="E225" s="322" t="s">
        <v>4700</v>
      </c>
    </row>
    <row r="226" spans="1:5" ht="14.5" customHeight="1" x14ac:dyDescent="0.35">
      <c r="A226" s="196" t="str">
        <f>"05.0210"</f>
        <v>05.0210</v>
      </c>
      <c r="B226" s="196" t="s">
        <v>4107</v>
      </c>
      <c r="C226" s="320" t="s">
        <v>4269</v>
      </c>
      <c r="D226" s="321" t="s">
        <v>4701</v>
      </c>
      <c r="E226" s="322" t="s">
        <v>4702</v>
      </c>
    </row>
    <row r="227" spans="1:5" ht="14.5" customHeight="1" x14ac:dyDescent="0.35">
      <c r="A227" s="196" t="str">
        <f>"05.0211"</f>
        <v>05.0211</v>
      </c>
      <c r="B227" s="196" t="s">
        <v>4107</v>
      </c>
      <c r="C227" s="320" t="s">
        <v>4269</v>
      </c>
      <c r="D227" s="321" t="s">
        <v>4703</v>
      </c>
      <c r="E227" s="322" t="s">
        <v>4704</v>
      </c>
    </row>
    <row r="228" spans="1:5" s="327" customFormat="1" ht="14.5" customHeight="1" x14ac:dyDescent="0.35">
      <c r="A228" s="323" t="str">
        <f>"05.0212"</f>
        <v>05.0212</v>
      </c>
      <c r="B228" s="323" t="s">
        <v>4297</v>
      </c>
      <c r="C228" s="324" t="s">
        <v>4269</v>
      </c>
      <c r="D228" s="325" t="s">
        <v>4705</v>
      </c>
      <c r="E228" s="326" t="s">
        <v>4706</v>
      </c>
    </row>
    <row r="229" spans="1:5" ht="14.5" customHeight="1" x14ac:dyDescent="0.35">
      <c r="A229" s="196" t="str">
        <f>"05.0299"</f>
        <v>05.0299</v>
      </c>
      <c r="B229" s="196" t="s">
        <v>4107</v>
      </c>
      <c r="C229" s="320" t="s">
        <v>4269</v>
      </c>
      <c r="D229" s="321" t="s">
        <v>4707</v>
      </c>
      <c r="E229" s="322" t="s">
        <v>4708</v>
      </c>
    </row>
    <row r="230" spans="1:5" s="327" customFormat="1" ht="14.5" customHeight="1" x14ac:dyDescent="0.35">
      <c r="A230" s="323" t="str">
        <f>"05.99"</f>
        <v>05.99</v>
      </c>
      <c r="B230" s="323" t="s">
        <v>4297</v>
      </c>
      <c r="C230" s="324" t="s">
        <v>4269</v>
      </c>
      <c r="D230" s="325" t="s">
        <v>4709</v>
      </c>
      <c r="E230" s="326" t="s">
        <v>4710</v>
      </c>
    </row>
    <row r="231" spans="1:5" s="327" customFormat="1" ht="14.5" customHeight="1" x14ac:dyDescent="0.35">
      <c r="A231" s="323" t="str">
        <f>"05.9999"</f>
        <v>05.9999</v>
      </c>
      <c r="B231" s="323" t="s">
        <v>4297</v>
      </c>
      <c r="C231" s="324" t="s">
        <v>4269</v>
      </c>
      <c r="D231" s="325" t="s">
        <v>4709</v>
      </c>
      <c r="E231" s="326" t="s">
        <v>4711</v>
      </c>
    </row>
    <row r="232" spans="1:5" ht="14.5" customHeight="1" x14ac:dyDescent="0.35">
      <c r="A232" s="196" t="str">
        <f>"09"</f>
        <v>09</v>
      </c>
      <c r="B232" s="196" t="s">
        <v>4107</v>
      </c>
      <c r="C232" s="320" t="s">
        <v>4269</v>
      </c>
      <c r="D232" s="321" t="s">
        <v>4712</v>
      </c>
      <c r="E232" s="322" t="s">
        <v>4713</v>
      </c>
    </row>
    <row r="233" spans="1:5" ht="14.5" customHeight="1" x14ac:dyDescent="0.35">
      <c r="A233" s="196" t="str">
        <f>"09.01"</f>
        <v>09.01</v>
      </c>
      <c r="B233" s="196" t="s">
        <v>4107</v>
      </c>
      <c r="C233" s="320" t="s">
        <v>4269</v>
      </c>
      <c r="D233" s="321" t="s">
        <v>4714</v>
      </c>
      <c r="E233" s="322" t="s">
        <v>4715</v>
      </c>
    </row>
    <row r="234" spans="1:5" ht="14.5" customHeight="1" x14ac:dyDescent="0.35">
      <c r="A234" s="196" t="str">
        <f>"09.0100"</f>
        <v>09.0100</v>
      </c>
      <c r="B234" s="196" t="s">
        <v>4107</v>
      </c>
      <c r="C234" s="320" t="s">
        <v>4269</v>
      </c>
      <c r="D234" s="321" t="s">
        <v>4716</v>
      </c>
      <c r="E234" s="322" t="s">
        <v>4717</v>
      </c>
    </row>
    <row r="235" spans="1:5" ht="14.5" customHeight="1" x14ac:dyDescent="0.35">
      <c r="A235" s="196" t="str">
        <f>"09.0101"</f>
        <v>09.0101</v>
      </c>
      <c r="B235" s="196" t="s">
        <v>4107</v>
      </c>
      <c r="C235" s="320" t="s">
        <v>4269</v>
      </c>
      <c r="D235" s="321" t="s">
        <v>4718</v>
      </c>
      <c r="E235" s="322" t="s">
        <v>4719</v>
      </c>
    </row>
    <row r="236" spans="1:5" ht="14.5" customHeight="1" x14ac:dyDescent="0.35">
      <c r="A236" s="196" t="str">
        <f>"09.0102"</f>
        <v>09.0102</v>
      </c>
      <c r="B236" s="196" t="s">
        <v>4107</v>
      </c>
      <c r="C236" s="320" t="s">
        <v>4269</v>
      </c>
      <c r="D236" s="321" t="s">
        <v>4720</v>
      </c>
      <c r="E236" s="322" t="s">
        <v>4721</v>
      </c>
    </row>
    <row r="237" spans="1:5" ht="14.5" customHeight="1" x14ac:dyDescent="0.35">
      <c r="A237" s="196" t="str">
        <f>"09.0199"</f>
        <v>09.0199</v>
      </c>
      <c r="B237" s="196" t="s">
        <v>4107</v>
      </c>
      <c r="C237" s="320" t="s">
        <v>4269</v>
      </c>
      <c r="D237" s="321" t="s">
        <v>4722</v>
      </c>
      <c r="E237" s="322" t="s">
        <v>4723</v>
      </c>
    </row>
    <row r="238" spans="1:5" ht="14.5" customHeight="1" x14ac:dyDescent="0.35">
      <c r="A238" s="196" t="str">
        <f>"09.04"</f>
        <v>09.04</v>
      </c>
      <c r="B238" s="196" t="s">
        <v>4107</v>
      </c>
      <c r="C238" s="320" t="s">
        <v>4269</v>
      </c>
      <c r="D238" s="321" t="s">
        <v>4724</v>
      </c>
      <c r="E238" s="322" t="s">
        <v>4725</v>
      </c>
    </row>
    <row r="239" spans="1:5" ht="14.5" customHeight="1" x14ac:dyDescent="0.35">
      <c r="A239" s="196" t="str">
        <f>"09.0401"</f>
        <v>09.0401</v>
      </c>
      <c r="B239" s="196" t="s">
        <v>4107</v>
      </c>
      <c r="C239" s="320" t="s">
        <v>4269</v>
      </c>
      <c r="D239" s="321" t="s">
        <v>4724</v>
      </c>
      <c r="E239" s="322" t="s">
        <v>4726</v>
      </c>
    </row>
    <row r="240" spans="1:5" ht="14.5" customHeight="1" x14ac:dyDescent="0.35">
      <c r="A240" s="196" t="str">
        <f>"09.0402"</f>
        <v>09.0402</v>
      </c>
      <c r="B240" s="196" t="s">
        <v>4107</v>
      </c>
      <c r="C240" s="320" t="s">
        <v>4269</v>
      </c>
      <c r="D240" s="321" t="s">
        <v>4727</v>
      </c>
      <c r="E240" s="322" t="s">
        <v>4728</v>
      </c>
    </row>
    <row r="241" spans="1:5" ht="14.5" customHeight="1" x14ac:dyDescent="0.35">
      <c r="A241" s="196" t="str">
        <f>"09.0404"</f>
        <v>09.0404</v>
      </c>
      <c r="B241" s="196" t="s">
        <v>4107</v>
      </c>
      <c r="C241" s="320" t="s">
        <v>4269</v>
      </c>
      <c r="D241" s="321" t="s">
        <v>4729</v>
      </c>
      <c r="E241" s="322" t="s">
        <v>4730</v>
      </c>
    </row>
    <row r="242" spans="1:5" s="327" customFormat="1" ht="14.5" customHeight="1" x14ac:dyDescent="0.35">
      <c r="A242" s="323" t="str">
        <f>"09.0405"</f>
        <v>09.0405</v>
      </c>
      <c r="B242" s="323" t="s">
        <v>4297</v>
      </c>
      <c r="C242" s="324" t="s">
        <v>4269</v>
      </c>
      <c r="D242" s="325" t="s">
        <v>4731</v>
      </c>
      <c r="E242" s="326" t="s">
        <v>4732</v>
      </c>
    </row>
    <row r="243" spans="1:5" s="327" customFormat="1" ht="14.5" customHeight="1" x14ac:dyDescent="0.35">
      <c r="A243" s="323" t="str">
        <f>"09.0406"</f>
        <v>09.0406</v>
      </c>
      <c r="B243" s="323" t="s">
        <v>4297</v>
      </c>
      <c r="C243" s="324" t="s">
        <v>4269</v>
      </c>
      <c r="D243" s="325" t="s">
        <v>4733</v>
      </c>
      <c r="E243" s="326" t="s">
        <v>4734</v>
      </c>
    </row>
    <row r="244" spans="1:5" s="327" customFormat="1" ht="14.5" customHeight="1" x14ac:dyDescent="0.35">
      <c r="A244" s="323" t="str">
        <f>"09.0407"</f>
        <v>09.0407</v>
      </c>
      <c r="B244" s="323" t="s">
        <v>4297</v>
      </c>
      <c r="C244" s="324" t="s">
        <v>4269</v>
      </c>
      <c r="D244" s="325" t="s">
        <v>4735</v>
      </c>
      <c r="E244" s="326" t="s">
        <v>4736</v>
      </c>
    </row>
    <row r="245" spans="1:5" ht="14.5" customHeight="1" x14ac:dyDescent="0.35">
      <c r="A245" s="196" t="str">
        <f>"09.0499"</f>
        <v>09.0499</v>
      </c>
      <c r="B245" s="196" t="s">
        <v>4107</v>
      </c>
      <c r="C245" s="320" t="s">
        <v>4269</v>
      </c>
      <c r="D245" s="321" t="s">
        <v>4737</v>
      </c>
      <c r="E245" s="322" t="s">
        <v>4738</v>
      </c>
    </row>
    <row r="246" spans="1:5" ht="14.5" customHeight="1" x14ac:dyDescent="0.35">
      <c r="A246" s="196" t="str">
        <f>"09.07"</f>
        <v>09.07</v>
      </c>
      <c r="B246" s="196" t="s">
        <v>4107</v>
      </c>
      <c r="C246" s="320" t="s">
        <v>4269</v>
      </c>
      <c r="D246" s="321" t="s">
        <v>4739</v>
      </c>
      <c r="E246" s="322" t="s">
        <v>4740</v>
      </c>
    </row>
    <row r="247" spans="1:5" ht="14.5" customHeight="1" x14ac:dyDescent="0.35">
      <c r="A247" s="196" t="str">
        <f>"09.0701"</f>
        <v>09.0701</v>
      </c>
      <c r="B247" s="196" t="s">
        <v>4107</v>
      </c>
      <c r="C247" s="320" t="s">
        <v>4269</v>
      </c>
      <c r="D247" s="321" t="s">
        <v>4741</v>
      </c>
      <c r="E247" s="322" t="s">
        <v>4742</v>
      </c>
    </row>
    <row r="248" spans="1:5" ht="14.5" customHeight="1" x14ac:dyDescent="0.35">
      <c r="A248" s="196" t="str">
        <f>"09.0702"</f>
        <v>09.0702</v>
      </c>
      <c r="B248" s="196" t="s">
        <v>4107</v>
      </c>
      <c r="C248" s="320" t="s">
        <v>4269</v>
      </c>
      <c r="D248" s="321" t="s">
        <v>4743</v>
      </c>
      <c r="E248" s="322" t="s">
        <v>4744</v>
      </c>
    </row>
    <row r="249" spans="1:5" ht="14.5" customHeight="1" x14ac:dyDescent="0.35">
      <c r="A249" s="196" t="str">
        <f>"09.0799"</f>
        <v>09.0799</v>
      </c>
      <c r="B249" s="196" t="s">
        <v>4107</v>
      </c>
      <c r="C249" s="320" t="s">
        <v>4269</v>
      </c>
      <c r="D249" s="321" t="s">
        <v>4745</v>
      </c>
      <c r="E249" s="322" t="s">
        <v>4746</v>
      </c>
    </row>
    <row r="250" spans="1:5" ht="14.5" customHeight="1" x14ac:dyDescent="0.35">
      <c r="A250" s="196" t="str">
        <f>"09.09"</f>
        <v>09.09</v>
      </c>
      <c r="B250" s="196" t="s">
        <v>4107</v>
      </c>
      <c r="C250" s="320" t="s">
        <v>4269</v>
      </c>
      <c r="D250" s="321" t="s">
        <v>4747</v>
      </c>
      <c r="E250" s="322" t="s">
        <v>4748</v>
      </c>
    </row>
    <row r="251" spans="1:5" ht="14.5" customHeight="1" x14ac:dyDescent="0.35">
      <c r="A251" s="196" t="str">
        <f>"09.0900"</f>
        <v>09.0900</v>
      </c>
      <c r="B251" s="196" t="s">
        <v>4107</v>
      </c>
      <c r="C251" s="320" t="s">
        <v>4269</v>
      </c>
      <c r="D251" s="321" t="s">
        <v>4747</v>
      </c>
      <c r="E251" s="322" t="s">
        <v>4749</v>
      </c>
    </row>
    <row r="252" spans="1:5" ht="14.5" customHeight="1" x14ac:dyDescent="0.35">
      <c r="A252" s="196" t="str">
        <f>"09.0901"</f>
        <v>09.0901</v>
      </c>
      <c r="B252" s="196" t="s">
        <v>4107</v>
      </c>
      <c r="C252" s="320" t="s">
        <v>4269</v>
      </c>
      <c r="D252" s="321" t="s">
        <v>4750</v>
      </c>
      <c r="E252" s="322" t="s">
        <v>4751</v>
      </c>
    </row>
    <row r="253" spans="1:5" ht="14.5" customHeight="1" x14ac:dyDescent="0.35">
      <c r="A253" s="196" t="str">
        <f>"09.0902"</f>
        <v>09.0902</v>
      </c>
      <c r="B253" s="196" t="s">
        <v>4107</v>
      </c>
      <c r="C253" s="320" t="s">
        <v>4269</v>
      </c>
      <c r="D253" s="321" t="s">
        <v>4752</v>
      </c>
      <c r="E253" s="322" t="s">
        <v>4753</v>
      </c>
    </row>
    <row r="254" spans="1:5" ht="14.5" customHeight="1" x14ac:dyDescent="0.35">
      <c r="A254" s="196" t="str">
        <f>"09.0903"</f>
        <v>09.0903</v>
      </c>
      <c r="B254" s="196" t="s">
        <v>4107</v>
      </c>
      <c r="C254" s="320" t="s">
        <v>4269</v>
      </c>
      <c r="D254" s="321" t="s">
        <v>4754</v>
      </c>
      <c r="E254" s="322" t="s">
        <v>4755</v>
      </c>
    </row>
    <row r="255" spans="1:5" ht="14.5" customHeight="1" x14ac:dyDescent="0.35">
      <c r="A255" s="196" t="str">
        <f>"09.0904"</f>
        <v>09.0904</v>
      </c>
      <c r="B255" s="196" t="s">
        <v>4107</v>
      </c>
      <c r="C255" s="320" t="s">
        <v>4269</v>
      </c>
      <c r="D255" s="321" t="s">
        <v>4756</v>
      </c>
      <c r="E255" s="322" t="s">
        <v>4757</v>
      </c>
    </row>
    <row r="256" spans="1:5" ht="14.5" customHeight="1" x14ac:dyDescent="0.35">
      <c r="A256" s="196" t="str">
        <f>"09.0905"</f>
        <v>09.0905</v>
      </c>
      <c r="B256" s="196" t="s">
        <v>4107</v>
      </c>
      <c r="C256" s="320" t="s">
        <v>4269</v>
      </c>
      <c r="D256" s="321" t="s">
        <v>4758</v>
      </c>
      <c r="E256" s="322" t="s">
        <v>4759</v>
      </c>
    </row>
    <row r="257" spans="1:5" ht="14.5" customHeight="1" x14ac:dyDescent="0.35">
      <c r="A257" s="196" t="str">
        <f>"09.0906"</f>
        <v>09.0906</v>
      </c>
      <c r="B257" s="196" t="s">
        <v>4107</v>
      </c>
      <c r="C257" s="320" t="s">
        <v>4269</v>
      </c>
      <c r="D257" s="321" t="s">
        <v>4760</v>
      </c>
      <c r="E257" s="322" t="s">
        <v>4761</v>
      </c>
    </row>
    <row r="258" spans="1:5" ht="14.5" customHeight="1" x14ac:dyDescent="0.35">
      <c r="A258" s="196" t="str">
        <f>"09.0907"</f>
        <v>09.0907</v>
      </c>
      <c r="B258" s="196" t="s">
        <v>4107</v>
      </c>
      <c r="C258" s="320" t="s">
        <v>4269</v>
      </c>
      <c r="D258" s="321" t="s">
        <v>4762</v>
      </c>
      <c r="E258" s="322" t="s">
        <v>4763</v>
      </c>
    </row>
    <row r="259" spans="1:5" ht="14.5" customHeight="1" x14ac:dyDescent="0.35">
      <c r="A259" s="196" t="str">
        <f>"09.0908"</f>
        <v>09.0908</v>
      </c>
      <c r="B259" s="196" t="s">
        <v>4107</v>
      </c>
      <c r="C259" s="320" t="s">
        <v>4269</v>
      </c>
      <c r="D259" s="321" t="s">
        <v>4764</v>
      </c>
      <c r="E259" s="322" t="s">
        <v>4765</v>
      </c>
    </row>
    <row r="260" spans="1:5" s="327" customFormat="1" ht="14.5" customHeight="1" x14ac:dyDescent="0.35">
      <c r="A260" s="323" t="str">
        <f>"09.0909"</f>
        <v>09.0909</v>
      </c>
      <c r="B260" s="323" t="s">
        <v>4297</v>
      </c>
      <c r="C260" s="324" t="s">
        <v>4269</v>
      </c>
      <c r="D260" s="325" t="s">
        <v>4766</v>
      </c>
      <c r="E260" s="326" t="s">
        <v>4767</v>
      </c>
    </row>
    <row r="261" spans="1:5" ht="14.5" customHeight="1" x14ac:dyDescent="0.35">
      <c r="A261" s="196" t="str">
        <f>"09.0999"</f>
        <v>09.0999</v>
      </c>
      <c r="B261" s="196" t="s">
        <v>4107</v>
      </c>
      <c r="C261" s="320" t="s">
        <v>4269</v>
      </c>
      <c r="D261" s="321" t="s">
        <v>4768</v>
      </c>
      <c r="E261" s="322" t="s">
        <v>4769</v>
      </c>
    </row>
    <row r="262" spans="1:5" ht="14.5" customHeight="1" x14ac:dyDescent="0.35">
      <c r="A262" s="196" t="str">
        <f>"09.10"</f>
        <v>09.10</v>
      </c>
      <c r="B262" s="196" t="s">
        <v>4107</v>
      </c>
      <c r="C262" s="320" t="s">
        <v>4269</v>
      </c>
      <c r="D262" s="321" t="s">
        <v>4770</v>
      </c>
      <c r="E262" s="322" t="s">
        <v>4771</v>
      </c>
    </row>
    <row r="263" spans="1:5" ht="14.5" customHeight="1" x14ac:dyDescent="0.35">
      <c r="A263" s="196" t="str">
        <f>"09.1001"</f>
        <v>09.1001</v>
      </c>
      <c r="B263" s="196" t="s">
        <v>4107</v>
      </c>
      <c r="C263" s="320" t="s">
        <v>4269</v>
      </c>
      <c r="D263" s="321" t="s">
        <v>4770</v>
      </c>
      <c r="E263" s="322" t="s">
        <v>4772</v>
      </c>
    </row>
    <row r="264" spans="1:5" ht="14.5" customHeight="1" x14ac:dyDescent="0.35">
      <c r="A264" s="196" t="str">
        <f>"09.99"</f>
        <v>09.99</v>
      </c>
      <c r="B264" s="196" t="s">
        <v>4107</v>
      </c>
      <c r="C264" s="320" t="s">
        <v>4269</v>
      </c>
      <c r="D264" s="321" t="s">
        <v>4773</v>
      </c>
      <c r="E264" s="322" t="s">
        <v>4774</v>
      </c>
    </row>
    <row r="265" spans="1:5" ht="14.5" customHeight="1" x14ac:dyDescent="0.35">
      <c r="A265" s="196" t="str">
        <f>"09.9999"</f>
        <v>09.9999</v>
      </c>
      <c r="B265" s="196" t="s">
        <v>4107</v>
      </c>
      <c r="C265" s="320" t="s">
        <v>4269</v>
      </c>
      <c r="D265" s="321" t="s">
        <v>4773</v>
      </c>
      <c r="E265" s="322" t="s">
        <v>4775</v>
      </c>
    </row>
    <row r="266" spans="1:5" ht="14.5" customHeight="1" x14ac:dyDescent="0.35">
      <c r="A266" s="196" t="str">
        <f>"10"</f>
        <v>10</v>
      </c>
      <c r="B266" s="196" t="s">
        <v>4107</v>
      </c>
      <c r="C266" s="320" t="s">
        <v>4269</v>
      </c>
      <c r="D266" s="321" t="s">
        <v>4776</v>
      </c>
      <c r="E266" s="322" t="s">
        <v>4777</v>
      </c>
    </row>
    <row r="267" spans="1:5" ht="14.5" customHeight="1" x14ac:dyDescent="0.35">
      <c r="A267" s="196" t="str">
        <f>"10.01"</f>
        <v>10.01</v>
      </c>
      <c r="B267" s="196" t="s">
        <v>4265</v>
      </c>
      <c r="C267" s="320" t="s">
        <v>4266</v>
      </c>
      <c r="D267" s="321" t="s">
        <v>4778</v>
      </c>
      <c r="E267" s="322" t="s">
        <v>4779</v>
      </c>
    </row>
    <row r="268" spans="1:5" ht="14.5" customHeight="1" x14ac:dyDescent="0.35">
      <c r="A268" s="196" t="str">
        <f>"10.0105"</f>
        <v>10.0105</v>
      </c>
      <c r="B268" s="196" t="s">
        <v>4107</v>
      </c>
      <c r="C268" s="320" t="s">
        <v>4269</v>
      </c>
      <c r="D268" s="321" t="s">
        <v>4780</v>
      </c>
      <c r="E268" s="322" t="s">
        <v>4781</v>
      </c>
    </row>
    <row r="269" spans="1:5" ht="14.5" customHeight="1" x14ac:dyDescent="0.35">
      <c r="A269" s="196" t="str">
        <f>"10.02"</f>
        <v>10.02</v>
      </c>
      <c r="B269" s="196" t="s">
        <v>4265</v>
      </c>
      <c r="C269" s="320" t="s">
        <v>4266</v>
      </c>
      <c r="D269" s="321" t="s">
        <v>4782</v>
      </c>
      <c r="E269" s="322" t="s">
        <v>4783</v>
      </c>
    </row>
    <row r="270" spans="1:5" ht="14.5" customHeight="1" x14ac:dyDescent="0.35">
      <c r="A270" s="196" t="str">
        <f>"10.0201"</f>
        <v>10.0201</v>
      </c>
      <c r="B270" s="196" t="s">
        <v>4265</v>
      </c>
      <c r="C270" s="320" t="s">
        <v>4266</v>
      </c>
      <c r="D270" s="321" t="s">
        <v>4784</v>
      </c>
      <c r="E270" s="322" t="s">
        <v>4785</v>
      </c>
    </row>
    <row r="271" spans="1:5" ht="14.5" customHeight="1" x14ac:dyDescent="0.35">
      <c r="A271" s="196" t="str">
        <f>"10.0202"</f>
        <v>10.0202</v>
      </c>
      <c r="B271" s="196" t="s">
        <v>4265</v>
      </c>
      <c r="C271" s="320" t="s">
        <v>4266</v>
      </c>
      <c r="D271" s="321" t="s">
        <v>4786</v>
      </c>
      <c r="E271" s="322" t="s">
        <v>4787</v>
      </c>
    </row>
    <row r="272" spans="1:5" ht="14.5" customHeight="1" x14ac:dyDescent="0.35">
      <c r="A272" s="196" t="str">
        <f>"10.0203"</f>
        <v>10.0203</v>
      </c>
      <c r="B272" s="196" t="s">
        <v>4265</v>
      </c>
      <c r="C272" s="320" t="s">
        <v>4266</v>
      </c>
      <c r="D272" s="321" t="s">
        <v>4788</v>
      </c>
      <c r="E272" s="322" t="s">
        <v>4789</v>
      </c>
    </row>
    <row r="273" spans="1:5" s="327" customFormat="1" ht="14.5" customHeight="1" x14ac:dyDescent="0.35">
      <c r="A273" s="323" t="str">
        <f>"10.0204"</f>
        <v>10.0204</v>
      </c>
      <c r="B273" s="323" t="s">
        <v>4297</v>
      </c>
      <c r="C273" s="324" t="s">
        <v>4269</v>
      </c>
      <c r="D273" s="325" t="s">
        <v>4790</v>
      </c>
      <c r="E273" s="326" t="s">
        <v>4791</v>
      </c>
    </row>
    <row r="274" spans="1:5" ht="14.5" customHeight="1" x14ac:dyDescent="0.35">
      <c r="A274" s="196" t="str">
        <f>"10.0299"</f>
        <v>10.0299</v>
      </c>
      <c r="B274" s="196" t="s">
        <v>4265</v>
      </c>
      <c r="C274" s="320" t="s">
        <v>4266</v>
      </c>
      <c r="D274" s="321" t="s">
        <v>4792</v>
      </c>
      <c r="E274" s="322" t="s">
        <v>4793</v>
      </c>
    </row>
    <row r="275" spans="1:5" ht="14.5" customHeight="1" x14ac:dyDescent="0.35">
      <c r="A275" s="196" t="str">
        <f>"10.03"</f>
        <v>10.03</v>
      </c>
      <c r="B275" s="196" t="s">
        <v>4107</v>
      </c>
      <c r="C275" s="320" t="s">
        <v>4269</v>
      </c>
      <c r="D275" s="321" t="s">
        <v>4794</v>
      </c>
      <c r="E275" s="322" t="s">
        <v>4795</v>
      </c>
    </row>
    <row r="276" spans="1:5" ht="14.5" customHeight="1" x14ac:dyDescent="0.35">
      <c r="A276" s="196" t="str">
        <f>"10.0301"</f>
        <v>10.0301</v>
      </c>
      <c r="B276" s="196" t="s">
        <v>4107</v>
      </c>
      <c r="C276" s="320" t="s">
        <v>4269</v>
      </c>
      <c r="D276" s="321" t="s">
        <v>4796</v>
      </c>
      <c r="E276" s="322" t="s">
        <v>4797</v>
      </c>
    </row>
    <row r="277" spans="1:5" ht="14.5" customHeight="1" x14ac:dyDescent="0.35">
      <c r="A277" s="196" t="str">
        <f>"10.0302"</f>
        <v>10.0302</v>
      </c>
      <c r="B277" s="196" t="s">
        <v>4107</v>
      </c>
      <c r="C277" s="320" t="s">
        <v>4269</v>
      </c>
      <c r="D277" s="321" t="s">
        <v>4798</v>
      </c>
      <c r="E277" s="322" t="s">
        <v>4799</v>
      </c>
    </row>
    <row r="278" spans="1:5" ht="14.5" customHeight="1" x14ac:dyDescent="0.35">
      <c r="A278" s="196" t="str">
        <f>"10.0303"</f>
        <v>10.0303</v>
      </c>
      <c r="B278" s="196" t="s">
        <v>4107</v>
      </c>
      <c r="C278" s="320" t="s">
        <v>4269</v>
      </c>
      <c r="D278" s="321" t="s">
        <v>4800</v>
      </c>
      <c r="E278" s="322" t="s">
        <v>4801</v>
      </c>
    </row>
    <row r="279" spans="1:5" ht="14.5" customHeight="1" x14ac:dyDescent="0.35">
      <c r="A279" s="196" t="str">
        <f>"10.0304"</f>
        <v>10.0304</v>
      </c>
      <c r="B279" s="196" t="s">
        <v>4107</v>
      </c>
      <c r="C279" s="320" t="s">
        <v>4269</v>
      </c>
      <c r="D279" s="321" t="s">
        <v>4802</v>
      </c>
      <c r="E279" s="322" t="s">
        <v>4803</v>
      </c>
    </row>
    <row r="280" spans="1:5" ht="14.5" customHeight="1" x14ac:dyDescent="0.35">
      <c r="A280" s="196" t="str">
        <f>"10.0305"</f>
        <v>10.0305</v>
      </c>
      <c r="B280" s="196" t="s">
        <v>4107</v>
      </c>
      <c r="C280" s="320" t="s">
        <v>4269</v>
      </c>
      <c r="D280" s="321" t="s">
        <v>4804</v>
      </c>
      <c r="E280" s="322" t="s">
        <v>4805</v>
      </c>
    </row>
    <row r="281" spans="1:5" ht="14.5" customHeight="1" x14ac:dyDescent="0.35">
      <c r="A281" s="196" t="str">
        <f>"10.0306"</f>
        <v>10.0306</v>
      </c>
      <c r="B281" s="196" t="s">
        <v>4107</v>
      </c>
      <c r="C281" s="320" t="s">
        <v>4269</v>
      </c>
      <c r="D281" s="321" t="s">
        <v>4806</v>
      </c>
      <c r="E281" s="322" t="s">
        <v>4807</v>
      </c>
    </row>
    <row r="282" spans="1:5" ht="14.5" customHeight="1" x14ac:dyDescent="0.35">
      <c r="A282" s="196" t="str">
        <f>"10.0307"</f>
        <v>10.0307</v>
      </c>
      <c r="B282" s="196" t="s">
        <v>4107</v>
      </c>
      <c r="C282" s="320" t="s">
        <v>4269</v>
      </c>
      <c r="D282" s="321" t="s">
        <v>4808</v>
      </c>
      <c r="E282" s="322" t="s">
        <v>4809</v>
      </c>
    </row>
    <row r="283" spans="1:5" ht="14.5" customHeight="1" x14ac:dyDescent="0.35">
      <c r="A283" s="196" t="str">
        <f>"10.0308"</f>
        <v>10.0308</v>
      </c>
      <c r="B283" s="196" t="s">
        <v>4107</v>
      </c>
      <c r="C283" s="320" t="s">
        <v>4269</v>
      </c>
      <c r="D283" s="321" t="s">
        <v>4810</v>
      </c>
      <c r="E283" s="322" t="s">
        <v>4811</v>
      </c>
    </row>
    <row r="284" spans="1:5" ht="14.5" customHeight="1" x14ac:dyDescent="0.35">
      <c r="A284" s="196" t="str">
        <f>"10.0399"</f>
        <v>10.0399</v>
      </c>
      <c r="B284" s="196" t="s">
        <v>4107</v>
      </c>
      <c r="C284" s="320" t="s">
        <v>4269</v>
      </c>
      <c r="D284" s="321" t="s">
        <v>4812</v>
      </c>
      <c r="E284" s="322" t="s">
        <v>4813</v>
      </c>
    </row>
    <row r="285" spans="1:5" ht="14.5" customHeight="1" x14ac:dyDescent="0.35">
      <c r="A285" s="196" t="str">
        <f>"10.99"</f>
        <v>10.99</v>
      </c>
      <c r="B285" s="196" t="s">
        <v>4107</v>
      </c>
      <c r="C285" s="320" t="s">
        <v>4269</v>
      </c>
      <c r="D285" s="321" t="s">
        <v>4814</v>
      </c>
      <c r="E285" s="322" t="s">
        <v>4815</v>
      </c>
    </row>
    <row r="286" spans="1:5" ht="14.5" customHeight="1" x14ac:dyDescent="0.35">
      <c r="A286" s="196" t="str">
        <f>"10.9999"</f>
        <v>10.9999</v>
      </c>
      <c r="B286" s="196" t="s">
        <v>4107</v>
      </c>
      <c r="C286" s="320" t="s">
        <v>4269</v>
      </c>
      <c r="D286" s="321" t="s">
        <v>4814</v>
      </c>
      <c r="E286" s="322" t="s">
        <v>4816</v>
      </c>
    </row>
    <row r="287" spans="1:5" ht="14.5" customHeight="1" x14ac:dyDescent="0.35">
      <c r="A287" s="196" t="str">
        <f>"11"</f>
        <v>11</v>
      </c>
      <c r="B287" s="196" t="s">
        <v>4107</v>
      </c>
      <c r="C287" s="320" t="s">
        <v>4269</v>
      </c>
      <c r="D287" s="321" t="s">
        <v>4817</v>
      </c>
      <c r="E287" s="322" t="s">
        <v>4818</v>
      </c>
    </row>
    <row r="288" spans="1:5" ht="14.5" customHeight="1" x14ac:dyDescent="0.35">
      <c r="A288" s="196" t="str">
        <f>"11.01"</f>
        <v>11.01</v>
      </c>
      <c r="B288" s="196" t="s">
        <v>4107</v>
      </c>
      <c r="C288" s="320" t="s">
        <v>4269</v>
      </c>
      <c r="D288" s="321" t="s">
        <v>4819</v>
      </c>
      <c r="E288" s="322" t="s">
        <v>4820</v>
      </c>
    </row>
    <row r="289" spans="1:5" ht="14.5" customHeight="1" x14ac:dyDescent="0.35">
      <c r="A289" s="196" t="str">
        <f>"11.0101"</f>
        <v>11.0101</v>
      </c>
      <c r="B289" s="196" t="s">
        <v>4107</v>
      </c>
      <c r="C289" s="320" t="s">
        <v>4269</v>
      </c>
      <c r="D289" s="321" t="s">
        <v>4819</v>
      </c>
      <c r="E289" s="322" t="s">
        <v>4821</v>
      </c>
    </row>
    <row r="290" spans="1:5" ht="14.5" customHeight="1" x14ac:dyDescent="0.35">
      <c r="A290" s="196" t="str">
        <f>"11.0102"</f>
        <v>11.0102</v>
      </c>
      <c r="B290" s="196" t="s">
        <v>4107</v>
      </c>
      <c r="C290" s="320" t="s">
        <v>4269</v>
      </c>
      <c r="D290" s="321" t="s">
        <v>4822</v>
      </c>
      <c r="E290" s="322" t="s">
        <v>4823</v>
      </c>
    </row>
    <row r="291" spans="1:5" ht="14.5" customHeight="1" x14ac:dyDescent="0.35">
      <c r="A291" s="196" t="str">
        <f>"11.0103"</f>
        <v>11.0103</v>
      </c>
      <c r="B291" s="196" t="s">
        <v>4107</v>
      </c>
      <c r="C291" s="320" t="s">
        <v>4269</v>
      </c>
      <c r="D291" s="321" t="s">
        <v>4824</v>
      </c>
      <c r="E291" s="322" t="s">
        <v>4825</v>
      </c>
    </row>
    <row r="292" spans="1:5" ht="14.5" customHeight="1" x14ac:dyDescent="0.35">
      <c r="A292" s="196" t="str">
        <f>"11.0104"</f>
        <v>11.0104</v>
      </c>
      <c r="B292" s="196" t="s">
        <v>4107</v>
      </c>
      <c r="C292" s="320" t="s">
        <v>4269</v>
      </c>
      <c r="D292" s="321" t="s">
        <v>4826</v>
      </c>
      <c r="E292" s="322" t="s">
        <v>4827</v>
      </c>
    </row>
    <row r="293" spans="1:5" s="327" customFormat="1" ht="14.5" customHeight="1" x14ac:dyDescent="0.35">
      <c r="A293" s="323" t="str">
        <f>"11.0105"</f>
        <v>11.0105</v>
      </c>
      <c r="B293" s="323" t="s">
        <v>4297</v>
      </c>
      <c r="C293" s="324" t="s">
        <v>4269</v>
      </c>
      <c r="D293" s="325" t="s">
        <v>4828</v>
      </c>
      <c r="E293" s="326" t="s">
        <v>4829</v>
      </c>
    </row>
    <row r="294" spans="1:5" ht="14.5" customHeight="1" x14ac:dyDescent="0.35">
      <c r="A294" s="196" t="str">
        <f>"11.0199"</f>
        <v>11.0199</v>
      </c>
      <c r="B294" s="196" t="s">
        <v>4107</v>
      </c>
      <c r="C294" s="320" t="s">
        <v>4269</v>
      </c>
      <c r="D294" s="321" t="s">
        <v>4830</v>
      </c>
      <c r="E294" s="322" t="s">
        <v>4831</v>
      </c>
    </row>
    <row r="295" spans="1:5" ht="14.5" customHeight="1" x14ac:dyDescent="0.35">
      <c r="A295" s="196" t="str">
        <f>"11.02"</f>
        <v>11.02</v>
      </c>
      <c r="B295" s="196" t="s">
        <v>4107</v>
      </c>
      <c r="C295" s="320" t="s">
        <v>4269</v>
      </c>
      <c r="D295" s="321" t="s">
        <v>4832</v>
      </c>
      <c r="E295" s="322" t="s">
        <v>4833</v>
      </c>
    </row>
    <row r="296" spans="1:5" ht="14.5" customHeight="1" x14ac:dyDescent="0.35">
      <c r="A296" s="196" t="str">
        <f>"11.0201"</f>
        <v>11.0201</v>
      </c>
      <c r="B296" s="196" t="s">
        <v>4107</v>
      </c>
      <c r="C296" s="320" t="s">
        <v>4269</v>
      </c>
      <c r="D296" s="321" t="s">
        <v>4834</v>
      </c>
      <c r="E296" s="322" t="s">
        <v>4835</v>
      </c>
    </row>
    <row r="297" spans="1:5" ht="14.5" customHeight="1" x14ac:dyDescent="0.35">
      <c r="A297" s="196" t="str">
        <f>"11.0202"</f>
        <v>11.0202</v>
      </c>
      <c r="B297" s="196" t="s">
        <v>4107</v>
      </c>
      <c r="C297" s="320" t="s">
        <v>4269</v>
      </c>
      <c r="D297" s="321" t="s">
        <v>4836</v>
      </c>
      <c r="E297" s="322" t="s">
        <v>4837</v>
      </c>
    </row>
    <row r="298" spans="1:5" ht="14.5" customHeight="1" x14ac:dyDescent="0.35">
      <c r="A298" s="196" t="str">
        <f>"11.0203"</f>
        <v>11.0203</v>
      </c>
      <c r="B298" s="196" t="s">
        <v>4107</v>
      </c>
      <c r="C298" s="320" t="s">
        <v>4269</v>
      </c>
      <c r="D298" s="321" t="s">
        <v>4838</v>
      </c>
      <c r="E298" s="322" t="s">
        <v>4839</v>
      </c>
    </row>
    <row r="299" spans="1:5" s="327" customFormat="1" ht="14.5" customHeight="1" x14ac:dyDescent="0.35">
      <c r="A299" s="323" t="str">
        <f>"11.0204"</f>
        <v>11.0204</v>
      </c>
      <c r="B299" s="323" t="s">
        <v>4297</v>
      </c>
      <c r="C299" s="324" t="s">
        <v>4269</v>
      </c>
      <c r="D299" s="325" t="s">
        <v>4840</v>
      </c>
      <c r="E299" s="326" t="s">
        <v>4841</v>
      </c>
    </row>
    <row r="300" spans="1:5" s="327" customFormat="1" ht="14.5" customHeight="1" x14ac:dyDescent="0.35">
      <c r="A300" s="323" t="str">
        <f>"11.0205"</f>
        <v>11.0205</v>
      </c>
      <c r="B300" s="323" t="s">
        <v>4297</v>
      </c>
      <c r="C300" s="324" t="s">
        <v>4269</v>
      </c>
      <c r="D300" s="325" t="s">
        <v>4842</v>
      </c>
      <c r="E300" s="326" t="s">
        <v>4843</v>
      </c>
    </row>
    <row r="301" spans="1:5" ht="14.5" customHeight="1" x14ac:dyDescent="0.35">
      <c r="A301" s="196" t="str">
        <f>"11.0299"</f>
        <v>11.0299</v>
      </c>
      <c r="B301" s="196" t="s">
        <v>4107</v>
      </c>
      <c r="C301" s="320" t="s">
        <v>4269</v>
      </c>
      <c r="D301" s="321" t="s">
        <v>4844</v>
      </c>
      <c r="E301" s="322" t="s">
        <v>4845</v>
      </c>
    </row>
    <row r="302" spans="1:5" ht="14.5" customHeight="1" x14ac:dyDescent="0.35">
      <c r="A302" s="196" t="str">
        <f>"11.03"</f>
        <v>11.03</v>
      </c>
      <c r="B302" s="196" t="s">
        <v>4107</v>
      </c>
      <c r="C302" s="320" t="s">
        <v>4269</v>
      </c>
      <c r="D302" s="321" t="s">
        <v>4846</v>
      </c>
      <c r="E302" s="322" t="s">
        <v>4847</v>
      </c>
    </row>
    <row r="303" spans="1:5" ht="14.5" customHeight="1" x14ac:dyDescent="0.35">
      <c r="A303" s="196" t="str">
        <f>"11.0301"</f>
        <v>11.0301</v>
      </c>
      <c r="B303" s="196" t="s">
        <v>4107</v>
      </c>
      <c r="C303" s="320" t="s">
        <v>4269</v>
      </c>
      <c r="D303" s="321" t="s">
        <v>4848</v>
      </c>
      <c r="E303" s="322" t="s">
        <v>4849</v>
      </c>
    </row>
    <row r="304" spans="1:5" ht="14.5" customHeight="1" x14ac:dyDescent="0.35">
      <c r="A304" s="196" t="str">
        <f>"11.04"</f>
        <v>11.04</v>
      </c>
      <c r="B304" s="196" t="s">
        <v>4107</v>
      </c>
      <c r="C304" s="320" t="s">
        <v>4269</v>
      </c>
      <c r="D304" s="321" t="s">
        <v>4850</v>
      </c>
      <c r="E304" s="322" t="s">
        <v>4851</v>
      </c>
    </row>
    <row r="305" spans="1:5" ht="14.5" customHeight="1" x14ac:dyDescent="0.35">
      <c r="A305" s="196" t="str">
        <f>"11.0401"</f>
        <v>11.0401</v>
      </c>
      <c r="B305" s="196" t="s">
        <v>4107</v>
      </c>
      <c r="C305" s="320" t="s">
        <v>4269</v>
      </c>
      <c r="D305" s="321" t="s">
        <v>4850</v>
      </c>
      <c r="E305" s="322" t="s">
        <v>4852</v>
      </c>
    </row>
    <row r="306" spans="1:5" ht="14.5" customHeight="1" x14ac:dyDescent="0.35">
      <c r="A306" s="196" t="str">
        <f>"11.05"</f>
        <v>11.05</v>
      </c>
      <c r="B306" s="196" t="s">
        <v>4107</v>
      </c>
      <c r="C306" s="320" t="s">
        <v>4269</v>
      </c>
      <c r="D306" s="321" t="s">
        <v>4853</v>
      </c>
      <c r="E306" s="322" t="s">
        <v>4854</v>
      </c>
    </row>
    <row r="307" spans="1:5" ht="14.5" customHeight="1" x14ac:dyDescent="0.35">
      <c r="A307" s="196" t="str">
        <f>"11.0501"</f>
        <v>11.0501</v>
      </c>
      <c r="B307" s="196" t="s">
        <v>4107</v>
      </c>
      <c r="C307" s="320" t="s">
        <v>4269</v>
      </c>
      <c r="D307" s="321" t="s">
        <v>4855</v>
      </c>
      <c r="E307" s="322" t="s">
        <v>4856</v>
      </c>
    </row>
    <row r="308" spans="1:5" ht="14.5" customHeight="1" x14ac:dyDescent="0.35">
      <c r="A308" s="196" t="str">
        <f>"11.06"</f>
        <v>11.06</v>
      </c>
      <c r="B308" s="196" t="s">
        <v>4107</v>
      </c>
      <c r="C308" s="320" t="s">
        <v>4269</v>
      </c>
      <c r="D308" s="321" t="s">
        <v>4857</v>
      </c>
      <c r="E308" s="322" t="s">
        <v>4858</v>
      </c>
    </row>
    <row r="309" spans="1:5" ht="14.5" customHeight="1" x14ac:dyDescent="0.35">
      <c r="A309" s="196" t="str">
        <f>"11.0601"</f>
        <v>11.0601</v>
      </c>
      <c r="B309" s="196" t="s">
        <v>4107</v>
      </c>
      <c r="C309" s="320" t="s">
        <v>4269</v>
      </c>
      <c r="D309" s="321" t="s">
        <v>4859</v>
      </c>
      <c r="E309" s="322" t="s">
        <v>4860</v>
      </c>
    </row>
    <row r="310" spans="1:5" ht="14.5" customHeight="1" x14ac:dyDescent="0.35">
      <c r="A310" s="196" t="str">
        <f>"11.0602"</f>
        <v>11.0602</v>
      </c>
      <c r="B310" s="196" t="s">
        <v>4107</v>
      </c>
      <c r="C310" s="320" t="s">
        <v>4269</v>
      </c>
      <c r="D310" s="321" t="s">
        <v>4861</v>
      </c>
      <c r="E310" s="322" t="s">
        <v>4862</v>
      </c>
    </row>
    <row r="311" spans="1:5" ht="14.5" customHeight="1" x14ac:dyDescent="0.35">
      <c r="A311" s="196" t="str">
        <f>"11.0699"</f>
        <v>11.0699</v>
      </c>
      <c r="B311" s="196" t="s">
        <v>4107</v>
      </c>
      <c r="C311" s="320" t="s">
        <v>4269</v>
      </c>
      <c r="D311" s="321" t="s">
        <v>4863</v>
      </c>
      <c r="E311" s="322" t="s">
        <v>4864</v>
      </c>
    </row>
    <row r="312" spans="1:5" ht="14.5" customHeight="1" x14ac:dyDescent="0.35">
      <c r="A312" s="196" t="str">
        <f>"11.07"</f>
        <v>11.07</v>
      </c>
      <c r="B312" s="196" t="s">
        <v>4107</v>
      </c>
      <c r="C312" s="320" t="s">
        <v>4269</v>
      </c>
      <c r="D312" s="321" t="s">
        <v>4865</v>
      </c>
      <c r="E312" s="322" t="s">
        <v>4866</v>
      </c>
    </row>
    <row r="313" spans="1:5" ht="14.5" customHeight="1" x14ac:dyDescent="0.35">
      <c r="A313" s="196" t="str">
        <f>"11.0701"</f>
        <v>11.0701</v>
      </c>
      <c r="B313" s="196" t="s">
        <v>4107</v>
      </c>
      <c r="C313" s="320" t="s">
        <v>4269</v>
      </c>
      <c r="D313" s="321" t="s">
        <v>4865</v>
      </c>
      <c r="E313" s="322" t="s">
        <v>4867</v>
      </c>
    </row>
    <row r="314" spans="1:5" ht="14.5" customHeight="1" x14ac:dyDescent="0.35">
      <c r="A314" s="196" t="str">
        <f>"11.08"</f>
        <v>11.08</v>
      </c>
      <c r="B314" s="196" t="s">
        <v>4107</v>
      </c>
      <c r="C314" s="320" t="s">
        <v>4269</v>
      </c>
      <c r="D314" s="321" t="s">
        <v>4868</v>
      </c>
      <c r="E314" s="322" t="s">
        <v>4869</v>
      </c>
    </row>
    <row r="315" spans="1:5" ht="14.5" customHeight="1" x14ac:dyDescent="0.35">
      <c r="A315" s="196" t="str">
        <f>"11.0801"</f>
        <v>11.0801</v>
      </c>
      <c r="B315" s="196" t="s">
        <v>4265</v>
      </c>
      <c r="C315" s="320" t="s">
        <v>4266</v>
      </c>
      <c r="D315" s="321" t="s">
        <v>4870</v>
      </c>
      <c r="E315" s="322" t="s">
        <v>4871</v>
      </c>
    </row>
    <row r="316" spans="1:5" ht="14.5" customHeight="1" x14ac:dyDescent="0.35">
      <c r="A316" s="196" t="str">
        <f>"11.0802"</f>
        <v>11.0802</v>
      </c>
      <c r="B316" s="196" t="s">
        <v>4107</v>
      </c>
      <c r="C316" s="320" t="s">
        <v>4269</v>
      </c>
      <c r="D316" s="321" t="s">
        <v>4872</v>
      </c>
      <c r="E316" s="322" t="s">
        <v>4873</v>
      </c>
    </row>
    <row r="317" spans="1:5" ht="14.5" customHeight="1" x14ac:dyDescent="0.35">
      <c r="A317" s="196" t="str">
        <f>"11.0803"</f>
        <v>11.0803</v>
      </c>
      <c r="B317" s="196" t="s">
        <v>4107</v>
      </c>
      <c r="C317" s="320" t="s">
        <v>4269</v>
      </c>
      <c r="D317" s="321" t="s">
        <v>4874</v>
      </c>
      <c r="E317" s="322" t="s">
        <v>4875</v>
      </c>
    </row>
    <row r="318" spans="1:5" ht="14.5" customHeight="1" x14ac:dyDescent="0.35">
      <c r="A318" s="196" t="str">
        <f>"11.0804"</f>
        <v>11.0804</v>
      </c>
      <c r="B318" s="196" t="s">
        <v>4107</v>
      </c>
      <c r="C318" s="320" t="s">
        <v>4269</v>
      </c>
      <c r="D318" s="321" t="s">
        <v>4876</v>
      </c>
      <c r="E318" s="322" t="s">
        <v>4877</v>
      </c>
    </row>
    <row r="319" spans="1:5" ht="14.5" customHeight="1" x14ac:dyDescent="0.35">
      <c r="A319" s="196" t="str">
        <f>"11.0899"</f>
        <v>11.0899</v>
      </c>
      <c r="B319" s="196" t="s">
        <v>4107</v>
      </c>
      <c r="C319" s="320" t="s">
        <v>4269</v>
      </c>
      <c r="D319" s="321" t="s">
        <v>4878</v>
      </c>
      <c r="E319" s="322" t="s">
        <v>4879</v>
      </c>
    </row>
    <row r="320" spans="1:5" ht="14.5" customHeight="1" x14ac:dyDescent="0.35">
      <c r="A320" s="196" t="str">
        <f>"11.09"</f>
        <v>11.09</v>
      </c>
      <c r="B320" s="196" t="s">
        <v>4107</v>
      </c>
      <c r="C320" s="320" t="s">
        <v>4269</v>
      </c>
      <c r="D320" s="321" t="s">
        <v>4880</v>
      </c>
      <c r="E320" s="322" t="s">
        <v>4881</v>
      </c>
    </row>
    <row r="321" spans="1:5" ht="14.5" customHeight="1" x14ac:dyDescent="0.35">
      <c r="A321" s="196" t="str">
        <f>"11.0901"</f>
        <v>11.0901</v>
      </c>
      <c r="B321" s="196" t="s">
        <v>4107</v>
      </c>
      <c r="C321" s="320" t="s">
        <v>4269</v>
      </c>
      <c r="D321" s="321" t="s">
        <v>4880</v>
      </c>
      <c r="E321" s="322" t="s">
        <v>4882</v>
      </c>
    </row>
    <row r="322" spans="1:5" s="327" customFormat="1" ht="14.5" customHeight="1" x14ac:dyDescent="0.35">
      <c r="A322" s="323" t="str">
        <f>"11.0902"</f>
        <v>11.0902</v>
      </c>
      <c r="B322" s="323" t="s">
        <v>4297</v>
      </c>
      <c r="C322" s="324" t="s">
        <v>4269</v>
      </c>
      <c r="D322" s="325" t="s">
        <v>4883</v>
      </c>
      <c r="E322" s="326" t="s">
        <v>4884</v>
      </c>
    </row>
    <row r="323" spans="1:5" s="327" customFormat="1" ht="14.5" customHeight="1" x14ac:dyDescent="0.35">
      <c r="A323" s="323" t="str">
        <f>"11.0999"</f>
        <v>11.0999</v>
      </c>
      <c r="B323" s="323" t="s">
        <v>4297</v>
      </c>
      <c r="C323" s="324" t="s">
        <v>4269</v>
      </c>
      <c r="D323" s="325" t="s">
        <v>4885</v>
      </c>
      <c r="E323" s="326" t="s">
        <v>4886</v>
      </c>
    </row>
    <row r="324" spans="1:5" ht="14.5" customHeight="1" x14ac:dyDescent="0.35">
      <c r="A324" s="196" t="str">
        <f>"11.10"</f>
        <v>11.10</v>
      </c>
      <c r="B324" s="196" t="s">
        <v>4107</v>
      </c>
      <c r="C324" s="320" t="s">
        <v>4269</v>
      </c>
      <c r="D324" s="321" t="s">
        <v>4887</v>
      </c>
      <c r="E324" s="322" t="s">
        <v>4888</v>
      </c>
    </row>
    <row r="325" spans="1:5" ht="14.5" customHeight="1" x14ac:dyDescent="0.35">
      <c r="A325" s="196" t="str">
        <f>"11.1001"</f>
        <v>11.1001</v>
      </c>
      <c r="B325" s="196" t="s">
        <v>4107</v>
      </c>
      <c r="C325" s="320" t="s">
        <v>4269</v>
      </c>
      <c r="D325" s="321" t="s">
        <v>4889</v>
      </c>
      <c r="E325" s="322" t="s">
        <v>4890</v>
      </c>
    </row>
    <row r="326" spans="1:5" ht="14.5" customHeight="1" x14ac:dyDescent="0.35">
      <c r="A326" s="196" t="str">
        <f>"11.1002"</f>
        <v>11.1002</v>
      </c>
      <c r="B326" s="196" t="s">
        <v>4107</v>
      </c>
      <c r="C326" s="320" t="s">
        <v>4269</v>
      </c>
      <c r="D326" s="321" t="s">
        <v>4891</v>
      </c>
      <c r="E326" s="322" t="s">
        <v>4892</v>
      </c>
    </row>
    <row r="327" spans="1:5" ht="14.5" customHeight="1" x14ac:dyDescent="0.35">
      <c r="A327" s="196" t="str">
        <f>"11.1003"</f>
        <v>11.1003</v>
      </c>
      <c r="B327" s="196" t="s">
        <v>4265</v>
      </c>
      <c r="C327" s="320" t="s">
        <v>4266</v>
      </c>
      <c r="D327" s="321" t="s">
        <v>4893</v>
      </c>
      <c r="E327" s="322" t="s">
        <v>4894</v>
      </c>
    </row>
    <row r="328" spans="1:5" ht="14.5" customHeight="1" x14ac:dyDescent="0.35">
      <c r="A328" s="196" t="str">
        <f>"11.1004"</f>
        <v>11.1004</v>
      </c>
      <c r="B328" s="196" t="s">
        <v>4107</v>
      </c>
      <c r="C328" s="320" t="s">
        <v>4269</v>
      </c>
      <c r="D328" s="321" t="s">
        <v>4895</v>
      </c>
      <c r="E328" s="322" t="s">
        <v>4896</v>
      </c>
    </row>
    <row r="329" spans="1:5" ht="14.5" customHeight="1" x14ac:dyDescent="0.35">
      <c r="A329" s="196" t="str">
        <f>"11.1005"</f>
        <v>11.1005</v>
      </c>
      <c r="B329" s="196" t="s">
        <v>4107</v>
      </c>
      <c r="C329" s="320" t="s">
        <v>4269</v>
      </c>
      <c r="D329" s="321" t="s">
        <v>4897</v>
      </c>
      <c r="E329" s="322" t="s">
        <v>4898</v>
      </c>
    </row>
    <row r="330" spans="1:5" ht="14.5" customHeight="1" x14ac:dyDescent="0.35">
      <c r="A330" s="196" t="str">
        <f>"11.1006"</f>
        <v>11.1006</v>
      </c>
      <c r="B330" s="196" t="s">
        <v>4107</v>
      </c>
      <c r="C330" s="320" t="s">
        <v>4269</v>
      </c>
      <c r="D330" s="321" t="s">
        <v>4899</v>
      </c>
      <c r="E330" s="322" t="s">
        <v>4900</v>
      </c>
    </row>
    <row r="331" spans="1:5" ht="14.5" customHeight="1" x14ac:dyDescent="0.35">
      <c r="A331" s="196" t="str">
        <f>"11.1099"</f>
        <v>11.1099</v>
      </c>
      <c r="B331" s="196" t="s">
        <v>4107</v>
      </c>
      <c r="C331" s="320" t="s">
        <v>4269</v>
      </c>
      <c r="D331" s="321" t="s">
        <v>4901</v>
      </c>
      <c r="E331" s="322" t="s">
        <v>4902</v>
      </c>
    </row>
    <row r="332" spans="1:5" ht="14.5" customHeight="1" x14ac:dyDescent="0.35">
      <c r="A332" s="196" t="str">
        <f>"11.99"</f>
        <v>11.99</v>
      </c>
      <c r="B332" s="196" t="s">
        <v>4107</v>
      </c>
      <c r="C332" s="320" t="s">
        <v>4269</v>
      </c>
      <c r="D332" s="321" t="s">
        <v>4903</v>
      </c>
      <c r="E332" s="322" t="s">
        <v>4904</v>
      </c>
    </row>
    <row r="333" spans="1:5" ht="14.5" customHeight="1" x14ac:dyDescent="0.35">
      <c r="A333" s="196" t="str">
        <f>"11.9999"</f>
        <v>11.9999</v>
      </c>
      <c r="B333" s="196" t="s">
        <v>4107</v>
      </c>
      <c r="C333" s="320" t="s">
        <v>4269</v>
      </c>
      <c r="D333" s="321" t="s">
        <v>4903</v>
      </c>
      <c r="E333" s="322" t="s">
        <v>4905</v>
      </c>
    </row>
    <row r="334" spans="1:5" ht="14.5" customHeight="1" x14ac:dyDescent="0.35">
      <c r="A334" s="196" t="str">
        <f>"12"</f>
        <v>12</v>
      </c>
      <c r="B334" s="196" t="s">
        <v>4265</v>
      </c>
      <c r="C334" s="320" t="s">
        <v>4266</v>
      </c>
      <c r="D334" s="321" t="s">
        <v>4906</v>
      </c>
      <c r="E334" s="322" t="s">
        <v>4907</v>
      </c>
    </row>
    <row r="335" spans="1:5" ht="14.5" customHeight="1" x14ac:dyDescent="0.35">
      <c r="A335" s="196" t="str">
        <f>"12.03"</f>
        <v>12.03</v>
      </c>
      <c r="B335" s="196" t="s">
        <v>4107</v>
      </c>
      <c r="C335" s="320" t="s">
        <v>4269</v>
      </c>
      <c r="D335" s="321" t="s">
        <v>4908</v>
      </c>
      <c r="E335" s="322" t="s">
        <v>4909</v>
      </c>
    </row>
    <row r="336" spans="1:5" ht="14.5" customHeight="1" x14ac:dyDescent="0.35">
      <c r="A336" s="196" t="str">
        <f>"12.0301"</f>
        <v>12.0301</v>
      </c>
      <c r="B336" s="196" t="s">
        <v>4107</v>
      </c>
      <c r="C336" s="320" t="s">
        <v>4269</v>
      </c>
      <c r="D336" s="321" t="s">
        <v>4910</v>
      </c>
      <c r="E336" s="322" t="s">
        <v>4911</v>
      </c>
    </row>
    <row r="337" spans="1:5" ht="14.5" customHeight="1" x14ac:dyDescent="0.35">
      <c r="A337" s="196" t="str">
        <f>"12.0302"</f>
        <v>12.0302</v>
      </c>
      <c r="B337" s="196" t="s">
        <v>4107</v>
      </c>
      <c r="C337" s="320" t="s">
        <v>4269</v>
      </c>
      <c r="D337" s="321" t="s">
        <v>4912</v>
      </c>
      <c r="E337" s="322" t="s">
        <v>4913</v>
      </c>
    </row>
    <row r="338" spans="1:5" ht="14.5" customHeight="1" x14ac:dyDescent="0.35">
      <c r="A338" s="196" t="str">
        <f>"12.0303"</f>
        <v>12.0303</v>
      </c>
      <c r="B338" s="196" t="s">
        <v>4107</v>
      </c>
      <c r="C338" s="320" t="s">
        <v>4269</v>
      </c>
      <c r="D338" s="321" t="s">
        <v>4914</v>
      </c>
      <c r="E338" s="322" t="s">
        <v>4915</v>
      </c>
    </row>
    <row r="339" spans="1:5" ht="14.5" customHeight="1" x14ac:dyDescent="0.35">
      <c r="A339" s="196" t="str">
        <f>"12.0399"</f>
        <v>12.0399</v>
      </c>
      <c r="B339" s="196" t="s">
        <v>4107</v>
      </c>
      <c r="C339" s="320" t="s">
        <v>4269</v>
      </c>
      <c r="D339" s="321" t="s">
        <v>4916</v>
      </c>
      <c r="E339" s="322" t="s">
        <v>4917</v>
      </c>
    </row>
    <row r="340" spans="1:5" ht="14.5" customHeight="1" x14ac:dyDescent="0.35">
      <c r="A340" s="196" t="str">
        <f>"12.04"</f>
        <v>12.04</v>
      </c>
      <c r="B340" s="196" t="s">
        <v>4107</v>
      </c>
      <c r="C340" s="320" t="s">
        <v>4269</v>
      </c>
      <c r="D340" s="321" t="s">
        <v>4918</v>
      </c>
      <c r="E340" s="322" t="s">
        <v>4919</v>
      </c>
    </row>
    <row r="341" spans="1:5" ht="14.5" customHeight="1" x14ac:dyDescent="0.35">
      <c r="A341" s="196" t="str">
        <f>"12.0401"</f>
        <v>12.0401</v>
      </c>
      <c r="B341" s="196" t="s">
        <v>4107</v>
      </c>
      <c r="C341" s="320" t="s">
        <v>4269</v>
      </c>
      <c r="D341" s="321" t="s">
        <v>4920</v>
      </c>
      <c r="E341" s="322" t="s">
        <v>4921</v>
      </c>
    </row>
    <row r="342" spans="1:5" ht="14.5" customHeight="1" x14ac:dyDescent="0.35">
      <c r="A342" s="196" t="str">
        <f>"12.0402"</f>
        <v>12.0402</v>
      </c>
      <c r="B342" s="196" t="s">
        <v>4107</v>
      </c>
      <c r="C342" s="320" t="s">
        <v>4269</v>
      </c>
      <c r="D342" s="321" t="s">
        <v>4922</v>
      </c>
      <c r="E342" s="322" t="s">
        <v>4923</v>
      </c>
    </row>
    <row r="343" spans="1:5" ht="14.5" customHeight="1" x14ac:dyDescent="0.35">
      <c r="A343" s="196" t="str">
        <f>"12.0404"</f>
        <v>12.0404</v>
      </c>
      <c r="B343" s="196" t="s">
        <v>4107</v>
      </c>
      <c r="C343" s="320" t="s">
        <v>4269</v>
      </c>
      <c r="D343" s="321" t="s">
        <v>4924</v>
      </c>
      <c r="E343" s="322" t="s">
        <v>4925</v>
      </c>
    </row>
    <row r="344" spans="1:5" ht="14.5" customHeight="1" x14ac:dyDescent="0.35">
      <c r="A344" s="196" t="str">
        <f>"12.0406"</f>
        <v>12.0406</v>
      </c>
      <c r="B344" s="196" t="s">
        <v>4107</v>
      </c>
      <c r="C344" s="320" t="s">
        <v>4269</v>
      </c>
      <c r="D344" s="321" t="s">
        <v>4926</v>
      </c>
      <c r="E344" s="322" t="s">
        <v>4927</v>
      </c>
    </row>
    <row r="345" spans="1:5" ht="14.5" customHeight="1" x14ac:dyDescent="0.35">
      <c r="A345" s="196" t="str">
        <f>"12.0407"</f>
        <v>12.0407</v>
      </c>
      <c r="B345" s="196" t="s">
        <v>4107</v>
      </c>
      <c r="C345" s="320" t="s">
        <v>4269</v>
      </c>
      <c r="D345" s="321" t="s">
        <v>4928</v>
      </c>
      <c r="E345" s="322" t="s">
        <v>4929</v>
      </c>
    </row>
    <row r="346" spans="1:5" ht="14.5" customHeight="1" x14ac:dyDescent="0.35">
      <c r="A346" s="196" t="str">
        <f>"12.0408"</f>
        <v>12.0408</v>
      </c>
      <c r="B346" s="196" t="s">
        <v>4107</v>
      </c>
      <c r="C346" s="320" t="s">
        <v>4269</v>
      </c>
      <c r="D346" s="321" t="s">
        <v>4930</v>
      </c>
      <c r="E346" s="322" t="s">
        <v>4931</v>
      </c>
    </row>
    <row r="347" spans="1:5" ht="14.5" customHeight="1" x14ac:dyDescent="0.35">
      <c r="A347" s="196" t="str">
        <f>"12.0409"</f>
        <v>12.0409</v>
      </c>
      <c r="B347" s="196" t="s">
        <v>4107</v>
      </c>
      <c r="C347" s="320" t="s">
        <v>4269</v>
      </c>
      <c r="D347" s="321" t="s">
        <v>4932</v>
      </c>
      <c r="E347" s="322" t="s">
        <v>4933</v>
      </c>
    </row>
    <row r="348" spans="1:5" ht="14.5" customHeight="1" x14ac:dyDescent="0.35">
      <c r="A348" s="196" t="str">
        <f>"12.0410"</f>
        <v>12.0410</v>
      </c>
      <c r="B348" s="196" t="s">
        <v>4107</v>
      </c>
      <c r="C348" s="320" t="s">
        <v>4269</v>
      </c>
      <c r="D348" s="321" t="s">
        <v>4934</v>
      </c>
      <c r="E348" s="322" t="s">
        <v>4935</v>
      </c>
    </row>
    <row r="349" spans="1:5" ht="14.5" customHeight="1" x14ac:dyDescent="0.35">
      <c r="A349" s="196" t="str">
        <f>"12.0411"</f>
        <v>12.0411</v>
      </c>
      <c r="B349" s="196" t="s">
        <v>4107</v>
      </c>
      <c r="C349" s="320" t="s">
        <v>4269</v>
      </c>
      <c r="D349" s="321" t="s">
        <v>4936</v>
      </c>
      <c r="E349" s="322" t="s">
        <v>4937</v>
      </c>
    </row>
    <row r="350" spans="1:5" ht="14.5" customHeight="1" x14ac:dyDescent="0.35">
      <c r="A350" s="196" t="str">
        <f>"12.0412"</f>
        <v>12.0412</v>
      </c>
      <c r="B350" s="196" t="s">
        <v>4107</v>
      </c>
      <c r="C350" s="320" t="s">
        <v>4269</v>
      </c>
      <c r="D350" s="321" t="s">
        <v>4938</v>
      </c>
      <c r="E350" s="322" t="s">
        <v>4939</v>
      </c>
    </row>
    <row r="351" spans="1:5" ht="14.5" customHeight="1" x14ac:dyDescent="0.35">
      <c r="A351" s="196" t="str">
        <f>"12.0413"</f>
        <v>12.0413</v>
      </c>
      <c r="B351" s="196" t="s">
        <v>4107</v>
      </c>
      <c r="C351" s="320" t="s">
        <v>4269</v>
      </c>
      <c r="D351" s="321" t="s">
        <v>4940</v>
      </c>
      <c r="E351" s="322" t="s">
        <v>4941</v>
      </c>
    </row>
    <row r="352" spans="1:5" ht="14.5" customHeight="1" x14ac:dyDescent="0.35">
      <c r="A352" s="196" t="str">
        <f>"12.0414"</f>
        <v>12.0414</v>
      </c>
      <c r="B352" s="196" t="s">
        <v>4107</v>
      </c>
      <c r="C352" s="320" t="s">
        <v>4269</v>
      </c>
      <c r="D352" s="321" t="s">
        <v>4942</v>
      </c>
      <c r="E352" s="322" t="s">
        <v>4943</v>
      </c>
    </row>
    <row r="353" spans="1:5" ht="14.5" customHeight="1" x14ac:dyDescent="0.35">
      <c r="A353" s="196" t="str">
        <f>"12.0499"</f>
        <v>12.0499</v>
      </c>
      <c r="B353" s="196" t="s">
        <v>4107</v>
      </c>
      <c r="C353" s="320" t="s">
        <v>4269</v>
      </c>
      <c r="D353" s="321" t="s">
        <v>4944</v>
      </c>
      <c r="E353" s="322" t="s">
        <v>4945</v>
      </c>
    </row>
    <row r="354" spans="1:5" ht="14.5" customHeight="1" x14ac:dyDescent="0.35">
      <c r="A354" s="196" t="str">
        <f>"12.05"</f>
        <v>12.05</v>
      </c>
      <c r="B354" s="196" t="s">
        <v>4107</v>
      </c>
      <c r="C354" s="320" t="s">
        <v>4269</v>
      </c>
      <c r="D354" s="321" t="s">
        <v>4946</v>
      </c>
      <c r="E354" s="322" t="s">
        <v>4947</v>
      </c>
    </row>
    <row r="355" spans="1:5" ht="14.5" customHeight="1" x14ac:dyDescent="0.35">
      <c r="A355" s="196" t="str">
        <f>"12.0500"</f>
        <v>12.0500</v>
      </c>
      <c r="B355" s="196" t="s">
        <v>4107</v>
      </c>
      <c r="C355" s="320" t="s">
        <v>4269</v>
      </c>
      <c r="D355" s="321" t="s">
        <v>4948</v>
      </c>
      <c r="E355" s="322" t="s">
        <v>4949</v>
      </c>
    </row>
    <row r="356" spans="1:5" ht="14.5" customHeight="1" x14ac:dyDescent="0.35">
      <c r="A356" s="196" t="str">
        <f>"12.0501"</f>
        <v>12.0501</v>
      </c>
      <c r="B356" s="196" t="s">
        <v>4107</v>
      </c>
      <c r="C356" s="320" t="s">
        <v>4269</v>
      </c>
      <c r="D356" s="321" t="s">
        <v>4950</v>
      </c>
      <c r="E356" s="322" t="s">
        <v>4951</v>
      </c>
    </row>
    <row r="357" spans="1:5" ht="14.5" customHeight="1" x14ac:dyDescent="0.35">
      <c r="A357" s="196" t="str">
        <f>"12.0502"</f>
        <v>12.0502</v>
      </c>
      <c r="B357" s="196" t="s">
        <v>4107</v>
      </c>
      <c r="C357" s="320" t="s">
        <v>4269</v>
      </c>
      <c r="D357" s="321" t="s">
        <v>4952</v>
      </c>
      <c r="E357" s="322" t="s">
        <v>4953</v>
      </c>
    </row>
    <row r="358" spans="1:5" ht="14.5" customHeight="1" x14ac:dyDescent="0.35">
      <c r="A358" s="196" t="str">
        <f>"12.0503"</f>
        <v>12.0503</v>
      </c>
      <c r="B358" s="196" t="s">
        <v>4107</v>
      </c>
      <c r="C358" s="320" t="s">
        <v>4269</v>
      </c>
      <c r="D358" s="321" t="s">
        <v>4954</v>
      </c>
      <c r="E358" s="322" t="s">
        <v>4955</v>
      </c>
    </row>
    <row r="359" spans="1:5" ht="14.5" customHeight="1" x14ac:dyDescent="0.35">
      <c r="A359" s="196" t="str">
        <f>"12.0504"</f>
        <v>12.0504</v>
      </c>
      <c r="B359" s="196" t="s">
        <v>4107</v>
      </c>
      <c r="C359" s="320" t="s">
        <v>4269</v>
      </c>
      <c r="D359" s="321" t="s">
        <v>4956</v>
      </c>
      <c r="E359" s="322" t="s">
        <v>4957</v>
      </c>
    </row>
    <row r="360" spans="1:5" ht="14.5" customHeight="1" x14ac:dyDescent="0.35">
      <c r="A360" s="196" t="str">
        <f>"12.0505"</f>
        <v>12.0505</v>
      </c>
      <c r="B360" s="196" t="s">
        <v>4107</v>
      </c>
      <c r="C360" s="320" t="s">
        <v>4269</v>
      </c>
      <c r="D360" s="321" t="s">
        <v>4958</v>
      </c>
      <c r="E360" s="322" t="s">
        <v>4959</v>
      </c>
    </row>
    <row r="361" spans="1:5" ht="14.5" customHeight="1" x14ac:dyDescent="0.35">
      <c r="A361" s="196" t="str">
        <f>"12.0506"</f>
        <v>12.0506</v>
      </c>
      <c r="B361" s="196" t="s">
        <v>4107</v>
      </c>
      <c r="C361" s="320" t="s">
        <v>4269</v>
      </c>
      <c r="D361" s="321" t="s">
        <v>4960</v>
      </c>
      <c r="E361" s="322" t="s">
        <v>4961</v>
      </c>
    </row>
    <row r="362" spans="1:5" ht="14.5" customHeight="1" x14ac:dyDescent="0.35">
      <c r="A362" s="196" t="str">
        <f>"12.0507"</f>
        <v>12.0507</v>
      </c>
      <c r="B362" s="196" t="s">
        <v>4107</v>
      </c>
      <c r="C362" s="320" t="s">
        <v>4269</v>
      </c>
      <c r="D362" s="321" t="s">
        <v>4962</v>
      </c>
      <c r="E362" s="322" t="s">
        <v>4963</v>
      </c>
    </row>
    <row r="363" spans="1:5" ht="14.5" customHeight="1" x14ac:dyDescent="0.35">
      <c r="A363" s="196" t="str">
        <f>"12.0508"</f>
        <v>12.0508</v>
      </c>
      <c r="B363" s="196" t="s">
        <v>4107</v>
      </c>
      <c r="C363" s="320" t="s">
        <v>4269</v>
      </c>
      <c r="D363" s="321" t="s">
        <v>4964</v>
      </c>
      <c r="E363" s="322" t="s">
        <v>4965</v>
      </c>
    </row>
    <row r="364" spans="1:5" ht="14.5" customHeight="1" x14ac:dyDescent="0.35">
      <c r="A364" s="196" t="str">
        <f>"12.0509"</f>
        <v>12.0509</v>
      </c>
      <c r="B364" s="196" t="s">
        <v>4107</v>
      </c>
      <c r="C364" s="320" t="s">
        <v>4269</v>
      </c>
      <c r="D364" s="321" t="s">
        <v>4966</v>
      </c>
      <c r="E364" s="322" t="s">
        <v>4967</v>
      </c>
    </row>
    <row r="365" spans="1:5" ht="14.5" customHeight="1" x14ac:dyDescent="0.35">
      <c r="A365" s="196" t="str">
        <f>"12.0510"</f>
        <v>12.0510</v>
      </c>
      <c r="B365" s="196" t="s">
        <v>4107</v>
      </c>
      <c r="C365" s="320" t="s">
        <v>4269</v>
      </c>
      <c r="D365" s="321" t="s">
        <v>4968</v>
      </c>
      <c r="E365" s="322" t="s">
        <v>4969</v>
      </c>
    </row>
    <row r="366" spans="1:5" s="327" customFormat="1" ht="14.5" customHeight="1" x14ac:dyDescent="0.35">
      <c r="A366" s="323" t="str">
        <f>"12.0580"</f>
        <v>12.0580</v>
      </c>
      <c r="B366" s="323" t="s">
        <v>4297</v>
      </c>
      <c r="C366" s="324" t="s">
        <v>4269</v>
      </c>
      <c r="D366" s="325" t="s">
        <v>4328</v>
      </c>
      <c r="E366" s="326" t="s">
        <v>4329</v>
      </c>
    </row>
    <row r="367" spans="1:5" ht="14.5" customHeight="1" x14ac:dyDescent="0.35">
      <c r="A367" s="196" t="str">
        <f>"12.0599"</f>
        <v>12.0599</v>
      </c>
      <c r="B367" s="196" t="s">
        <v>4107</v>
      </c>
      <c r="C367" s="320" t="s">
        <v>4269</v>
      </c>
      <c r="D367" s="321" t="s">
        <v>4970</v>
      </c>
      <c r="E367" s="322" t="s">
        <v>4971</v>
      </c>
    </row>
    <row r="368" spans="1:5" s="327" customFormat="1" ht="14.5" customHeight="1" x14ac:dyDescent="0.35">
      <c r="A368" s="323" t="str">
        <f>"12.06"</f>
        <v>12.06</v>
      </c>
      <c r="B368" s="323" t="s">
        <v>4297</v>
      </c>
      <c r="C368" s="324" t="s">
        <v>4269</v>
      </c>
      <c r="D368" s="325" t="s">
        <v>4972</v>
      </c>
      <c r="E368" s="326" t="s">
        <v>4973</v>
      </c>
    </row>
    <row r="369" spans="1:5" s="327" customFormat="1" ht="14.5" customHeight="1" x14ac:dyDescent="0.35">
      <c r="A369" s="323" t="str">
        <f>"12.0601"</f>
        <v>12.0601</v>
      </c>
      <c r="B369" s="323" t="s">
        <v>4297</v>
      </c>
      <c r="C369" s="324" t="s">
        <v>4269</v>
      </c>
      <c r="D369" s="325" t="s">
        <v>4974</v>
      </c>
      <c r="E369" s="326" t="s">
        <v>4975</v>
      </c>
    </row>
    <row r="370" spans="1:5" s="327" customFormat="1" ht="14.5" customHeight="1" x14ac:dyDescent="0.35">
      <c r="A370" s="323" t="str">
        <f>"12.0602"</f>
        <v>12.0602</v>
      </c>
      <c r="B370" s="323" t="s">
        <v>4297</v>
      </c>
      <c r="C370" s="324" t="s">
        <v>4269</v>
      </c>
      <c r="D370" s="325" t="s">
        <v>4976</v>
      </c>
      <c r="E370" s="326" t="s">
        <v>4977</v>
      </c>
    </row>
    <row r="371" spans="1:5" s="327" customFormat="1" ht="14.5" customHeight="1" x14ac:dyDescent="0.35">
      <c r="A371" s="323" t="str">
        <f>"12.0699"</f>
        <v>12.0699</v>
      </c>
      <c r="B371" s="323" t="s">
        <v>4297</v>
      </c>
      <c r="C371" s="324" t="s">
        <v>4269</v>
      </c>
      <c r="D371" s="325" t="s">
        <v>4978</v>
      </c>
      <c r="E371" s="326" t="s">
        <v>4979</v>
      </c>
    </row>
    <row r="372" spans="1:5" ht="14.5" customHeight="1" x14ac:dyDescent="0.35">
      <c r="A372" s="196" t="str">
        <f>"12.99"</f>
        <v>12.99</v>
      </c>
      <c r="B372" s="196" t="s">
        <v>4265</v>
      </c>
      <c r="C372" s="320" t="s">
        <v>4266</v>
      </c>
      <c r="D372" s="321" t="s">
        <v>4980</v>
      </c>
      <c r="E372" s="322" t="s">
        <v>4981</v>
      </c>
    </row>
    <row r="373" spans="1:5" ht="14.5" customHeight="1" x14ac:dyDescent="0.35">
      <c r="A373" s="196" t="str">
        <f>"12.9999"</f>
        <v>12.9999</v>
      </c>
      <c r="B373" s="196" t="s">
        <v>4265</v>
      </c>
      <c r="C373" s="320" t="s">
        <v>4266</v>
      </c>
      <c r="D373" s="321" t="s">
        <v>4980</v>
      </c>
      <c r="E373" s="322" t="s">
        <v>4982</v>
      </c>
    </row>
    <row r="374" spans="1:5" ht="14.5" customHeight="1" x14ac:dyDescent="0.35">
      <c r="A374" s="196" t="str">
        <f>"13"</f>
        <v>13</v>
      </c>
      <c r="B374" s="196" t="s">
        <v>4107</v>
      </c>
      <c r="C374" s="320" t="s">
        <v>4269</v>
      </c>
      <c r="D374" s="321" t="s">
        <v>4983</v>
      </c>
      <c r="E374" s="322" t="s">
        <v>4984</v>
      </c>
    </row>
    <row r="375" spans="1:5" ht="14.5" customHeight="1" x14ac:dyDescent="0.35">
      <c r="A375" s="196" t="str">
        <f>"13.01"</f>
        <v>13.01</v>
      </c>
      <c r="B375" s="196" t="s">
        <v>4107</v>
      </c>
      <c r="C375" s="320" t="s">
        <v>4269</v>
      </c>
      <c r="D375" s="321" t="s">
        <v>4985</v>
      </c>
      <c r="E375" s="322" t="s">
        <v>4986</v>
      </c>
    </row>
    <row r="376" spans="1:5" ht="14.5" customHeight="1" x14ac:dyDescent="0.35">
      <c r="A376" s="196" t="str">
        <f>"13.0101"</f>
        <v>13.0101</v>
      </c>
      <c r="B376" s="196" t="s">
        <v>4107</v>
      </c>
      <c r="C376" s="320" t="s">
        <v>4269</v>
      </c>
      <c r="D376" s="321" t="s">
        <v>4985</v>
      </c>
      <c r="E376" s="322" t="s">
        <v>4987</v>
      </c>
    </row>
    <row r="377" spans="1:5" ht="14.5" customHeight="1" x14ac:dyDescent="0.35">
      <c r="A377" s="196" t="str">
        <f>"13.02"</f>
        <v>13.02</v>
      </c>
      <c r="B377" s="196" t="s">
        <v>4107</v>
      </c>
      <c r="C377" s="320" t="s">
        <v>4269</v>
      </c>
      <c r="D377" s="321" t="s">
        <v>4988</v>
      </c>
      <c r="E377" s="322" t="s">
        <v>4989</v>
      </c>
    </row>
    <row r="378" spans="1:5" ht="14.5" customHeight="1" x14ac:dyDescent="0.35">
      <c r="A378" s="196" t="str">
        <f>"13.0201"</f>
        <v>13.0201</v>
      </c>
      <c r="B378" s="196" t="s">
        <v>4107</v>
      </c>
      <c r="C378" s="320" t="s">
        <v>4269</v>
      </c>
      <c r="D378" s="321" t="s">
        <v>4990</v>
      </c>
      <c r="E378" s="322" t="s">
        <v>4991</v>
      </c>
    </row>
    <row r="379" spans="1:5" ht="14.5" customHeight="1" x14ac:dyDescent="0.35">
      <c r="A379" s="196" t="str">
        <f>"13.0202"</f>
        <v>13.0202</v>
      </c>
      <c r="B379" s="196" t="s">
        <v>4107</v>
      </c>
      <c r="C379" s="320" t="s">
        <v>4269</v>
      </c>
      <c r="D379" s="321" t="s">
        <v>4992</v>
      </c>
      <c r="E379" s="322" t="s">
        <v>4993</v>
      </c>
    </row>
    <row r="380" spans="1:5" ht="14.5" customHeight="1" x14ac:dyDescent="0.35">
      <c r="A380" s="196" t="str">
        <f>"13.0203"</f>
        <v>13.0203</v>
      </c>
      <c r="B380" s="196" t="s">
        <v>4107</v>
      </c>
      <c r="C380" s="320" t="s">
        <v>4269</v>
      </c>
      <c r="D380" s="321" t="s">
        <v>4994</v>
      </c>
      <c r="E380" s="322" t="s">
        <v>4995</v>
      </c>
    </row>
    <row r="381" spans="1:5" ht="14.5" customHeight="1" x14ac:dyDescent="0.35">
      <c r="A381" s="196" t="str">
        <f>"13.0299"</f>
        <v>13.0299</v>
      </c>
      <c r="B381" s="196" t="s">
        <v>4107</v>
      </c>
      <c r="C381" s="320" t="s">
        <v>4269</v>
      </c>
      <c r="D381" s="321" t="s">
        <v>4996</v>
      </c>
      <c r="E381" s="322" t="s">
        <v>4997</v>
      </c>
    </row>
    <row r="382" spans="1:5" ht="14.5" customHeight="1" x14ac:dyDescent="0.35">
      <c r="A382" s="196" t="str">
        <f>"13.03"</f>
        <v>13.03</v>
      </c>
      <c r="B382" s="196" t="s">
        <v>4107</v>
      </c>
      <c r="C382" s="320" t="s">
        <v>4269</v>
      </c>
      <c r="D382" s="321" t="s">
        <v>4998</v>
      </c>
      <c r="E382" s="322" t="s">
        <v>4999</v>
      </c>
    </row>
    <row r="383" spans="1:5" ht="14.5" customHeight="1" x14ac:dyDescent="0.35">
      <c r="A383" s="196" t="str">
        <f>"13.0301"</f>
        <v>13.0301</v>
      </c>
      <c r="B383" s="196" t="s">
        <v>4107</v>
      </c>
      <c r="C383" s="320" t="s">
        <v>4269</v>
      </c>
      <c r="D383" s="321" t="s">
        <v>4998</v>
      </c>
      <c r="E383" s="322" t="s">
        <v>5000</v>
      </c>
    </row>
    <row r="384" spans="1:5" ht="14.5" customHeight="1" x14ac:dyDescent="0.35">
      <c r="A384" s="196" t="str">
        <f>"13.04"</f>
        <v>13.04</v>
      </c>
      <c r="B384" s="196" t="s">
        <v>4107</v>
      </c>
      <c r="C384" s="320" t="s">
        <v>4269</v>
      </c>
      <c r="D384" s="321" t="s">
        <v>5001</v>
      </c>
      <c r="E384" s="322" t="s">
        <v>5002</v>
      </c>
    </row>
    <row r="385" spans="1:5" ht="14.5" customHeight="1" x14ac:dyDescent="0.35">
      <c r="A385" s="196" t="str">
        <f>"13.0401"</f>
        <v>13.0401</v>
      </c>
      <c r="B385" s="196" t="s">
        <v>4107</v>
      </c>
      <c r="C385" s="320" t="s">
        <v>4269</v>
      </c>
      <c r="D385" s="321" t="s">
        <v>5003</v>
      </c>
      <c r="E385" s="322" t="s">
        <v>5004</v>
      </c>
    </row>
    <row r="386" spans="1:5" ht="14.5" customHeight="1" x14ac:dyDescent="0.35">
      <c r="A386" s="196" t="str">
        <f>"13.0402"</f>
        <v>13.0402</v>
      </c>
      <c r="B386" s="196" t="s">
        <v>4107</v>
      </c>
      <c r="C386" s="320" t="s">
        <v>4269</v>
      </c>
      <c r="D386" s="321" t="s">
        <v>5005</v>
      </c>
      <c r="E386" s="322" t="s">
        <v>5006</v>
      </c>
    </row>
    <row r="387" spans="1:5" ht="14.5" customHeight="1" x14ac:dyDescent="0.35">
      <c r="A387" s="196" t="str">
        <f>"13.0403"</f>
        <v>13.0403</v>
      </c>
      <c r="B387" s="196" t="s">
        <v>4107</v>
      </c>
      <c r="C387" s="320" t="s">
        <v>4269</v>
      </c>
      <c r="D387" s="321" t="s">
        <v>5007</v>
      </c>
      <c r="E387" s="322" t="s">
        <v>5008</v>
      </c>
    </row>
    <row r="388" spans="1:5" ht="14.5" customHeight="1" x14ac:dyDescent="0.35">
      <c r="A388" s="196" t="str">
        <f>"13.0404"</f>
        <v>13.0404</v>
      </c>
      <c r="B388" s="196" t="s">
        <v>4107</v>
      </c>
      <c r="C388" s="320" t="s">
        <v>4269</v>
      </c>
      <c r="D388" s="321" t="s">
        <v>5009</v>
      </c>
      <c r="E388" s="322" t="s">
        <v>5010</v>
      </c>
    </row>
    <row r="389" spans="1:5" ht="14.5" customHeight="1" x14ac:dyDescent="0.35">
      <c r="A389" s="196" t="str">
        <f>"13.0406"</f>
        <v>13.0406</v>
      </c>
      <c r="B389" s="196" t="s">
        <v>4107</v>
      </c>
      <c r="C389" s="320" t="s">
        <v>4269</v>
      </c>
      <c r="D389" s="321" t="s">
        <v>5011</v>
      </c>
      <c r="E389" s="322" t="s">
        <v>5012</v>
      </c>
    </row>
    <row r="390" spans="1:5" ht="14.5" customHeight="1" x14ac:dyDescent="0.35">
      <c r="A390" s="196" t="str">
        <f>"13.0407"</f>
        <v>13.0407</v>
      </c>
      <c r="B390" s="196" t="s">
        <v>4265</v>
      </c>
      <c r="C390" s="320" t="s">
        <v>4266</v>
      </c>
      <c r="D390" s="321" t="s">
        <v>5013</v>
      </c>
      <c r="E390" s="322" t="s">
        <v>5014</v>
      </c>
    </row>
    <row r="391" spans="1:5" ht="14.5" customHeight="1" x14ac:dyDescent="0.35">
      <c r="A391" s="196" t="str">
        <f>"13.0408"</f>
        <v>13.0408</v>
      </c>
      <c r="B391" s="196" t="s">
        <v>4107</v>
      </c>
      <c r="C391" s="320" t="s">
        <v>4269</v>
      </c>
      <c r="D391" s="321" t="s">
        <v>5015</v>
      </c>
      <c r="E391" s="322" t="s">
        <v>5016</v>
      </c>
    </row>
    <row r="392" spans="1:5" ht="14.5" customHeight="1" x14ac:dyDescent="0.35">
      <c r="A392" s="196" t="str">
        <f>"13.0409"</f>
        <v>13.0409</v>
      </c>
      <c r="B392" s="196" t="s">
        <v>4107</v>
      </c>
      <c r="C392" s="320" t="s">
        <v>4269</v>
      </c>
      <c r="D392" s="321" t="s">
        <v>5017</v>
      </c>
      <c r="E392" s="322" t="s">
        <v>5018</v>
      </c>
    </row>
    <row r="393" spans="1:5" ht="14.5" customHeight="1" x14ac:dyDescent="0.35">
      <c r="A393" s="196" t="str">
        <f>"13.0410"</f>
        <v>13.0410</v>
      </c>
      <c r="B393" s="196" t="s">
        <v>4107</v>
      </c>
      <c r="C393" s="320" t="s">
        <v>4269</v>
      </c>
      <c r="D393" s="321" t="s">
        <v>5019</v>
      </c>
      <c r="E393" s="322" t="s">
        <v>5020</v>
      </c>
    </row>
    <row r="394" spans="1:5" ht="14.5" customHeight="1" x14ac:dyDescent="0.35">
      <c r="A394" s="196" t="str">
        <f>"13.0411"</f>
        <v>13.0411</v>
      </c>
      <c r="B394" s="196" t="s">
        <v>4107</v>
      </c>
      <c r="C394" s="320" t="s">
        <v>4269</v>
      </c>
      <c r="D394" s="321" t="s">
        <v>5021</v>
      </c>
      <c r="E394" s="322" t="s">
        <v>5022</v>
      </c>
    </row>
    <row r="395" spans="1:5" s="327" customFormat="1" ht="14.5" customHeight="1" x14ac:dyDescent="0.35">
      <c r="A395" s="323" t="str">
        <f>"13.0412"</f>
        <v>13.0412</v>
      </c>
      <c r="B395" s="323" t="s">
        <v>4297</v>
      </c>
      <c r="C395" s="324" t="s">
        <v>4269</v>
      </c>
      <c r="D395" s="325" t="s">
        <v>5023</v>
      </c>
      <c r="E395" s="326" t="s">
        <v>5024</v>
      </c>
    </row>
    <row r="396" spans="1:5" s="327" customFormat="1" ht="14.5" customHeight="1" x14ac:dyDescent="0.35">
      <c r="A396" s="323" t="str">
        <f>"13.0413"</f>
        <v>13.0413</v>
      </c>
      <c r="B396" s="323" t="s">
        <v>4297</v>
      </c>
      <c r="C396" s="324" t="s">
        <v>4269</v>
      </c>
      <c r="D396" s="325" t="s">
        <v>5025</v>
      </c>
      <c r="E396" s="326" t="s">
        <v>5026</v>
      </c>
    </row>
    <row r="397" spans="1:5" s="327" customFormat="1" ht="14.5" customHeight="1" x14ac:dyDescent="0.35">
      <c r="A397" s="323" t="str">
        <f>"13.0414"</f>
        <v>13.0414</v>
      </c>
      <c r="B397" s="323" t="s">
        <v>4297</v>
      </c>
      <c r="C397" s="324" t="s">
        <v>4269</v>
      </c>
      <c r="D397" s="325" t="s">
        <v>5027</v>
      </c>
      <c r="E397" s="326" t="s">
        <v>5028</v>
      </c>
    </row>
    <row r="398" spans="1:5" ht="14.5" customHeight="1" x14ac:dyDescent="0.35">
      <c r="A398" s="196" t="str">
        <f>"13.0499"</f>
        <v>13.0499</v>
      </c>
      <c r="B398" s="196" t="s">
        <v>4107</v>
      </c>
      <c r="C398" s="320" t="s">
        <v>4269</v>
      </c>
      <c r="D398" s="321" t="s">
        <v>5029</v>
      </c>
      <c r="E398" s="322" t="s">
        <v>5030</v>
      </c>
    </row>
    <row r="399" spans="1:5" ht="14.5" customHeight="1" x14ac:dyDescent="0.35">
      <c r="A399" s="196" t="str">
        <f>"13.05"</f>
        <v>13.05</v>
      </c>
      <c r="B399" s="196" t="s">
        <v>4107</v>
      </c>
      <c r="C399" s="320" t="s">
        <v>4269</v>
      </c>
      <c r="D399" s="321" t="s">
        <v>5031</v>
      </c>
      <c r="E399" s="322" t="s">
        <v>5032</v>
      </c>
    </row>
    <row r="400" spans="1:5" ht="14.5" customHeight="1" x14ac:dyDescent="0.35">
      <c r="A400" s="196" t="str">
        <f>"13.0501"</f>
        <v>13.0501</v>
      </c>
      <c r="B400" s="196" t="s">
        <v>4107</v>
      </c>
      <c r="C400" s="320" t="s">
        <v>4269</v>
      </c>
      <c r="D400" s="321" t="s">
        <v>5033</v>
      </c>
      <c r="E400" s="322" t="s">
        <v>5034</v>
      </c>
    </row>
    <row r="401" spans="1:5" ht="14.5" customHeight="1" x14ac:dyDescent="0.35">
      <c r="A401" s="196" t="str">
        <f>"13.06"</f>
        <v>13.06</v>
      </c>
      <c r="B401" s="196" t="s">
        <v>4107</v>
      </c>
      <c r="C401" s="320" t="s">
        <v>4269</v>
      </c>
      <c r="D401" s="321" t="s">
        <v>5035</v>
      </c>
      <c r="E401" s="322" t="s">
        <v>5036</v>
      </c>
    </row>
    <row r="402" spans="1:5" ht="14.5" customHeight="1" x14ac:dyDescent="0.35">
      <c r="A402" s="196" t="str">
        <f>"13.0601"</f>
        <v>13.0601</v>
      </c>
      <c r="B402" s="196" t="s">
        <v>4107</v>
      </c>
      <c r="C402" s="320" t="s">
        <v>4269</v>
      </c>
      <c r="D402" s="321" t="s">
        <v>5037</v>
      </c>
      <c r="E402" s="322" t="s">
        <v>5038</v>
      </c>
    </row>
    <row r="403" spans="1:5" ht="14.5" customHeight="1" x14ac:dyDescent="0.35">
      <c r="A403" s="196" t="str">
        <f>"13.0603"</f>
        <v>13.0603</v>
      </c>
      <c r="B403" s="196" t="s">
        <v>4107</v>
      </c>
      <c r="C403" s="320" t="s">
        <v>4269</v>
      </c>
      <c r="D403" s="321" t="s">
        <v>5039</v>
      </c>
      <c r="E403" s="322" t="s">
        <v>5040</v>
      </c>
    </row>
    <row r="404" spans="1:5" ht="14.5" customHeight="1" x14ac:dyDescent="0.35">
      <c r="A404" s="196" t="str">
        <f>"13.0604"</f>
        <v>13.0604</v>
      </c>
      <c r="B404" s="196" t="s">
        <v>4107</v>
      </c>
      <c r="C404" s="320" t="s">
        <v>4269</v>
      </c>
      <c r="D404" s="321" t="s">
        <v>5041</v>
      </c>
      <c r="E404" s="322" t="s">
        <v>5042</v>
      </c>
    </row>
    <row r="405" spans="1:5" ht="14.5" customHeight="1" x14ac:dyDescent="0.35">
      <c r="A405" s="196" t="str">
        <f>"13.0607"</f>
        <v>13.0607</v>
      </c>
      <c r="B405" s="196" t="s">
        <v>4107</v>
      </c>
      <c r="C405" s="320" t="s">
        <v>4269</v>
      </c>
      <c r="D405" s="321" t="s">
        <v>5043</v>
      </c>
      <c r="E405" s="322" t="s">
        <v>5044</v>
      </c>
    </row>
    <row r="406" spans="1:5" s="327" customFormat="1" ht="14.5" customHeight="1" x14ac:dyDescent="0.35">
      <c r="A406" s="323" t="str">
        <f>"13.0608"</f>
        <v>13.0608</v>
      </c>
      <c r="B406" s="323" t="s">
        <v>4297</v>
      </c>
      <c r="C406" s="324" t="s">
        <v>4269</v>
      </c>
      <c r="D406" s="325" t="s">
        <v>5045</v>
      </c>
      <c r="E406" s="326" t="s">
        <v>5046</v>
      </c>
    </row>
    <row r="407" spans="1:5" ht="14.5" customHeight="1" x14ac:dyDescent="0.35">
      <c r="A407" s="196" t="str">
        <f>"13.0699"</f>
        <v>13.0699</v>
      </c>
      <c r="B407" s="196" t="s">
        <v>4107</v>
      </c>
      <c r="C407" s="320" t="s">
        <v>4269</v>
      </c>
      <c r="D407" s="321" t="s">
        <v>5047</v>
      </c>
      <c r="E407" s="322" t="s">
        <v>5048</v>
      </c>
    </row>
    <row r="408" spans="1:5" ht="14.5" customHeight="1" x14ac:dyDescent="0.35">
      <c r="A408" s="196" t="str">
        <f>"13.07"</f>
        <v>13.07</v>
      </c>
      <c r="B408" s="196" t="s">
        <v>4107</v>
      </c>
      <c r="C408" s="320" t="s">
        <v>4269</v>
      </c>
      <c r="D408" s="321" t="s">
        <v>5049</v>
      </c>
      <c r="E408" s="322" t="s">
        <v>5050</v>
      </c>
    </row>
    <row r="409" spans="1:5" ht="14.5" customHeight="1" x14ac:dyDescent="0.35">
      <c r="A409" s="196" t="str">
        <f>"13.0701"</f>
        <v>13.0701</v>
      </c>
      <c r="B409" s="196" t="s">
        <v>4107</v>
      </c>
      <c r="C409" s="320" t="s">
        <v>4269</v>
      </c>
      <c r="D409" s="321" t="s">
        <v>5049</v>
      </c>
      <c r="E409" s="322" t="s">
        <v>5051</v>
      </c>
    </row>
    <row r="410" spans="1:5" ht="14.5" customHeight="1" x14ac:dyDescent="0.35">
      <c r="A410" s="196" t="str">
        <f>"13.09"</f>
        <v>13.09</v>
      </c>
      <c r="B410" s="196" t="s">
        <v>4107</v>
      </c>
      <c r="C410" s="320" t="s">
        <v>4269</v>
      </c>
      <c r="D410" s="321" t="s">
        <v>5052</v>
      </c>
      <c r="E410" s="322" t="s">
        <v>5053</v>
      </c>
    </row>
    <row r="411" spans="1:5" ht="14.5" customHeight="1" x14ac:dyDescent="0.35">
      <c r="A411" s="196" t="str">
        <f>"13.0901"</f>
        <v>13.0901</v>
      </c>
      <c r="B411" s="196" t="s">
        <v>4107</v>
      </c>
      <c r="C411" s="320" t="s">
        <v>4269</v>
      </c>
      <c r="D411" s="321" t="s">
        <v>5052</v>
      </c>
      <c r="E411" s="322" t="s">
        <v>5054</v>
      </c>
    </row>
    <row r="412" spans="1:5" ht="14.5" customHeight="1" x14ac:dyDescent="0.35">
      <c r="A412" s="196" t="str">
        <f>"13.10"</f>
        <v>13.10</v>
      </c>
      <c r="B412" s="196" t="s">
        <v>4107</v>
      </c>
      <c r="C412" s="320" t="s">
        <v>4269</v>
      </c>
      <c r="D412" s="321" t="s">
        <v>5055</v>
      </c>
      <c r="E412" s="322" t="s">
        <v>5056</v>
      </c>
    </row>
    <row r="413" spans="1:5" ht="14.5" customHeight="1" x14ac:dyDescent="0.35">
      <c r="A413" s="196" t="str">
        <f>"13.1001"</f>
        <v>13.1001</v>
      </c>
      <c r="B413" s="196" t="s">
        <v>4265</v>
      </c>
      <c r="C413" s="320" t="s">
        <v>4266</v>
      </c>
      <c r="D413" s="321" t="s">
        <v>5057</v>
      </c>
      <c r="E413" s="322" t="s">
        <v>5058</v>
      </c>
    </row>
    <row r="414" spans="1:5" ht="14.5" customHeight="1" x14ac:dyDescent="0.35">
      <c r="A414" s="196" t="str">
        <f>"13.1003"</f>
        <v>13.1003</v>
      </c>
      <c r="B414" s="196" t="s">
        <v>4107</v>
      </c>
      <c r="C414" s="320" t="s">
        <v>4269</v>
      </c>
      <c r="D414" s="321" t="s">
        <v>5059</v>
      </c>
      <c r="E414" s="322" t="s">
        <v>5060</v>
      </c>
    </row>
    <row r="415" spans="1:5" ht="14.5" customHeight="1" x14ac:dyDescent="0.35">
      <c r="A415" s="196" t="str">
        <f>"13.1004"</f>
        <v>13.1004</v>
      </c>
      <c r="B415" s="196" t="s">
        <v>4107</v>
      </c>
      <c r="C415" s="320" t="s">
        <v>4269</v>
      </c>
      <c r="D415" s="321" t="s">
        <v>5061</v>
      </c>
      <c r="E415" s="322" t="s">
        <v>5062</v>
      </c>
    </row>
    <row r="416" spans="1:5" ht="14.5" customHeight="1" x14ac:dyDescent="0.35">
      <c r="A416" s="196" t="str">
        <f>"13.1005"</f>
        <v>13.1005</v>
      </c>
      <c r="B416" s="196" t="s">
        <v>4265</v>
      </c>
      <c r="C416" s="320" t="s">
        <v>4266</v>
      </c>
      <c r="D416" s="321" t="s">
        <v>5063</v>
      </c>
      <c r="E416" s="322" t="s">
        <v>5064</v>
      </c>
    </row>
    <row r="417" spans="1:5" ht="14.5" customHeight="1" x14ac:dyDescent="0.35">
      <c r="A417" s="196" t="str">
        <f>"13.1006"</f>
        <v>13.1006</v>
      </c>
      <c r="B417" s="196" t="s">
        <v>4265</v>
      </c>
      <c r="C417" s="320" t="s">
        <v>4266</v>
      </c>
      <c r="D417" s="321" t="s">
        <v>5065</v>
      </c>
      <c r="E417" s="322" t="s">
        <v>5066</v>
      </c>
    </row>
    <row r="418" spans="1:5" ht="14.5" customHeight="1" x14ac:dyDescent="0.35">
      <c r="A418" s="196" t="str">
        <f>"13.1007"</f>
        <v>13.1007</v>
      </c>
      <c r="B418" s="196" t="s">
        <v>4107</v>
      </c>
      <c r="C418" s="320" t="s">
        <v>4269</v>
      </c>
      <c r="D418" s="321" t="s">
        <v>5067</v>
      </c>
      <c r="E418" s="322" t="s">
        <v>5068</v>
      </c>
    </row>
    <row r="419" spans="1:5" ht="14.5" customHeight="1" x14ac:dyDescent="0.35">
      <c r="A419" s="196" t="str">
        <f>"13.1008"</f>
        <v>13.1008</v>
      </c>
      <c r="B419" s="196" t="s">
        <v>4107</v>
      </c>
      <c r="C419" s="320" t="s">
        <v>4269</v>
      </c>
      <c r="D419" s="321" t="s">
        <v>5069</v>
      </c>
      <c r="E419" s="322" t="s">
        <v>5070</v>
      </c>
    </row>
    <row r="420" spans="1:5" ht="14.5" customHeight="1" x14ac:dyDescent="0.35">
      <c r="A420" s="196" t="str">
        <f>"13.1009"</f>
        <v>13.1009</v>
      </c>
      <c r="B420" s="196" t="s">
        <v>4107</v>
      </c>
      <c r="C420" s="320" t="s">
        <v>4269</v>
      </c>
      <c r="D420" s="321" t="s">
        <v>5071</v>
      </c>
      <c r="E420" s="322" t="s">
        <v>5072</v>
      </c>
    </row>
    <row r="421" spans="1:5" ht="14.5" customHeight="1" x14ac:dyDescent="0.35">
      <c r="A421" s="196" t="str">
        <f>"13.1011"</f>
        <v>13.1011</v>
      </c>
      <c r="B421" s="196" t="s">
        <v>4107</v>
      </c>
      <c r="C421" s="320" t="s">
        <v>4269</v>
      </c>
      <c r="D421" s="321" t="s">
        <v>5073</v>
      </c>
      <c r="E421" s="322" t="s">
        <v>5074</v>
      </c>
    </row>
    <row r="422" spans="1:5" ht="14.5" customHeight="1" x14ac:dyDescent="0.35">
      <c r="A422" s="196" t="str">
        <f>"13.1012"</f>
        <v>13.1012</v>
      </c>
      <c r="B422" s="196" t="s">
        <v>4107</v>
      </c>
      <c r="C422" s="320" t="s">
        <v>4269</v>
      </c>
      <c r="D422" s="321" t="s">
        <v>5075</v>
      </c>
      <c r="E422" s="322" t="s">
        <v>5076</v>
      </c>
    </row>
    <row r="423" spans="1:5" ht="14.5" customHeight="1" x14ac:dyDescent="0.35">
      <c r="A423" s="196" t="str">
        <f>"13.1013"</f>
        <v>13.1013</v>
      </c>
      <c r="B423" s="196" t="s">
        <v>4107</v>
      </c>
      <c r="C423" s="320" t="s">
        <v>4269</v>
      </c>
      <c r="D423" s="321" t="s">
        <v>5077</v>
      </c>
      <c r="E423" s="322" t="s">
        <v>5078</v>
      </c>
    </row>
    <row r="424" spans="1:5" ht="14.5" customHeight="1" x14ac:dyDescent="0.35">
      <c r="A424" s="196" t="str">
        <f>"13.1014"</f>
        <v>13.1014</v>
      </c>
      <c r="B424" s="196" t="s">
        <v>4107</v>
      </c>
      <c r="C424" s="320" t="s">
        <v>4269</v>
      </c>
      <c r="D424" s="321" t="s">
        <v>5079</v>
      </c>
      <c r="E424" s="322" t="s">
        <v>5080</v>
      </c>
    </row>
    <row r="425" spans="1:5" ht="14.5" customHeight="1" x14ac:dyDescent="0.35">
      <c r="A425" s="196" t="str">
        <f>"13.1015"</f>
        <v>13.1015</v>
      </c>
      <c r="B425" s="196" t="s">
        <v>4107</v>
      </c>
      <c r="C425" s="320" t="s">
        <v>4269</v>
      </c>
      <c r="D425" s="321" t="s">
        <v>5081</v>
      </c>
      <c r="E425" s="322" t="s">
        <v>5082</v>
      </c>
    </row>
    <row r="426" spans="1:5" ht="14.5" customHeight="1" x14ac:dyDescent="0.35">
      <c r="A426" s="196" t="str">
        <f>"13.1016"</f>
        <v>13.1016</v>
      </c>
      <c r="B426" s="196" t="s">
        <v>4107</v>
      </c>
      <c r="C426" s="320" t="s">
        <v>4269</v>
      </c>
      <c r="D426" s="321" t="s">
        <v>5083</v>
      </c>
      <c r="E426" s="322" t="s">
        <v>5084</v>
      </c>
    </row>
    <row r="427" spans="1:5" ht="14.5" customHeight="1" x14ac:dyDescent="0.35">
      <c r="A427" s="196" t="str">
        <f>"13.1017"</f>
        <v>13.1017</v>
      </c>
      <c r="B427" s="196" t="s">
        <v>4107</v>
      </c>
      <c r="C427" s="320" t="s">
        <v>4269</v>
      </c>
      <c r="D427" s="321" t="s">
        <v>5085</v>
      </c>
      <c r="E427" s="322" t="s">
        <v>5086</v>
      </c>
    </row>
    <row r="428" spans="1:5" ht="14.5" customHeight="1" x14ac:dyDescent="0.35">
      <c r="A428" s="196" t="str">
        <f>"13.1018"</f>
        <v>13.1018</v>
      </c>
      <c r="B428" s="196" t="s">
        <v>4107</v>
      </c>
      <c r="C428" s="320" t="s">
        <v>4269</v>
      </c>
      <c r="D428" s="321" t="s">
        <v>5087</v>
      </c>
      <c r="E428" s="322" t="s">
        <v>5088</v>
      </c>
    </row>
    <row r="429" spans="1:5" ht="14.5" customHeight="1" x14ac:dyDescent="0.35">
      <c r="A429" s="196" t="str">
        <f>"13.1019"</f>
        <v>13.1019</v>
      </c>
      <c r="B429" s="196" t="s">
        <v>4107</v>
      </c>
      <c r="C429" s="320" t="s">
        <v>4269</v>
      </c>
      <c r="D429" s="321" t="s">
        <v>5089</v>
      </c>
      <c r="E429" s="322" t="s">
        <v>5090</v>
      </c>
    </row>
    <row r="430" spans="1:5" ht="14.5" customHeight="1" x14ac:dyDescent="0.35">
      <c r="A430" s="196" t="str">
        <f>"13.1099"</f>
        <v>13.1099</v>
      </c>
      <c r="B430" s="196" t="s">
        <v>4107</v>
      </c>
      <c r="C430" s="320" t="s">
        <v>4269</v>
      </c>
      <c r="D430" s="321" t="s">
        <v>5091</v>
      </c>
      <c r="E430" s="322" t="s">
        <v>5092</v>
      </c>
    </row>
    <row r="431" spans="1:5" ht="14.5" customHeight="1" x14ac:dyDescent="0.35">
      <c r="A431" s="196" t="str">
        <f>"13.11"</f>
        <v>13.11</v>
      </c>
      <c r="B431" s="196" t="s">
        <v>4107</v>
      </c>
      <c r="C431" s="320" t="s">
        <v>4269</v>
      </c>
      <c r="D431" s="321" t="s">
        <v>5093</v>
      </c>
      <c r="E431" s="322" t="s">
        <v>5094</v>
      </c>
    </row>
    <row r="432" spans="1:5" ht="14.5" customHeight="1" x14ac:dyDescent="0.35">
      <c r="A432" s="196" t="str">
        <f>"13.1101"</f>
        <v>13.1101</v>
      </c>
      <c r="B432" s="196" t="s">
        <v>4107</v>
      </c>
      <c r="C432" s="320" t="s">
        <v>4269</v>
      </c>
      <c r="D432" s="321" t="s">
        <v>5095</v>
      </c>
      <c r="E432" s="322" t="s">
        <v>5096</v>
      </c>
    </row>
    <row r="433" spans="1:5" ht="14.5" customHeight="1" x14ac:dyDescent="0.35">
      <c r="A433" s="196" t="str">
        <f>"13.1102"</f>
        <v>13.1102</v>
      </c>
      <c r="B433" s="196" t="s">
        <v>4107</v>
      </c>
      <c r="C433" s="320" t="s">
        <v>4269</v>
      </c>
      <c r="D433" s="321" t="s">
        <v>5097</v>
      </c>
      <c r="E433" s="322" t="s">
        <v>5098</v>
      </c>
    </row>
    <row r="434" spans="1:5" ht="14.5" customHeight="1" x14ac:dyDescent="0.35">
      <c r="A434" s="196" t="str">
        <f>"13.1199"</f>
        <v>13.1199</v>
      </c>
      <c r="B434" s="196" t="s">
        <v>4107</v>
      </c>
      <c r="C434" s="320" t="s">
        <v>4269</v>
      </c>
      <c r="D434" s="321" t="s">
        <v>5099</v>
      </c>
      <c r="E434" s="322" t="s">
        <v>5100</v>
      </c>
    </row>
    <row r="435" spans="1:5" ht="14.5" customHeight="1" x14ac:dyDescent="0.35">
      <c r="A435" s="196" t="str">
        <f>"13.12"</f>
        <v>13.12</v>
      </c>
      <c r="B435" s="196" t="s">
        <v>4107</v>
      </c>
      <c r="C435" s="320" t="s">
        <v>4269</v>
      </c>
      <c r="D435" s="321" t="s">
        <v>5101</v>
      </c>
      <c r="E435" s="322" t="s">
        <v>5102</v>
      </c>
    </row>
    <row r="436" spans="1:5" ht="14.5" customHeight="1" x14ac:dyDescent="0.35">
      <c r="A436" s="196" t="str">
        <f>"13.1201"</f>
        <v>13.1201</v>
      </c>
      <c r="B436" s="196" t="s">
        <v>4107</v>
      </c>
      <c r="C436" s="320" t="s">
        <v>4269</v>
      </c>
      <c r="D436" s="321" t="s">
        <v>5103</v>
      </c>
      <c r="E436" s="322" t="s">
        <v>5104</v>
      </c>
    </row>
    <row r="437" spans="1:5" ht="14.5" customHeight="1" x14ac:dyDescent="0.35">
      <c r="A437" s="196" t="str">
        <f>"13.1202"</f>
        <v>13.1202</v>
      </c>
      <c r="B437" s="196" t="s">
        <v>4107</v>
      </c>
      <c r="C437" s="320" t="s">
        <v>4269</v>
      </c>
      <c r="D437" s="321" t="s">
        <v>5105</v>
      </c>
      <c r="E437" s="322" t="s">
        <v>5106</v>
      </c>
    </row>
    <row r="438" spans="1:5" ht="14.5" customHeight="1" x14ac:dyDescent="0.35">
      <c r="A438" s="196" t="str">
        <f>"13.1203"</f>
        <v>13.1203</v>
      </c>
      <c r="B438" s="196" t="s">
        <v>4107</v>
      </c>
      <c r="C438" s="320" t="s">
        <v>4269</v>
      </c>
      <c r="D438" s="321" t="s">
        <v>5107</v>
      </c>
      <c r="E438" s="322" t="s">
        <v>5108</v>
      </c>
    </row>
    <row r="439" spans="1:5" ht="14.5" customHeight="1" x14ac:dyDescent="0.35">
      <c r="A439" s="196" t="str">
        <f>"13.1205"</f>
        <v>13.1205</v>
      </c>
      <c r="B439" s="196" t="s">
        <v>4107</v>
      </c>
      <c r="C439" s="320" t="s">
        <v>4269</v>
      </c>
      <c r="D439" s="321" t="s">
        <v>5109</v>
      </c>
      <c r="E439" s="322" t="s">
        <v>5110</v>
      </c>
    </row>
    <row r="440" spans="1:5" ht="14.5" customHeight="1" x14ac:dyDescent="0.35">
      <c r="A440" s="196" t="str">
        <f>"13.1206"</f>
        <v>13.1206</v>
      </c>
      <c r="B440" s="196" t="s">
        <v>4107</v>
      </c>
      <c r="C440" s="320" t="s">
        <v>4269</v>
      </c>
      <c r="D440" s="321" t="s">
        <v>5111</v>
      </c>
      <c r="E440" s="322" t="s">
        <v>5112</v>
      </c>
    </row>
    <row r="441" spans="1:5" ht="14.5" customHeight="1" x14ac:dyDescent="0.35">
      <c r="A441" s="196" t="str">
        <f>"13.1207"</f>
        <v>13.1207</v>
      </c>
      <c r="B441" s="196" t="s">
        <v>4107</v>
      </c>
      <c r="C441" s="320" t="s">
        <v>4269</v>
      </c>
      <c r="D441" s="321" t="s">
        <v>5113</v>
      </c>
      <c r="E441" s="322" t="s">
        <v>5114</v>
      </c>
    </row>
    <row r="442" spans="1:5" ht="14.5" customHeight="1" x14ac:dyDescent="0.35">
      <c r="A442" s="196" t="str">
        <f>"13.1208"</f>
        <v>13.1208</v>
      </c>
      <c r="B442" s="196" t="s">
        <v>4107</v>
      </c>
      <c r="C442" s="320" t="s">
        <v>4269</v>
      </c>
      <c r="D442" s="321" t="s">
        <v>5115</v>
      </c>
      <c r="E442" s="322" t="s">
        <v>5116</v>
      </c>
    </row>
    <row r="443" spans="1:5" ht="14.5" customHeight="1" x14ac:dyDescent="0.35">
      <c r="A443" s="196" t="str">
        <f>"13.1209"</f>
        <v>13.1209</v>
      </c>
      <c r="B443" s="196" t="s">
        <v>4107</v>
      </c>
      <c r="C443" s="320" t="s">
        <v>4269</v>
      </c>
      <c r="D443" s="321" t="s">
        <v>5117</v>
      </c>
      <c r="E443" s="322" t="s">
        <v>5118</v>
      </c>
    </row>
    <row r="444" spans="1:5" ht="14.5" customHeight="1" x14ac:dyDescent="0.35">
      <c r="A444" s="196" t="str">
        <f>"13.1210"</f>
        <v>13.1210</v>
      </c>
      <c r="B444" s="196" t="s">
        <v>4107</v>
      </c>
      <c r="C444" s="320" t="s">
        <v>4269</v>
      </c>
      <c r="D444" s="321" t="s">
        <v>5119</v>
      </c>
      <c r="E444" s="322" t="s">
        <v>5120</v>
      </c>
    </row>
    <row r="445" spans="1:5" s="327" customFormat="1" ht="14.5" customHeight="1" x14ac:dyDescent="0.35">
      <c r="A445" s="323" t="str">
        <f>"13.1211"</f>
        <v>13.1211</v>
      </c>
      <c r="B445" s="323" t="s">
        <v>4297</v>
      </c>
      <c r="C445" s="324" t="s">
        <v>4269</v>
      </c>
      <c r="D445" s="325" t="s">
        <v>5121</v>
      </c>
      <c r="E445" s="326" t="s">
        <v>5122</v>
      </c>
    </row>
    <row r="446" spans="1:5" s="327" customFormat="1" ht="14.5" customHeight="1" x14ac:dyDescent="0.35">
      <c r="A446" s="323" t="str">
        <f>"13.1212"</f>
        <v>13.1212</v>
      </c>
      <c r="B446" s="323" t="s">
        <v>4297</v>
      </c>
      <c r="C446" s="324" t="s">
        <v>4269</v>
      </c>
      <c r="D446" s="325" t="s">
        <v>5123</v>
      </c>
      <c r="E446" s="326" t="s">
        <v>5124</v>
      </c>
    </row>
    <row r="447" spans="1:5" s="327" customFormat="1" ht="14.5" customHeight="1" x14ac:dyDescent="0.35">
      <c r="A447" s="323" t="str">
        <f>"13.1213"</f>
        <v>13.1213</v>
      </c>
      <c r="B447" s="323" t="s">
        <v>4297</v>
      </c>
      <c r="C447" s="324" t="s">
        <v>4269</v>
      </c>
      <c r="D447" s="325" t="s">
        <v>5125</v>
      </c>
      <c r="E447" s="326" t="s">
        <v>5126</v>
      </c>
    </row>
    <row r="448" spans="1:5" s="327" customFormat="1" ht="14.5" customHeight="1" x14ac:dyDescent="0.35">
      <c r="A448" s="323" t="str">
        <f>"13.1214"</f>
        <v>13.1214</v>
      </c>
      <c r="B448" s="323" t="s">
        <v>4297</v>
      </c>
      <c r="C448" s="324" t="s">
        <v>4269</v>
      </c>
      <c r="D448" s="325" t="s">
        <v>5127</v>
      </c>
      <c r="E448" s="326" t="s">
        <v>5128</v>
      </c>
    </row>
    <row r="449" spans="1:5" ht="14.5" customHeight="1" x14ac:dyDescent="0.35">
      <c r="A449" s="196" t="str">
        <f>"13.1299"</f>
        <v>13.1299</v>
      </c>
      <c r="B449" s="196" t="s">
        <v>4107</v>
      </c>
      <c r="C449" s="320" t="s">
        <v>4269</v>
      </c>
      <c r="D449" s="321" t="s">
        <v>5129</v>
      </c>
      <c r="E449" s="322" t="s">
        <v>5130</v>
      </c>
    </row>
    <row r="450" spans="1:5" ht="14.5" customHeight="1" x14ac:dyDescent="0.35">
      <c r="A450" s="196" t="str">
        <f>"13.13"</f>
        <v>13.13</v>
      </c>
      <c r="B450" s="196" t="s">
        <v>4107</v>
      </c>
      <c r="C450" s="320" t="s">
        <v>4269</v>
      </c>
      <c r="D450" s="321" t="s">
        <v>5131</v>
      </c>
      <c r="E450" s="322" t="s">
        <v>5132</v>
      </c>
    </row>
    <row r="451" spans="1:5" ht="14.5" customHeight="1" x14ac:dyDescent="0.35">
      <c r="A451" s="196" t="str">
        <f>"13.1301"</f>
        <v>13.1301</v>
      </c>
      <c r="B451" s="196" t="s">
        <v>4107</v>
      </c>
      <c r="C451" s="320" t="s">
        <v>4269</v>
      </c>
      <c r="D451" s="321" t="s">
        <v>5133</v>
      </c>
      <c r="E451" s="322" t="s">
        <v>5134</v>
      </c>
    </row>
    <row r="452" spans="1:5" ht="14.5" customHeight="1" x14ac:dyDescent="0.35">
      <c r="A452" s="196" t="str">
        <f>"13.1302"</f>
        <v>13.1302</v>
      </c>
      <c r="B452" s="196" t="s">
        <v>4107</v>
      </c>
      <c r="C452" s="320" t="s">
        <v>4269</v>
      </c>
      <c r="D452" s="321" t="s">
        <v>5135</v>
      </c>
      <c r="E452" s="322" t="s">
        <v>5136</v>
      </c>
    </row>
    <row r="453" spans="1:5" ht="14.5" customHeight="1" x14ac:dyDescent="0.35">
      <c r="A453" s="196" t="str">
        <f>"13.1303"</f>
        <v>13.1303</v>
      </c>
      <c r="B453" s="196" t="s">
        <v>4265</v>
      </c>
      <c r="C453" s="320" t="s">
        <v>4266</v>
      </c>
      <c r="D453" s="321" t="s">
        <v>5137</v>
      </c>
      <c r="E453" s="322" t="s">
        <v>5138</v>
      </c>
    </row>
    <row r="454" spans="1:5" ht="14.5" customHeight="1" x14ac:dyDescent="0.35">
      <c r="A454" s="196" t="str">
        <f>"13.1304"</f>
        <v>13.1304</v>
      </c>
      <c r="B454" s="196" t="s">
        <v>4107</v>
      </c>
      <c r="C454" s="320" t="s">
        <v>4269</v>
      </c>
      <c r="D454" s="321" t="s">
        <v>5139</v>
      </c>
      <c r="E454" s="322" t="s">
        <v>5140</v>
      </c>
    </row>
    <row r="455" spans="1:5" ht="14.5" customHeight="1" x14ac:dyDescent="0.35">
      <c r="A455" s="196" t="str">
        <f>"13.1305"</f>
        <v>13.1305</v>
      </c>
      <c r="B455" s="196" t="s">
        <v>4107</v>
      </c>
      <c r="C455" s="320" t="s">
        <v>4269</v>
      </c>
      <c r="D455" s="321" t="s">
        <v>5141</v>
      </c>
      <c r="E455" s="322" t="s">
        <v>5142</v>
      </c>
    </row>
    <row r="456" spans="1:5" ht="14.5" customHeight="1" x14ac:dyDescent="0.35">
      <c r="A456" s="196" t="str">
        <f>"13.1306"</f>
        <v>13.1306</v>
      </c>
      <c r="B456" s="196" t="s">
        <v>4107</v>
      </c>
      <c r="C456" s="320" t="s">
        <v>4269</v>
      </c>
      <c r="D456" s="321" t="s">
        <v>5143</v>
      </c>
      <c r="E456" s="322" t="s">
        <v>5144</v>
      </c>
    </row>
    <row r="457" spans="1:5" ht="14.5" customHeight="1" x14ac:dyDescent="0.35">
      <c r="A457" s="196" t="str">
        <f>"13.1307"</f>
        <v>13.1307</v>
      </c>
      <c r="B457" s="196" t="s">
        <v>4107</v>
      </c>
      <c r="C457" s="320" t="s">
        <v>4269</v>
      </c>
      <c r="D457" s="321" t="s">
        <v>5145</v>
      </c>
      <c r="E457" s="322" t="s">
        <v>5146</v>
      </c>
    </row>
    <row r="458" spans="1:5" ht="14.5" customHeight="1" x14ac:dyDescent="0.35">
      <c r="A458" s="196" t="str">
        <f>"13.1308"</f>
        <v>13.1308</v>
      </c>
      <c r="B458" s="196" t="s">
        <v>4107</v>
      </c>
      <c r="C458" s="320" t="s">
        <v>4269</v>
      </c>
      <c r="D458" s="321" t="s">
        <v>5147</v>
      </c>
      <c r="E458" s="322" t="s">
        <v>5148</v>
      </c>
    </row>
    <row r="459" spans="1:5" ht="14.5" customHeight="1" x14ac:dyDescent="0.35">
      <c r="A459" s="196" t="str">
        <f>"13.1309"</f>
        <v>13.1309</v>
      </c>
      <c r="B459" s="196" t="s">
        <v>4107</v>
      </c>
      <c r="C459" s="320" t="s">
        <v>4269</v>
      </c>
      <c r="D459" s="321" t="s">
        <v>5149</v>
      </c>
      <c r="E459" s="322" t="s">
        <v>5150</v>
      </c>
    </row>
    <row r="460" spans="1:5" ht="14.5" customHeight="1" x14ac:dyDescent="0.35">
      <c r="A460" s="196" t="str">
        <f>"13.1310"</f>
        <v>13.1310</v>
      </c>
      <c r="B460" s="196" t="s">
        <v>4107</v>
      </c>
      <c r="C460" s="320" t="s">
        <v>4269</v>
      </c>
      <c r="D460" s="321" t="s">
        <v>5151</v>
      </c>
      <c r="E460" s="322" t="s">
        <v>5152</v>
      </c>
    </row>
    <row r="461" spans="1:5" ht="14.5" customHeight="1" x14ac:dyDescent="0.35">
      <c r="A461" s="196" t="str">
        <f>"13.1311"</f>
        <v>13.1311</v>
      </c>
      <c r="B461" s="196" t="s">
        <v>4107</v>
      </c>
      <c r="C461" s="320" t="s">
        <v>4269</v>
      </c>
      <c r="D461" s="321" t="s">
        <v>5153</v>
      </c>
      <c r="E461" s="322" t="s">
        <v>5154</v>
      </c>
    </row>
    <row r="462" spans="1:5" ht="14.5" customHeight="1" x14ac:dyDescent="0.35">
      <c r="A462" s="196" t="str">
        <f>"13.1312"</f>
        <v>13.1312</v>
      </c>
      <c r="B462" s="196" t="s">
        <v>4107</v>
      </c>
      <c r="C462" s="320" t="s">
        <v>4269</v>
      </c>
      <c r="D462" s="321" t="s">
        <v>5155</v>
      </c>
      <c r="E462" s="322" t="s">
        <v>5156</v>
      </c>
    </row>
    <row r="463" spans="1:5" ht="14.5" customHeight="1" x14ac:dyDescent="0.35">
      <c r="A463" s="196" t="str">
        <f>"13.1314"</f>
        <v>13.1314</v>
      </c>
      <c r="B463" s="196" t="s">
        <v>4107</v>
      </c>
      <c r="C463" s="320" t="s">
        <v>4269</v>
      </c>
      <c r="D463" s="321" t="s">
        <v>5157</v>
      </c>
      <c r="E463" s="322" t="s">
        <v>5158</v>
      </c>
    </row>
    <row r="464" spans="1:5" ht="14.5" customHeight="1" x14ac:dyDescent="0.35">
      <c r="A464" s="196" t="str">
        <f>"13.1315"</f>
        <v>13.1315</v>
      </c>
      <c r="B464" s="196" t="s">
        <v>4107</v>
      </c>
      <c r="C464" s="320" t="s">
        <v>4269</v>
      </c>
      <c r="D464" s="321" t="s">
        <v>5159</v>
      </c>
      <c r="E464" s="322" t="s">
        <v>5160</v>
      </c>
    </row>
    <row r="465" spans="1:5" ht="14.5" customHeight="1" x14ac:dyDescent="0.35">
      <c r="A465" s="196" t="str">
        <f>"13.1316"</f>
        <v>13.1316</v>
      </c>
      <c r="B465" s="196" t="s">
        <v>4107</v>
      </c>
      <c r="C465" s="320" t="s">
        <v>4269</v>
      </c>
      <c r="D465" s="321" t="s">
        <v>5161</v>
      </c>
      <c r="E465" s="322" t="s">
        <v>5162</v>
      </c>
    </row>
    <row r="466" spans="1:5" ht="14.5" customHeight="1" x14ac:dyDescent="0.35">
      <c r="A466" s="196" t="str">
        <f>"13.1317"</f>
        <v>13.1317</v>
      </c>
      <c r="B466" s="196" t="s">
        <v>4107</v>
      </c>
      <c r="C466" s="320" t="s">
        <v>4269</v>
      </c>
      <c r="D466" s="321" t="s">
        <v>5163</v>
      </c>
      <c r="E466" s="322" t="s">
        <v>5164</v>
      </c>
    </row>
    <row r="467" spans="1:5" ht="14.5" customHeight="1" x14ac:dyDescent="0.35">
      <c r="A467" s="196" t="str">
        <f>"13.1318"</f>
        <v>13.1318</v>
      </c>
      <c r="B467" s="196" t="s">
        <v>4107</v>
      </c>
      <c r="C467" s="320" t="s">
        <v>4269</v>
      </c>
      <c r="D467" s="321" t="s">
        <v>5165</v>
      </c>
      <c r="E467" s="322" t="s">
        <v>5166</v>
      </c>
    </row>
    <row r="468" spans="1:5" ht="14.5" customHeight="1" x14ac:dyDescent="0.35">
      <c r="A468" s="196" t="str">
        <f>"13.1319"</f>
        <v>13.1319</v>
      </c>
      <c r="B468" s="196" t="s">
        <v>4107</v>
      </c>
      <c r="C468" s="320" t="s">
        <v>4269</v>
      </c>
      <c r="D468" s="321" t="s">
        <v>5167</v>
      </c>
      <c r="E468" s="322" t="s">
        <v>5168</v>
      </c>
    </row>
    <row r="469" spans="1:5" ht="14.5" customHeight="1" x14ac:dyDescent="0.35">
      <c r="A469" s="196" t="str">
        <f>"13.1320"</f>
        <v>13.1320</v>
      </c>
      <c r="B469" s="196" t="s">
        <v>4107</v>
      </c>
      <c r="C469" s="320" t="s">
        <v>4269</v>
      </c>
      <c r="D469" s="321" t="s">
        <v>5169</v>
      </c>
      <c r="E469" s="322" t="s">
        <v>5170</v>
      </c>
    </row>
    <row r="470" spans="1:5" ht="14.5" customHeight="1" x14ac:dyDescent="0.35">
      <c r="A470" s="196" t="str">
        <f>"13.1321"</f>
        <v>13.1321</v>
      </c>
      <c r="B470" s="196" t="s">
        <v>4107</v>
      </c>
      <c r="C470" s="320" t="s">
        <v>4269</v>
      </c>
      <c r="D470" s="321" t="s">
        <v>5171</v>
      </c>
      <c r="E470" s="322" t="s">
        <v>5172</v>
      </c>
    </row>
    <row r="471" spans="1:5" ht="14.5" customHeight="1" x14ac:dyDescent="0.35">
      <c r="A471" s="196" t="str">
        <f>"13.1322"</f>
        <v>13.1322</v>
      </c>
      <c r="B471" s="196" t="s">
        <v>4107</v>
      </c>
      <c r="C471" s="320" t="s">
        <v>4269</v>
      </c>
      <c r="D471" s="321" t="s">
        <v>5173</v>
      </c>
      <c r="E471" s="322" t="s">
        <v>5174</v>
      </c>
    </row>
    <row r="472" spans="1:5" ht="14.5" customHeight="1" x14ac:dyDescent="0.35">
      <c r="A472" s="196" t="str">
        <f>"13.1323"</f>
        <v>13.1323</v>
      </c>
      <c r="B472" s="196" t="s">
        <v>4107</v>
      </c>
      <c r="C472" s="320" t="s">
        <v>4269</v>
      </c>
      <c r="D472" s="321" t="s">
        <v>5175</v>
      </c>
      <c r="E472" s="322" t="s">
        <v>5176</v>
      </c>
    </row>
    <row r="473" spans="1:5" ht="14.5" customHeight="1" x14ac:dyDescent="0.35">
      <c r="A473" s="196" t="str">
        <f>"13.1324"</f>
        <v>13.1324</v>
      </c>
      <c r="B473" s="196" t="s">
        <v>4107</v>
      </c>
      <c r="C473" s="320" t="s">
        <v>4269</v>
      </c>
      <c r="D473" s="321" t="s">
        <v>5177</v>
      </c>
      <c r="E473" s="322" t="s">
        <v>5178</v>
      </c>
    </row>
    <row r="474" spans="1:5" ht="14.5" customHeight="1" x14ac:dyDescent="0.35">
      <c r="A474" s="196" t="str">
        <f>"13.1325"</f>
        <v>13.1325</v>
      </c>
      <c r="B474" s="196" t="s">
        <v>4107</v>
      </c>
      <c r="C474" s="320" t="s">
        <v>4269</v>
      </c>
      <c r="D474" s="321" t="s">
        <v>5179</v>
      </c>
      <c r="E474" s="322" t="s">
        <v>5180</v>
      </c>
    </row>
    <row r="475" spans="1:5" ht="14.5" customHeight="1" x14ac:dyDescent="0.35">
      <c r="A475" s="196" t="str">
        <f>"13.1326"</f>
        <v>13.1326</v>
      </c>
      <c r="B475" s="196" t="s">
        <v>4107</v>
      </c>
      <c r="C475" s="320" t="s">
        <v>4269</v>
      </c>
      <c r="D475" s="321" t="s">
        <v>5181</v>
      </c>
      <c r="E475" s="322" t="s">
        <v>5182</v>
      </c>
    </row>
    <row r="476" spans="1:5" ht="14.5" customHeight="1" x14ac:dyDescent="0.35">
      <c r="A476" s="196" t="str">
        <f>"13.1327"</f>
        <v>13.1327</v>
      </c>
      <c r="B476" s="196" t="s">
        <v>4107</v>
      </c>
      <c r="C476" s="320" t="s">
        <v>4269</v>
      </c>
      <c r="D476" s="321" t="s">
        <v>5183</v>
      </c>
      <c r="E476" s="322" t="s">
        <v>5184</v>
      </c>
    </row>
    <row r="477" spans="1:5" ht="14.5" customHeight="1" x14ac:dyDescent="0.35">
      <c r="A477" s="196" t="str">
        <f>"13.1328"</f>
        <v>13.1328</v>
      </c>
      <c r="B477" s="196" t="s">
        <v>4107</v>
      </c>
      <c r="C477" s="320" t="s">
        <v>4269</v>
      </c>
      <c r="D477" s="321" t="s">
        <v>5185</v>
      </c>
      <c r="E477" s="322" t="s">
        <v>5186</v>
      </c>
    </row>
    <row r="478" spans="1:5" ht="14.5" customHeight="1" x14ac:dyDescent="0.35">
      <c r="A478" s="196" t="str">
        <f>"13.1329"</f>
        <v>13.1329</v>
      </c>
      <c r="B478" s="196" t="s">
        <v>4107</v>
      </c>
      <c r="C478" s="320" t="s">
        <v>4269</v>
      </c>
      <c r="D478" s="321" t="s">
        <v>5187</v>
      </c>
      <c r="E478" s="322" t="s">
        <v>5188</v>
      </c>
    </row>
    <row r="479" spans="1:5" ht="14.5" customHeight="1" x14ac:dyDescent="0.35">
      <c r="A479" s="196" t="str">
        <f>"13.1330"</f>
        <v>13.1330</v>
      </c>
      <c r="B479" s="196" t="s">
        <v>4107</v>
      </c>
      <c r="C479" s="320" t="s">
        <v>4269</v>
      </c>
      <c r="D479" s="321" t="s">
        <v>5189</v>
      </c>
      <c r="E479" s="322" t="s">
        <v>5190</v>
      </c>
    </row>
    <row r="480" spans="1:5" ht="14.5" customHeight="1" x14ac:dyDescent="0.35">
      <c r="A480" s="196" t="str">
        <f>"13.1331"</f>
        <v>13.1331</v>
      </c>
      <c r="B480" s="196" t="s">
        <v>4107</v>
      </c>
      <c r="C480" s="320" t="s">
        <v>4269</v>
      </c>
      <c r="D480" s="321" t="s">
        <v>5191</v>
      </c>
      <c r="E480" s="322" t="s">
        <v>5192</v>
      </c>
    </row>
    <row r="481" spans="1:5" ht="14.5" customHeight="1" x14ac:dyDescent="0.35">
      <c r="A481" s="196" t="str">
        <f>"13.1332"</f>
        <v>13.1332</v>
      </c>
      <c r="B481" s="196" t="s">
        <v>4107</v>
      </c>
      <c r="C481" s="320" t="s">
        <v>4269</v>
      </c>
      <c r="D481" s="321" t="s">
        <v>5193</v>
      </c>
      <c r="E481" s="322" t="s">
        <v>5194</v>
      </c>
    </row>
    <row r="482" spans="1:5" ht="14.5" customHeight="1" x14ac:dyDescent="0.35">
      <c r="A482" s="196" t="str">
        <f>"13.1333"</f>
        <v>13.1333</v>
      </c>
      <c r="B482" s="196" t="s">
        <v>4107</v>
      </c>
      <c r="C482" s="320" t="s">
        <v>4269</v>
      </c>
      <c r="D482" s="321" t="s">
        <v>5195</v>
      </c>
      <c r="E482" s="322" t="s">
        <v>5196</v>
      </c>
    </row>
    <row r="483" spans="1:5" ht="14.5" customHeight="1" x14ac:dyDescent="0.35">
      <c r="A483" s="196" t="str">
        <f>"13.1334"</f>
        <v>13.1334</v>
      </c>
      <c r="B483" s="196" t="s">
        <v>4107</v>
      </c>
      <c r="C483" s="320" t="s">
        <v>4269</v>
      </c>
      <c r="D483" s="321" t="s">
        <v>5197</v>
      </c>
      <c r="E483" s="322" t="s">
        <v>5198</v>
      </c>
    </row>
    <row r="484" spans="1:5" ht="14.5" customHeight="1" x14ac:dyDescent="0.35">
      <c r="A484" s="196" t="str">
        <f>"13.1335"</f>
        <v>13.1335</v>
      </c>
      <c r="B484" s="196" t="s">
        <v>4107</v>
      </c>
      <c r="C484" s="320" t="s">
        <v>4269</v>
      </c>
      <c r="D484" s="321" t="s">
        <v>5199</v>
      </c>
      <c r="E484" s="322" t="s">
        <v>5200</v>
      </c>
    </row>
    <row r="485" spans="1:5" ht="14.5" customHeight="1" x14ac:dyDescent="0.35">
      <c r="A485" s="196" t="str">
        <f>"13.1337"</f>
        <v>13.1337</v>
      </c>
      <c r="B485" s="196" t="s">
        <v>4107</v>
      </c>
      <c r="C485" s="320" t="s">
        <v>4269</v>
      </c>
      <c r="D485" s="321" t="s">
        <v>5201</v>
      </c>
      <c r="E485" s="322" t="s">
        <v>5202</v>
      </c>
    </row>
    <row r="486" spans="1:5" ht="14.5" customHeight="1" x14ac:dyDescent="0.35">
      <c r="A486" s="196" t="str">
        <f>"13.1338"</f>
        <v>13.1338</v>
      </c>
      <c r="B486" s="196" t="s">
        <v>4107</v>
      </c>
      <c r="C486" s="320" t="s">
        <v>4269</v>
      </c>
      <c r="D486" s="321" t="s">
        <v>5203</v>
      </c>
      <c r="E486" s="322" t="s">
        <v>5204</v>
      </c>
    </row>
    <row r="487" spans="1:5" s="327" customFormat="1" ht="14.5" customHeight="1" x14ac:dyDescent="0.35">
      <c r="A487" s="323" t="str">
        <f>"13.1339"</f>
        <v>13.1339</v>
      </c>
      <c r="B487" s="323" t="s">
        <v>4297</v>
      </c>
      <c r="C487" s="324" t="s">
        <v>4269</v>
      </c>
      <c r="D487" s="325" t="s">
        <v>5205</v>
      </c>
      <c r="E487" s="326" t="s">
        <v>5206</v>
      </c>
    </row>
    <row r="488" spans="1:5" ht="14.5" customHeight="1" x14ac:dyDescent="0.35">
      <c r="A488" s="196" t="str">
        <f>"13.1399"</f>
        <v>13.1399</v>
      </c>
      <c r="B488" s="196" t="s">
        <v>4107</v>
      </c>
      <c r="C488" s="320" t="s">
        <v>4269</v>
      </c>
      <c r="D488" s="321" t="s">
        <v>5207</v>
      </c>
      <c r="E488" s="322" t="s">
        <v>5208</v>
      </c>
    </row>
    <row r="489" spans="1:5" ht="14.5" customHeight="1" x14ac:dyDescent="0.35">
      <c r="A489" s="196" t="str">
        <f>"13.14"</f>
        <v>13.14</v>
      </c>
      <c r="B489" s="196" t="s">
        <v>4107</v>
      </c>
      <c r="C489" s="320" t="s">
        <v>4269</v>
      </c>
      <c r="D489" s="321" t="s">
        <v>5209</v>
      </c>
      <c r="E489" s="322" t="s">
        <v>5210</v>
      </c>
    </row>
    <row r="490" spans="1:5" ht="14.5" customHeight="1" x14ac:dyDescent="0.35">
      <c r="A490" s="196" t="str">
        <f>"13.1401"</f>
        <v>13.1401</v>
      </c>
      <c r="B490" s="196" t="s">
        <v>4107</v>
      </c>
      <c r="C490" s="320" t="s">
        <v>4269</v>
      </c>
      <c r="D490" s="321" t="s">
        <v>5211</v>
      </c>
      <c r="E490" s="322" t="s">
        <v>5212</v>
      </c>
    </row>
    <row r="491" spans="1:5" ht="14.5" customHeight="1" x14ac:dyDescent="0.35">
      <c r="A491" s="196" t="str">
        <f>"13.1402"</f>
        <v>13.1402</v>
      </c>
      <c r="B491" s="196" t="s">
        <v>4107</v>
      </c>
      <c r="C491" s="320" t="s">
        <v>4269</v>
      </c>
      <c r="D491" s="321" t="s">
        <v>5213</v>
      </c>
      <c r="E491" s="322" t="s">
        <v>5214</v>
      </c>
    </row>
    <row r="492" spans="1:5" ht="14.5" customHeight="1" x14ac:dyDescent="0.35">
      <c r="A492" s="196" t="str">
        <f>"13.1499"</f>
        <v>13.1499</v>
      </c>
      <c r="B492" s="196" t="s">
        <v>4107</v>
      </c>
      <c r="C492" s="320" t="s">
        <v>4269</v>
      </c>
      <c r="D492" s="321" t="s">
        <v>5215</v>
      </c>
      <c r="E492" s="322" t="s">
        <v>5216</v>
      </c>
    </row>
    <row r="493" spans="1:5" ht="14.5" customHeight="1" x14ac:dyDescent="0.35">
      <c r="A493" s="196" t="str">
        <f>"13.15"</f>
        <v>13.15</v>
      </c>
      <c r="B493" s="196" t="s">
        <v>4107</v>
      </c>
      <c r="C493" s="320" t="s">
        <v>4269</v>
      </c>
      <c r="D493" s="321" t="s">
        <v>5217</v>
      </c>
      <c r="E493" s="322" t="s">
        <v>5218</v>
      </c>
    </row>
    <row r="494" spans="1:5" ht="14.5" customHeight="1" x14ac:dyDescent="0.35">
      <c r="A494" s="196" t="str">
        <f>"13.1501"</f>
        <v>13.1501</v>
      </c>
      <c r="B494" s="196" t="s">
        <v>4107</v>
      </c>
      <c r="C494" s="320" t="s">
        <v>4269</v>
      </c>
      <c r="D494" s="321" t="s">
        <v>5219</v>
      </c>
      <c r="E494" s="322" t="s">
        <v>5220</v>
      </c>
    </row>
    <row r="495" spans="1:5" ht="14.5" customHeight="1" x14ac:dyDescent="0.35">
      <c r="A495" s="196" t="str">
        <f>"13.1502"</f>
        <v>13.1502</v>
      </c>
      <c r="B495" s="196" t="s">
        <v>4107</v>
      </c>
      <c r="C495" s="320" t="s">
        <v>4269</v>
      </c>
      <c r="D495" s="321" t="s">
        <v>5221</v>
      </c>
      <c r="E495" s="322" t="s">
        <v>5222</v>
      </c>
    </row>
    <row r="496" spans="1:5" ht="14.5" customHeight="1" x14ac:dyDescent="0.35">
      <c r="A496" s="196" t="str">
        <f>"13.1599"</f>
        <v>13.1599</v>
      </c>
      <c r="B496" s="196" t="s">
        <v>4107</v>
      </c>
      <c r="C496" s="320" t="s">
        <v>4269</v>
      </c>
      <c r="D496" s="321" t="s">
        <v>5223</v>
      </c>
      <c r="E496" s="322" t="s">
        <v>5224</v>
      </c>
    </row>
    <row r="497" spans="1:5" ht="14.5" customHeight="1" x14ac:dyDescent="0.35">
      <c r="A497" s="196" t="str">
        <f>"13.99"</f>
        <v>13.99</v>
      </c>
      <c r="B497" s="196" t="s">
        <v>4107</v>
      </c>
      <c r="C497" s="320" t="s">
        <v>4269</v>
      </c>
      <c r="D497" s="321" t="s">
        <v>5225</v>
      </c>
      <c r="E497" s="322" t="s">
        <v>5226</v>
      </c>
    </row>
    <row r="498" spans="1:5" ht="14.5" customHeight="1" x14ac:dyDescent="0.35">
      <c r="A498" s="196" t="str">
        <f>"13.9999"</f>
        <v>13.9999</v>
      </c>
      <c r="B498" s="196" t="s">
        <v>4107</v>
      </c>
      <c r="C498" s="320" t="s">
        <v>4269</v>
      </c>
      <c r="D498" s="321" t="s">
        <v>5225</v>
      </c>
      <c r="E498" s="322" t="s">
        <v>5227</v>
      </c>
    </row>
    <row r="499" spans="1:5" ht="14.5" customHeight="1" x14ac:dyDescent="0.35">
      <c r="A499" s="196" t="str">
        <f>"14"</f>
        <v>14</v>
      </c>
      <c r="B499" s="196" t="s">
        <v>4107</v>
      </c>
      <c r="C499" s="320" t="s">
        <v>4269</v>
      </c>
      <c r="D499" s="321" t="s">
        <v>5228</v>
      </c>
      <c r="E499" s="322" t="s">
        <v>5229</v>
      </c>
    </row>
    <row r="500" spans="1:5" ht="14.5" customHeight="1" x14ac:dyDescent="0.35">
      <c r="A500" s="196" t="str">
        <f>"14.01"</f>
        <v>14.01</v>
      </c>
      <c r="B500" s="196" t="s">
        <v>4107</v>
      </c>
      <c r="C500" s="320" t="s">
        <v>4269</v>
      </c>
      <c r="D500" s="321" t="s">
        <v>5230</v>
      </c>
      <c r="E500" s="322" t="s">
        <v>5231</v>
      </c>
    </row>
    <row r="501" spans="1:5" ht="14.5" customHeight="1" x14ac:dyDescent="0.35">
      <c r="A501" s="196" t="str">
        <f>"14.0101"</f>
        <v>14.0101</v>
      </c>
      <c r="B501" s="196" t="s">
        <v>4107</v>
      </c>
      <c r="C501" s="320" t="s">
        <v>4269</v>
      </c>
      <c r="D501" s="321" t="s">
        <v>5230</v>
      </c>
      <c r="E501" s="322" t="s">
        <v>5232</v>
      </c>
    </row>
    <row r="502" spans="1:5" ht="14.5" customHeight="1" x14ac:dyDescent="0.35">
      <c r="A502" s="196" t="str">
        <f>"14.0102"</f>
        <v>14.0102</v>
      </c>
      <c r="B502" s="196" t="s">
        <v>4107</v>
      </c>
      <c r="C502" s="320" t="s">
        <v>4269</v>
      </c>
      <c r="D502" s="321" t="s">
        <v>5233</v>
      </c>
      <c r="E502" s="322" t="s">
        <v>5234</v>
      </c>
    </row>
    <row r="503" spans="1:5" s="327" customFormat="1" ht="14.5" customHeight="1" x14ac:dyDescent="0.35">
      <c r="A503" s="323" t="str">
        <f>"14.0103"</f>
        <v>14.0103</v>
      </c>
      <c r="B503" s="323" t="s">
        <v>4297</v>
      </c>
      <c r="C503" s="324" t="s">
        <v>4269</v>
      </c>
      <c r="D503" s="325" t="s">
        <v>5235</v>
      </c>
      <c r="E503" s="326" t="s">
        <v>5236</v>
      </c>
    </row>
    <row r="504" spans="1:5" ht="14.5" customHeight="1" x14ac:dyDescent="0.35">
      <c r="A504" s="196" t="str">
        <f>"14.02"</f>
        <v>14.02</v>
      </c>
      <c r="B504" s="196" t="s">
        <v>4265</v>
      </c>
      <c r="C504" s="320" t="s">
        <v>4266</v>
      </c>
      <c r="D504" s="321" t="s">
        <v>5237</v>
      </c>
      <c r="E504" s="322" t="s">
        <v>5238</v>
      </c>
    </row>
    <row r="505" spans="1:5" ht="14.5" customHeight="1" x14ac:dyDescent="0.35">
      <c r="A505" s="196" t="str">
        <f>"14.0201"</f>
        <v>14.0201</v>
      </c>
      <c r="B505" s="196" t="s">
        <v>4265</v>
      </c>
      <c r="C505" s="320" t="s">
        <v>4266</v>
      </c>
      <c r="D505" s="321" t="s">
        <v>5239</v>
      </c>
      <c r="E505" s="322" t="s">
        <v>5240</v>
      </c>
    </row>
    <row r="506" spans="1:5" s="327" customFormat="1" ht="14.5" customHeight="1" x14ac:dyDescent="0.35">
      <c r="A506" s="323" t="str">
        <f>"14.0202"</f>
        <v>14.0202</v>
      </c>
      <c r="B506" s="323" t="s">
        <v>4297</v>
      </c>
      <c r="C506" s="324" t="s">
        <v>4269</v>
      </c>
      <c r="D506" s="325" t="s">
        <v>5241</v>
      </c>
      <c r="E506" s="326" t="s">
        <v>5242</v>
      </c>
    </row>
    <row r="507" spans="1:5" s="327" customFormat="1" ht="14.5" customHeight="1" x14ac:dyDescent="0.35">
      <c r="A507" s="323" t="str">
        <f>"14.0299"</f>
        <v>14.0299</v>
      </c>
      <c r="B507" s="323" t="s">
        <v>4297</v>
      </c>
      <c r="C507" s="324" t="s">
        <v>4269</v>
      </c>
      <c r="D507" s="325" t="s">
        <v>5243</v>
      </c>
      <c r="E507" s="326" t="s">
        <v>5244</v>
      </c>
    </row>
    <row r="508" spans="1:5" ht="14.5" customHeight="1" x14ac:dyDescent="0.35">
      <c r="A508" s="196" t="str">
        <f>"14.03"</f>
        <v>14.03</v>
      </c>
      <c r="B508" s="196" t="s">
        <v>4107</v>
      </c>
      <c r="C508" s="320" t="s">
        <v>4269</v>
      </c>
      <c r="D508" s="321" t="s">
        <v>5245</v>
      </c>
      <c r="E508" s="322" t="s">
        <v>5246</v>
      </c>
    </row>
    <row r="509" spans="1:5" ht="14.5" customHeight="1" x14ac:dyDescent="0.35">
      <c r="A509" s="196" t="str">
        <f>"14.0301"</f>
        <v>14.0301</v>
      </c>
      <c r="B509" s="196" t="s">
        <v>4107</v>
      </c>
      <c r="C509" s="320" t="s">
        <v>4269</v>
      </c>
      <c r="D509" s="321" t="s">
        <v>5245</v>
      </c>
      <c r="E509" s="322" t="s">
        <v>5247</v>
      </c>
    </row>
    <row r="510" spans="1:5" ht="14.5" customHeight="1" x14ac:dyDescent="0.35">
      <c r="A510" s="196" t="str">
        <f>"14.04"</f>
        <v>14.04</v>
      </c>
      <c r="B510" s="196" t="s">
        <v>4107</v>
      </c>
      <c r="C510" s="320" t="s">
        <v>4269</v>
      </c>
      <c r="D510" s="321" t="s">
        <v>5248</v>
      </c>
      <c r="E510" s="322" t="s">
        <v>5249</v>
      </c>
    </row>
    <row r="511" spans="1:5" ht="14.5" customHeight="1" x14ac:dyDescent="0.35">
      <c r="A511" s="196" t="str">
        <f>"14.0401"</f>
        <v>14.0401</v>
      </c>
      <c r="B511" s="196" t="s">
        <v>4107</v>
      </c>
      <c r="C511" s="320" t="s">
        <v>4269</v>
      </c>
      <c r="D511" s="321" t="s">
        <v>5248</v>
      </c>
      <c r="E511" s="322" t="s">
        <v>5250</v>
      </c>
    </row>
    <row r="512" spans="1:5" ht="14.5" customHeight="1" x14ac:dyDescent="0.35">
      <c r="A512" s="196" t="str">
        <f>"14.05"</f>
        <v>14.05</v>
      </c>
      <c r="B512" s="196" t="s">
        <v>4107</v>
      </c>
      <c r="C512" s="320" t="s">
        <v>4269</v>
      </c>
      <c r="D512" s="321" t="s">
        <v>5251</v>
      </c>
      <c r="E512" s="322" t="s">
        <v>5252</v>
      </c>
    </row>
    <row r="513" spans="1:5" ht="14.5" customHeight="1" x14ac:dyDescent="0.35">
      <c r="A513" s="196" t="str">
        <f>"14.0501"</f>
        <v>14.0501</v>
      </c>
      <c r="B513" s="196" t="s">
        <v>4107</v>
      </c>
      <c r="C513" s="320" t="s">
        <v>4269</v>
      </c>
      <c r="D513" s="321" t="s">
        <v>5253</v>
      </c>
      <c r="E513" s="322" t="s">
        <v>5254</v>
      </c>
    </row>
    <row r="514" spans="1:5" ht="14.5" customHeight="1" x14ac:dyDescent="0.35">
      <c r="A514" s="196" t="str">
        <f>"14.06"</f>
        <v>14.06</v>
      </c>
      <c r="B514" s="196" t="s">
        <v>4107</v>
      </c>
      <c r="C514" s="320" t="s">
        <v>4269</v>
      </c>
      <c r="D514" s="321" t="s">
        <v>5255</v>
      </c>
      <c r="E514" s="322" t="s">
        <v>5256</v>
      </c>
    </row>
    <row r="515" spans="1:5" ht="14.5" customHeight="1" x14ac:dyDescent="0.35">
      <c r="A515" s="196" t="str">
        <f>"14.0601"</f>
        <v>14.0601</v>
      </c>
      <c r="B515" s="196" t="s">
        <v>4107</v>
      </c>
      <c r="C515" s="320" t="s">
        <v>4269</v>
      </c>
      <c r="D515" s="321" t="s">
        <v>5255</v>
      </c>
      <c r="E515" s="322" t="s">
        <v>5257</v>
      </c>
    </row>
    <row r="516" spans="1:5" ht="14.5" customHeight="1" x14ac:dyDescent="0.35">
      <c r="A516" s="196" t="str">
        <f>"14.07"</f>
        <v>14.07</v>
      </c>
      <c r="B516" s="196" t="s">
        <v>4107</v>
      </c>
      <c r="C516" s="320" t="s">
        <v>4269</v>
      </c>
      <c r="D516" s="321" t="s">
        <v>5258</v>
      </c>
      <c r="E516" s="322" t="s">
        <v>5259</v>
      </c>
    </row>
    <row r="517" spans="1:5" ht="14.5" customHeight="1" x14ac:dyDescent="0.35">
      <c r="A517" s="196" t="str">
        <f>"14.0701"</f>
        <v>14.0701</v>
      </c>
      <c r="B517" s="196" t="s">
        <v>4107</v>
      </c>
      <c r="C517" s="320" t="s">
        <v>4269</v>
      </c>
      <c r="D517" s="321" t="s">
        <v>5258</v>
      </c>
      <c r="E517" s="322" t="s">
        <v>5260</v>
      </c>
    </row>
    <row r="518" spans="1:5" ht="14.5" customHeight="1" x14ac:dyDescent="0.35">
      <c r="A518" s="196" t="str">
        <f>"14.0702"</f>
        <v>14.0702</v>
      </c>
      <c r="B518" s="196" t="s">
        <v>4107</v>
      </c>
      <c r="C518" s="320" t="s">
        <v>4269</v>
      </c>
      <c r="D518" s="321" t="s">
        <v>5261</v>
      </c>
      <c r="E518" s="322" t="s">
        <v>5262</v>
      </c>
    </row>
    <row r="519" spans="1:5" ht="14.5" customHeight="1" x14ac:dyDescent="0.35">
      <c r="A519" s="196" t="str">
        <f>"14.0799"</f>
        <v>14.0799</v>
      </c>
      <c r="B519" s="196" t="s">
        <v>4107</v>
      </c>
      <c r="C519" s="320" t="s">
        <v>4269</v>
      </c>
      <c r="D519" s="321" t="s">
        <v>5263</v>
      </c>
      <c r="E519" s="322" t="s">
        <v>5264</v>
      </c>
    </row>
    <row r="520" spans="1:5" ht="14.5" customHeight="1" x14ac:dyDescent="0.35">
      <c r="A520" s="196" t="str">
        <f>"14.08"</f>
        <v>14.08</v>
      </c>
      <c r="B520" s="196" t="s">
        <v>4107</v>
      </c>
      <c r="C520" s="320" t="s">
        <v>4269</v>
      </c>
      <c r="D520" s="321" t="s">
        <v>5265</v>
      </c>
      <c r="E520" s="322" t="s">
        <v>5266</v>
      </c>
    </row>
    <row r="521" spans="1:5" ht="14.5" customHeight="1" x14ac:dyDescent="0.35">
      <c r="A521" s="196" t="str">
        <f>"14.0801"</f>
        <v>14.0801</v>
      </c>
      <c r="B521" s="196" t="s">
        <v>4107</v>
      </c>
      <c r="C521" s="320" t="s">
        <v>4269</v>
      </c>
      <c r="D521" s="321" t="s">
        <v>5267</v>
      </c>
      <c r="E521" s="322" t="s">
        <v>5268</v>
      </c>
    </row>
    <row r="522" spans="1:5" ht="14.5" customHeight="1" x14ac:dyDescent="0.35">
      <c r="A522" s="196" t="str">
        <f>"14.0802"</f>
        <v>14.0802</v>
      </c>
      <c r="B522" s="196" t="s">
        <v>4107</v>
      </c>
      <c r="C522" s="320" t="s">
        <v>4269</v>
      </c>
      <c r="D522" s="321" t="s">
        <v>5269</v>
      </c>
      <c r="E522" s="322" t="s">
        <v>5270</v>
      </c>
    </row>
    <row r="523" spans="1:5" ht="14.5" customHeight="1" x14ac:dyDescent="0.35">
      <c r="A523" s="196" t="str">
        <f>"14.0803"</f>
        <v>14.0803</v>
      </c>
      <c r="B523" s="196" t="s">
        <v>4107</v>
      </c>
      <c r="C523" s="320" t="s">
        <v>4269</v>
      </c>
      <c r="D523" s="321" t="s">
        <v>5271</v>
      </c>
      <c r="E523" s="322" t="s">
        <v>5272</v>
      </c>
    </row>
    <row r="524" spans="1:5" ht="14.5" customHeight="1" x14ac:dyDescent="0.35">
      <c r="A524" s="196" t="str">
        <f>"14.0804"</f>
        <v>14.0804</v>
      </c>
      <c r="B524" s="196" t="s">
        <v>4107</v>
      </c>
      <c r="C524" s="320" t="s">
        <v>4269</v>
      </c>
      <c r="D524" s="321" t="s">
        <v>5273</v>
      </c>
      <c r="E524" s="322" t="s">
        <v>5274</v>
      </c>
    </row>
    <row r="525" spans="1:5" ht="14.5" customHeight="1" x14ac:dyDescent="0.35">
      <c r="A525" s="196" t="str">
        <f>"14.0805"</f>
        <v>14.0805</v>
      </c>
      <c r="B525" s="196" t="s">
        <v>4107</v>
      </c>
      <c r="C525" s="320" t="s">
        <v>4269</v>
      </c>
      <c r="D525" s="321" t="s">
        <v>5275</v>
      </c>
      <c r="E525" s="322" t="s">
        <v>5276</v>
      </c>
    </row>
    <row r="526" spans="1:5" ht="14.5" customHeight="1" x14ac:dyDescent="0.35">
      <c r="A526" s="196" t="str">
        <f>"14.0899"</f>
        <v>14.0899</v>
      </c>
      <c r="B526" s="196" t="s">
        <v>4107</v>
      </c>
      <c r="C526" s="320" t="s">
        <v>4269</v>
      </c>
      <c r="D526" s="321" t="s">
        <v>5277</v>
      </c>
      <c r="E526" s="322" t="s">
        <v>5278</v>
      </c>
    </row>
    <row r="527" spans="1:5" ht="14.5" customHeight="1" x14ac:dyDescent="0.35">
      <c r="A527" s="196" t="str">
        <f>"14.09"</f>
        <v>14.09</v>
      </c>
      <c r="B527" s="196" t="s">
        <v>4107</v>
      </c>
      <c r="C527" s="320" t="s">
        <v>4269</v>
      </c>
      <c r="D527" s="321" t="s">
        <v>5279</v>
      </c>
      <c r="E527" s="322" t="s">
        <v>5280</v>
      </c>
    </row>
    <row r="528" spans="1:5" ht="14.5" customHeight="1" x14ac:dyDescent="0.35">
      <c r="A528" s="196" t="str">
        <f>"14.0901"</f>
        <v>14.0901</v>
      </c>
      <c r="B528" s="196" t="s">
        <v>4107</v>
      </c>
      <c r="C528" s="320" t="s">
        <v>4269</v>
      </c>
      <c r="D528" s="321" t="s">
        <v>5281</v>
      </c>
      <c r="E528" s="322" t="s">
        <v>5282</v>
      </c>
    </row>
    <row r="529" spans="1:5" ht="14.5" customHeight="1" x14ac:dyDescent="0.35">
      <c r="A529" s="196" t="str">
        <f>"14.0902"</f>
        <v>14.0902</v>
      </c>
      <c r="B529" s="196" t="s">
        <v>4107</v>
      </c>
      <c r="C529" s="320" t="s">
        <v>4269</v>
      </c>
      <c r="D529" s="321" t="s">
        <v>5283</v>
      </c>
      <c r="E529" s="322" t="s">
        <v>5284</v>
      </c>
    </row>
    <row r="530" spans="1:5" ht="14.5" customHeight="1" x14ac:dyDescent="0.35">
      <c r="A530" s="196" t="str">
        <f>"14.0903"</f>
        <v>14.0903</v>
      </c>
      <c r="B530" s="196" t="s">
        <v>4107</v>
      </c>
      <c r="C530" s="320" t="s">
        <v>4269</v>
      </c>
      <c r="D530" s="321" t="s">
        <v>5285</v>
      </c>
      <c r="E530" s="322" t="s">
        <v>5286</v>
      </c>
    </row>
    <row r="531" spans="1:5" ht="14.5" customHeight="1" x14ac:dyDescent="0.35">
      <c r="A531" s="196" t="str">
        <f>"14.0999"</f>
        <v>14.0999</v>
      </c>
      <c r="B531" s="196" t="s">
        <v>4107</v>
      </c>
      <c r="C531" s="320" t="s">
        <v>4269</v>
      </c>
      <c r="D531" s="321" t="s">
        <v>5287</v>
      </c>
      <c r="E531" s="322" t="s">
        <v>5288</v>
      </c>
    </row>
    <row r="532" spans="1:5" ht="14.5" customHeight="1" x14ac:dyDescent="0.35">
      <c r="A532" s="196" t="str">
        <f>"14.10"</f>
        <v>14.10</v>
      </c>
      <c r="B532" s="196" t="s">
        <v>4107</v>
      </c>
      <c r="C532" s="320" t="s">
        <v>4269</v>
      </c>
      <c r="D532" s="321" t="s">
        <v>5289</v>
      </c>
      <c r="E532" s="322" t="s">
        <v>5290</v>
      </c>
    </row>
    <row r="533" spans="1:5" ht="14.5" customHeight="1" x14ac:dyDescent="0.35">
      <c r="A533" s="196" t="str">
        <f>"14.1001"</f>
        <v>14.1001</v>
      </c>
      <c r="B533" s="196" t="s">
        <v>4107</v>
      </c>
      <c r="C533" s="320" t="s">
        <v>4269</v>
      </c>
      <c r="D533" s="321" t="s">
        <v>5291</v>
      </c>
      <c r="E533" s="322" t="s">
        <v>5292</v>
      </c>
    </row>
    <row r="534" spans="1:5" ht="14.5" customHeight="1" x14ac:dyDescent="0.35">
      <c r="A534" s="196" t="str">
        <f>"14.1003"</f>
        <v>14.1003</v>
      </c>
      <c r="B534" s="196" t="s">
        <v>4107</v>
      </c>
      <c r="C534" s="320" t="s">
        <v>4269</v>
      </c>
      <c r="D534" s="321" t="s">
        <v>5293</v>
      </c>
      <c r="E534" s="322" t="s">
        <v>5294</v>
      </c>
    </row>
    <row r="535" spans="1:5" ht="14.5" customHeight="1" x14ac:dyDescent="0.35">
      <c r="A535" s="196" t="str">
        <f>"14.1004"</f>
        <v>14.1004</v>
      </c>
      <c r="B535" s="196" t="s">
        <v>4107</v>
      </c>
      <c r="C535" s="320" t="s">
        <v>4269</v>
      </c>
      <c r="D535" s="321" t="s">
        <v>5295</v>
      </c>
      <c r="E535" s="322" t="s">
        <v>5296</v>
      </c>
    </row>
    <row r="536" spans="1:5" ht="14.5" customHeight="1" x14ac:dyDescent="0.35">
      <c r="A536" s="196" t="str">
        <f>"14.1099"</f>
        <v>14.1099</v>
      </c>
      <c r="B536" s="196" t="s">
        <v>4107</v>
      </c>
      <c r="C536" s="320" t="s">
        <v>4269</v>
      </c>
      <c r="D536" s="321" t="s">
        <v>5297</v>
      </c>
      <c r="E536" s="322" t="s">
        <v>5298</v>
      </c>
    </row>
    <row r="537" spans="1:5" ht="14.5" customHeight="1" x14ac:dyDescent="0.35">
      <c r="A537" s="196" t="str">
        <f>"14.11"</f>
        <v>14.11</v>
      </c>
      <c r="B537" s="196" t="s">
        <v>4107</v>
      </c>
      <c r="C537" s="320" t="s">
        <v>4269</v>
      </c>
      <c r="D537" s="321" t="s">
        <v>5299</v>
      </c>
      <c r="E537" s="322" t="s">
        <v>5300</v>
      </c>
    </row>
    <row r="538" spans="1:5" ht="14.5" customHeight="1" x14ac:dyDescent="0.35">
      <c r="A538" s="196" t="str">
        <f>"14.1101"</f>
        <v>14.1101</v>
      </c>
      <c r="B538" s="196" t="s">
        <v>4107</v>
      </c>
      <c r="C538" s="320" t="s">
        <v>4269</v>
      </c>
      <c r="D538" s="321" t="s">
        <v>5299</v>
      </c>
      <c r="E538" s="322" t="s">
        <v>5301</v>
      </c>
    </row>
    <row r="539" spans="1:5" ht="14.5" customHeight="1" x14ac:dyDescent="0.35">
      <c r="A539" s="196" t="str">
        <f>"14.12"</f>
        <v>14.12</v>
      </c>
      <c r="B539" s="196" t="s">
        <v>4107</v>
      </c>
      <c r="C539" s="320" t="s">
        <v>4269</v>
      </c>
      <c r="D539" s="321" t="s">
        <v>5302</v>
      </c>
      <c r="E539" s="322" t="s">
        <v>5303</v>
      </c>
    </row>
    <row r="540" spans="1:5" ht="14.5" customHeight="1" x14ac:dyDescent="0.35">
      <c r="A540" s="196" t="str">
        <f>"14.1201"</f>
        <v>14.1201</v>
      </c>
      <c r="B540" s="196" t="s">
        <v>4107</v>
      </c>
      <c r="C540" s="320" t="s">
        <v>4269</v>
      </c>
      <c r="D540" s="321" t="s">
        <v>5304</v>
      </c>
      <c r="E540" s="322" t="s">
        <v>5305</v>
      </c>
    </row>
    <row r="541" spans="1:5" ht="14.5" customHeight="1" x14ac:dyDescent="0.35">
      <c r="A541" s="196" t="str">
        <f>"14.13"</f>
        <v>14.13</v>
      </c>
      <c r="B541" s="196" t="s">
        <v>4107</v>
      </c>
      <c r="C541" s="320" t="s">
        <v>4269</v>
      </c>
      <c r="D541" s="321" t="s">
        <v>5306</v>
      </c>
      <c r="E541" s="322" t="s">
        <v>5307</v>
      </c>
    </row>
    <row r="542" spans="1:5" ht="14.5" customHeight="1" x14ac:dyDescent="0.35">
      <c r="A542" s="196" t="str">
        <f>"14.1301"</f>
        <v>14.1301</v>
      </c>
      <c r="B542" s="196" t="s">
        <v>4265</v>
      </c>
      <c r="C542" s="320" t="s">
        <v>4266</v>
      </c>
      <c r="D542" s="321" t="s">
        <v>5306</v>
      </c>
      <c r="E542" s="322" t="s">
        <v>5308</v>
      </c>
    </row>
    <row r="543" spans="1:5" ht="14.5" customHeight="1" x14ac:dyDescent="0.35">
      <c r="A543" s="196" t="str">
        <f>"14.14"</f>
        <v>14.14</v>
      </c>
      <c r="B543" s="196" t="s">
        <v>4107</v>
      </c>
      <c r="C543" s="320" t="s">
        <v>4269</v>
      </c>
      <c r="D543" s="321" t="s">
        <v>5309</v>
      </c>
      <c r="E543" s="322" t="s">
        <v>5310</v>
      </c>
    </row>
    <row r="544" spans="1:5" ht="14.5" customHeight="1" x14ac:dyDescent="0.35">
      <c r="A544" s="196" t="str">
        <f>"14.1401"</f>
        <v>14.1401</v>
      </c>
      <c r="B544" s="196" t="s">
        <v>4107</v>
      </c>
      <c r="C544" s="320" t="s">
        <v>4269</v>
      </c>
      <c r="D544" s="321" t="s">
        <v>5309</v>
      </c>
      <c r="E544" s="322" t="s">
        <v>5311</v>
      </c>
    </row>
    <row r="545" spans="1:5" ht="14.5" customHeight="1" x14ac:dyDescent="0.35">
      <c r="A545" s="196" t="str">
        <f>"14.18"</f>
        <v>14.18</v>
      </c>
      <c r="B545" s="196" t="s">
        <v>4265</v>
      </c>
      <c r="C545" s="320" t="s">
        <v>4266</v>
      </c>
      <c r="D545" s="321" t="s">
        <v>5312</v>
      </c>
      <c r="E545" s="322" t="s">
        <v>5313</v>
      </c>
    </row>
    <row r="546" spans="1:5" ht="14.5" customHeight="1" x14ac:dyDescent="0.35">
      <c r="A546" s="196" t="str">
        <f>"14.1801"</f>
        <v>14.1801</v>
      </c>
      <c r="B546" s="196" t="s">
        <v>4107</v>
      </c>
      <c r="C546" s="320" t="s">
        <v>4269</v>
      </c>
      <c r="D546" s="321" t="s">
        <v>5312</v>
      </c>
      <c r="E546" s="322" t="s">
        <v>5314</v>
      </c>
    </row>
    <row r="547" spans="1:5" ht="14.5" customHeight="1" x14ac:dyDescent="0.35">
      <c r="A547" s="196" t="str">
        <f>"14.19"</f>
        <v>14.19</v>
      </c>
      <c r="B547" s="196" t="s">
        <v>4107</v>
      </c>
      <c r="C547" s="320" t="s">
        <v>4269</v>
      </c>
      <c r="D547" s="321" t="s">
        <v>5315</v>
      </c>
      <c r="E547" s="322" t="s">
        <v>5316</v>
      </c>
    </row>
    <row r="548" spans="1:5" ht="14.5" customHeight="1" x14ac:dyDescent="0.35">
      <c r="A548" s="196" t="str">
        <f>"14.1901"</f>
        <v>14.1901</v>
      </c>
      <c r="B548" s="196" t="s">
        <v>4107</v>
      </c>
      <c r="C548" s="320" t="s">
        <v>4269</v>
      </c>
      <c r="D548" s="321" t="s">
        <v>5315</v>
      </c>
      <c r="E548" s="322" t="s">
        <v>5317</v>
      </c>
    </row>
    <row r="549" spans="1:5" ht="14.5" customHeight="1" x14ac:dyDescent="0.35">
      <c r="A549" s="196" t="str">
        <f>"14.20"</f>
        <v>14.20</v>
      </c>
      <c r="B549" s="196" t="s">
        <v>4107</v>
      </c>
      <c r="C549" s="320" t="s">
        <v>4269</v>
      </c>
      <c r="D549" s="321" t="s">
        <v>5318</v>
      </c>
      <c r="E549" s="322" t="s">
        <v>5319</v>
      </c>
    </row>
    <row r="550" spans="1:5" ht="14.5" customHeight="1" x14ac:dyDescent="0.35">
      <c r="A550" s="196" t="str">
        <f>"14.2001"</f>
        <v>14.2001</v>
      </c>
      <c r="B550" s="196" t="s">
        <v>4107</v>
      </c>
      <c r="C550" s="320" t="s">
        <v>4269</v>
      </c>
      <c r="D550" s="321" t="s">
        <v>5318</v>
      </c>
      <c r="E550" s="322" t="s">
        <v>5320</v>
      </c>
    </row>
    <row r="551" spans="1:5" ht="14.5" customHeight="1" x14ac:dyDescent="0.35">
      <c r="A551" s="196" t="str">
        <f>"14.21"</f>
        <v>14.21</v>
      </c>
      <c r="B551" s="196" t="s">
        <v>4107</v>
      </c>
      <c r="C551" s="320" t="s">
        <v>4269</v>
      </c>
      <c r="D551" s="321" t="s">
        <v>5321</v>
      </c>
      <c r="E551" s="322" t="s">
        <v>5322</v>
      </c>
    </row>
    <row r="552" spans="1:5" ht="14.5" customHeight="1" x14ac:dyDescent="0.35">
      <c r="A552" s="196" t="str">
        <f>"14.2101"</f>
        <v>14.2101</v>
      </c>
      <c r="B552" s="196" t="s">
        <v>4107</v>
      </c>
      <c r="C552" s="320" t="s">
        <v>4269</v>
      </c>
      <c r="D552" s="321" t="s">
        <v>5321</v>
      </c>
      <c r="E552" s="322" t="s">
        <v>5323</v>
      </c>
    </row>
    <row r="553" spans="1:5" ht="14.5" customHeight="1" x14ac:dyDescent="0.35">
      <c r="A553" s="196" t="str">
        <f>"14.22"</f>
        <v>14.22</v>
      </c>
      <c r="B553" s="196" t="s">
        <v>4107</v>
      </c>
      <c r="C553" s="320" t="s">
        <v>4269</v>
      </c>
      <c r="D553" s="321" t="s">
        <v>5324</v>
      </c>
      <c r="E553" s="322" t="s">
        <v>5325</v>
      </c>
    </row>
    <row r="554" spans="1:5" ht="14.5" customHeight="1" x14ac:dyDescent="0.35">
      <c r="A554" s="196" t="str">
        <f>"14.2201"</f>
        <v>14.2201</v>
      </c>
      <c r="B554" s="196" t="s">
        <v>4107</v>
      </c>
      <c r="C554" s="320" t="s">
        <v>4269</v>
      </c>
      <c r="D554" s="321" t="s">
        <v>5324</v>
      </c>
      <c r="E554" s="322" t="s">
        <v>5326</v>
      </c>
    </row>
    <row r="555" spans="1:5" ht="14.5" customHeight="1" x14ac:dyDescent="0.35">
      <c r="A555" s="196" t="str">
        <f>"14.23"</f>
        <v>14.23</v>
      </c>
      <c r="B555" s="196" t="s">
        <v>4107</v>
      </c>
      <c r="C555" s="320" t="s">
        <v>4269</v>
      </c>
      <c r="D555" s="321" t="s">
        <v>5327</v>
      </c>
      <c r="E555" s="322" t="s">
        <v>5328</v>
      </c>
    </row>
    <row r="556" spans="1:5" ht="14.5" customHeight="1" x14ac:dyDescent="0.35">
      <c r="A556" s="196" t="str">
        <f>"14.2301"</f>
        <v>14.2301</v>
      </c>
      <c r="B556" s="196" t="s">
        <v>4107</v>
      </c>
      <c r="C556" s="320" t="s">
        <v>4269</v>
      </c>
      <c r="D556" s="321" t="s">
        <v>5327</v>
      </c>
      <c r="E556" s="322" t="s">
        <v>5329</v>
      </c>
    </row>
    <row r="557" spans="1:5" ht="14.5" customHeight="1" x14ac:dyDescent="0.35">
      <c r="A557" s="196" t="str">
        <f>"14.24"</f>
        <v>14.24</v>
      </c>
      <c r="B557" s="196" t="s">
        <v>4107</v>
      </c>
      <c r="C557" s="320" t="s">
        <v>4269</v>
      </c>
      <c r="D557" s="321" t="s">
        <v>5330</v>
      </c>
      <c r="E557" s="322" t="s">
        <v>5331</v>
      </c>
    </row>
    <row r="558" spans="1:5" ht="14.5" customHeight="1" x14ac:dyDescent="0.35">
      <c r="A558" s="196" t="str">
        <f>"14.2401"</f>
        <v>14.2401</v>
      </c>
      <c r="B558" s="196" t="s">
        <v>4107</v>
      </c>
      <c r="C558" s="320" t="s">
        <v>4269</v>
      </c>
      <c r="D558" s="321" t="s">
        <v>5330</v>
      </c>
      <c r="E558" s="322" t="s">
        <v>5332</v>
      </c>
    </row>
    <row r="559" spans="1:5" ht="14.5" customHeight="1" x14ac:dyDescent="0.35">
      <c r="A559" s="196" t="str">
        <f>"14.25"</f>
        <v>14.25</v>
      </c>
      <c r="B559" s="196" t="s">
        <v>4107</v>
      </c>
      <c r="C559" s="320" t="s">
        <v>4269</v>
      </c>
      <c r="D559" s="321" t="s">
        <v>5333</v>
      </c>
      <c r="E559" s="322" t="s">
        <v>5334</v>
      </c>
    </row>
    <row r="560" spans="1:5" ht="14.5" customHeight="1" x14ac:dyDescent="0.35">
      <c r="A560" s="196" t="str">
        <f>"14.2501"</f>
        <v>14.2501</v>
      </c>
      <c r="B560" s="196" t="s">
        <v>4107</v>
      </c>
      <c r="C560" s="320" t="s">
        <v>4269</v>
      </c>
      <c r="D560" s="321" t="s">
        <v>5333</v>
      </c>
      <c r="E560" s="322" t="s">
        <v>5335</v>
      </c>
    </row>
    <row r="561" spans="1:5" ht="14.5" customHeight="1" x14ac:dyDescent="0.35">
      <c r="A561" s="196" t="str">
        <f>"14.27"</f>
        <v>14.27</v>
      </c>
      <c r="B561" s="196" t="s">
        <v>4107</v>
      </c>
      <c r="C561" s="320" t="s">
        <v>4269</v>
      </c>
      <c r="D561" s="321" t="s">
        <v>5336</v>
      </c>
      <c r="E561" s="322" t="s">
        <v>5337</v>
      </c>
    </row>
    <row r="562" spans="1:5" ht="14.5" customHeight="1" x14ac:dyDescent="0.35">
      <c r="A562" s="196" t="str">
        <f>"14.2701"</f>
        <v>14.2701</v>
      </c>
      <c r="B562" s="196" t="s">
        <v>4107</v>
      </c>
      <c r="C562" s="320" t="s">
        <v>4269</v>
      </c>
      <c r="D562" s="321" t="s">
        <v>5336</v>
      </c>
      <c r="E562" s="322" t="s">
        <v>5338</v>
      </c>
    </row>
    <row r="563" spans="1:5" ht="14.5" customHeight="1" x14ac:dyDescent="0.35">
      <c r="A563" s="196" t="str">
        <f>"14.28"</f>
        <v>14.28</v>
      </c>
      <c r="B563" s="196" t="s">
        <v>4107</v>
      </c>
      <c r="C563" s="320" t="s">
        <v>4269</v>
      </c>
      <c r="D563" s="321" t="s">
        <v>5339</v>
      </c>
      <c r="E563" s="322" t="s">
        <v>5340</v>
      </c>
    </row>
    <row r="564" spans="1:5" ht="14.5" customHeight="1" x14ac:dyDescent="0.35">
      <c r="A564" s="196" t="str">
        <f>"14.2801"</f>
        <v>14.2801</v>
      </c>
      <c r="B564" s="196" t="s">
        <v>4107</v>
      </c>
      <c r="C564" s="320" t="s">
        <v>4269</v>
      </c>
      <c r="D564" s="321" t="s">
        <v>5339</v>
      </c>
      <c r="E564" s="322" t="s">
        <v>5341</v>
      </c>
    </row>
    <row r="565" spans="1:5" ht="14.5" customHeight="1" x14ac:dyDescent="0.35">
      <c r="A565" s="196" t="str">
        <f>"14.32"</f>
        <v>14.32</v>
      </c>
      <c r="B565" s="196" t="s">
        <v>4107</v>
      </c>
      <c r="C565" s="320" t="s">
        <v>4269</v>
      </c>
      <c r="D565" s="321" t="s">
        <v>5342</v>
      </c>
      <c r="E565" s="322" t="s">
        <v>5343</v>
      </c>
    </row>
    <row r="566" spans="1:5" ht="14.5" customHeight="1" x14ac:dyDescent="0.35">
      <c r="A566" s="196" t="str">
        <f>"14.3201"</f>
        <v>14.3201</v>
      </c>
      <c r="B566" s="196" t="s">
        <v>4107</v>
      </c>
      <c r="C566" s="320" t="s">
        <v>4269</v>
      </c>
      <c r="D566" s="321" t="s">
        <v>5342</v>
      </c>
      <c r="E566" s="322" t="s">
        <v>5344</v>
      </c>
    </row>
    <row r="567" spans="1:5" ht="14.5" customHeight="1" x14ac:dyDescent="0.35">
      <c r="A567" s="196" t="str">
        <f>"14.33"</f>
        <v>14.33</v>
      </c>
      <c r="B567" s="196" t="s">
        <v>4107</v>
      </c>
      <c r="C567" s="320" t="s">
        <v>4269</v>
      </c>
      <c r="D567" s="321" t="s">
        <v>5345</v>
      </c>
      <c r="E567" s="322" t="s">
        <v>5346</v>
      </c>
    </row>
    <row r="568" spans="1:5" ht="14.5" customHeight="1" x14ac:dyDescent="0.35">
      <c r="A568" s="196" t="str">
        <f>"14.3301"</f>
        <v>14.3301</v>
      </c>
      <c r="B568" s="196" t="s">
        <v>4107</v>
      </c>
      <c r="C568" s="320" t="s">
        <v>4269</v>
      </c>
      <c r="D568" s="321" t="s">
        <v>5345</v>
      </c>
      <c r="E568" s="322" t="s">
        <v>5347</v>
      </c>
    </row>
    <row r="569" spans="1:5" ht="14.5" customHeight="1" x14ac:dyDescent="0.35">
      <c r="A569" s="196" t="str">
        <f>"14.34"</f>
        <v>14.34</v>
      </c>
      <c r="B569" s="196" t="s">
        <v>4107</v>
      </c>
      <c r="C569" s="320" t="s">
        <v>4269</v>
      </c>
      <c r="D569" s="321" t="s">
        <v>5348</v>
      </c>
      <c r="E569" s="322" t="s">
        <v>5349</v>
      </c>
    </row>
    <row r="570" spans="1:5" ht="14.5" customHeight="1" x14ac:dyDescent="0.35">
      <c r="A570" s="196" t="str">
        <f>"14.3401"</f>
        <v>14.3401</v>
      </c>
      <c r="B570" s="196" t="s">
        <v>4107</v>
      </c>
      <c r="C570" s="320" t="s">
        <v>4269</v>
      </c>
      <c r="D570" s="321" t="s">
        <v>5348</v>
      </c>
      <c r="E570" s="322" t="s">
        <v>5350</v>
      </c>
    </row>
    <row r="571" spans="1:5" ht="14.5" customHeight="1" x14ac:dyDescent="0.35">
      <c r="A571" s="196" t="str">
        <f>"14.35"</f>
        <v>14.35</v>
      </c>
      <c r="B571" s="196" t="s">
        <v>4107</v>
      </c>
      <c r="C571" s="320" t="s">
        <v>4269</v>
      </c>
      <c r="D571" s="321" t="s">
        <v>5351</v>
      </c>
      <c r="E571" s="322" t="s">
        <v>5352</v>
      </c>
    </row>
    <row r="572" spans="1:5" ht="14.5" customHeight="1" x14ac:dyDescent="0.35">
      <c r="A572" s="196" t="str">
        <f>"14.3501"</f>
        <v>14.3501</v>
      </c>
      <c r="B572" s="196" t="s">
        <v>4107</v>
      </c>
      <c r="C572" s="320" t="s">
        <v>4269</v>
      </c>
      <c r="D572" s="321" t="s">
        <v>5351</v>
      </c>
      <c r="E572" s="322" t="s">
        <v>5353</v>
      </c>
    </row>
    <row r="573" spans="1:5" ht="14.5" customHeight="1" x14ac:dyDescent="0.35">
      <c r="A573" s="196" t="str">
        <f>"14.36"</f>
        <v>14.36</v>
      </c>
      <c r="B573" s="196" t="s">
        <v>4107</v>
      </c>
      <c r="C573" s="320" t="s">
        <v>4269</v>
      </c>
      <c r="D573" s="321" t="s">
        <v>5354</v>
      </c>
      <c r="E573" s="322" t="s">
        <v>5355</v>
      </c>
    </row>
    <row r="574" spans="1:5" ht="14.5" customHeight="1" x14ac:dyDescent="0.35">
      <c r="A574" s="196" t="str">
        <f>"14.3601"</f>
        <v>14.3601</v>
      </c>
      <c r="B574" s="196" t="s">
        <v>4107</v>
      </c>
      <c r="C574" s="320" t="s">
        <v>4269</v>
      </c>
      <c r="D574" s="321" t="s">
        <v>5354</v>
      </c>
      <c r="E574" s="322" t="s">
        <v>5356</v>
      </c>
    </row>
    <row r="575" spans="1:5" ht="14.5" customHeight="1" x14ac:dyDescent="0.35">
      <c r="A575" s="196" t="str">
        <f>"14.37"</f>
        <v>14.37</v>
      </c>
      <c r="B575" s="196" t="s">
        <v>4107</v>
      </c>
      <c r="C575" s="320" t="s">
        <v>4269</v>
      </c>
      <c r="D575" s="321" t="s">
        <v>5357</v>
      </c>
      <c r="E575" s="322" t="s">
        <v>5358</v>
      </c>
    </row>
    <row r="576" spans="1:5" ht="14.5" customHeight="1" x14ac:dyDescent="0.35">
      <c r="A576" s="196" t="str">
        <f>"14.3701"</f>
        <v>14.3701</v>
      </c>
      <c r="B576" s="196" t="s">
        <v>4107</v>
      </c>
      <c r="C576" s="320" t="s">
        <v>4269</v>
      </c>
      <c r="D576" s="321" t="s">
        <v>5357</v>
      </c>
      <c r="E576" s="322" t="s">
        <v>5359</v>
      </c>
    </row>
    <row r="577" spans="1:5" ht="14.5" customHeight="1" x14ac:dyDescent="0.35">
      <c r="A577" s="196" t="str">
        <f>"14.38"</f>
        <v>14.38</v>
      </c>
      <c r="B577" s="196" t="s">
        <v>4107</v>
      </c>
      <c r="C577" s="320" t="s">
        <v>4269</v>
      </c>
      <c r="D577" s="321" t="s">
        <v>5360</v>
      </c>
      <c r="E577" s="322" t="s">
        <v>5361</v>
      </c>
    </row>
    <row r="578" spans="1:5" ht="14.5" customHeight="1" x14ac:dyDescent="0.35">
      <c r="A578" s="196" t="str">
        <f>"14.3801"</f>
        <v>14.3801</v>
      </c>
      <c r="B578" s="196" t="s">
        <v>4107</v>
      </c>
      <c r="C578" s="320" t="s">
        <v>4269</v>
      </c>
      <c r="D578" s="321" t="s">
        <v>5360</v>
      </c>
      <c r="E578" s="322" t="s">
        <v>5362</v>
      </c>
    </row>
    <row r="579" spans="1:5" ht="14.5" customHeight="1" x14ac:dyDescent="0.35">
      <c r="A579" s="196" t="str">
        <f>"14.39"</f>
        <v>14.39</v>
      </c>
      <c r="B579" s="196" t="s">
        <v>4107</v>
      </c>
      <c r="C579" s="320" t="s">
        <v>4269</v>
      </c>
      <c r="D579" s="321" t="s">
        <v>5363</v>
      </c>
      <c r="E579" s="322" t="s">
        <v>5364</v>
      </c>
    </row>
    <row r="580" spans="1:5" ht="14.5" customHeight="1" x14ac:dyDescent="0.35">
      <c r="A580" s="196" t="str">
        <f>"14.3901"</f>
        <v>14.3901</v>
      </c>
      <c r="B580" s="196" t="s">
        <v>4107</v>
      </c>
      <c r="C580" s="320" t="s">
        <v>4269</v>
      </c>
      <c r="D580" s="321" t="s">
        <v>5363</v>
      </c>
      <c r="E580" s="322" t="s">
        <v>5365</v>
      </c>
    </row>
    <row r="581" spans="1:5" ht="14.5" customHeight="1" x14ac:dyDescent="0.35">
      <c r="A581" s="196" t="str">
        <f>"14.40"</f>
        <v>14.40</v>
      </c>
      <c r="B581" s="196" t="s">
        <v>4107</v>
      </c>
      <c r="C581" s="320" t="s">
        <v>4269</v>
      </c>
      <c r="D581" s="321" t="s">
        <v>5366</v>
      </c>
      <c r="E581" s="322" t="s">
        <v>5367</v>
      </c>
    </row>
    <row r="582" spans="1:5" ht="14.5" customHeight="1" x14ac:dyDescent="0.35">
      <c r="A582" s="196" t="str">
        <f>"14.4001"</f>
        <v>14.4001</v>
      </c>
      <c r="B582" s="196" t="s">
        <v>4107</v>
      </c>
      <c r="C582" s="320" t="s">
        <v>4269</v>
      </c>
      <c r="D582" s="321" t="s">
        <v>5366</v>
      </c>
      <c r="E582" s="322" t="s">
        <v>5368</v>
      </c>
    </row>
    <row r="583" spans="1:5" ht="14.5" customHeight="1" x14ac:dyDescent="0.35">
      <c r="A583" s="196" t="str">
        <f>"14.41"</f>
        <v>14.41</v>
      </c>
      <c r="B583" s="196" t="s">
        <v>4107</v>
      </c>
      <c r="C583" s="320" t="s">
        <v>4269</v>
      </c>
      <c r="D583" s="321" t="s">
        <v>5369</v>
      </c>
      <c r="E583" s="322" t="s">
        <v>5370</v>
      </c>
    </row>
    <row r="584" spans="1:5" ht="14.5" customHeight="1" x14ac:dyDescent="0.35">
      <c r="A584" s="196" t="str">
        <f>"14.4101"</f>
        <v>14.4101</v>
      </c>
      <c r="B584" s="196" t="s">
        <v>4107</v>
      </c>
      <c r="C584" s="320" t="s">
        <v>4269</v>
      </c>
      <c r="D584" s="321" t="s">
        <v>5369</v>
      </c>
      <c r="E584" s="322" t="s">
        <v>5371</v>
      </c>
    </row>
    <row r="585" spans="1:5" ht="14.5" customHeight="1" x14ac:dyDescent="0.35">
      <c r="A585" s="196" t="str">
        <f>"14.42"</f>
        <v>14.42</v>
      </c>
      <c r="B585" s="196" t="s">
        <v>4107</v>
      </c>
      <c r="C585" s="320" t="s">
        <v>4269</v>
      </c>
      <c r="D585" s="321" t="s">
        <v>5372</v>
      </c>
      <c r="E585" s="322" t="s">
        <v>5373</v>
      </c>
    </row>
    <row r="586" spans="1:5" ht="14.5" customHeight="1" x14ac:dyDescent="0.35">
      <c r="A586" s="196" t="str">
        <f>"14.4201"</f>
        <v>14.4201</v>
      </c>
      <c r="B586" s="196" t="s">
        <v>4107</v>
      </c>
      <c r="C586" s="320" t="s">
        <v>4269</v>
      </c>
      <c r="D586" s="321" t="s">
        <v>5372</v>
      </c>
      <c r="E586" s="322" t="s">
        <v>5374</v>
      </c>
    </row>
    <row r="587" spans="1:5" ht="14.5" customHeight="1" x14ac:dyDescent="0.35">
      <c r="A587" s="196" t="str">
        <f>"14.43"</f>
        <v>14.43</v>
      </c>
      <c r="B587" s="196" t="s">
        <v>4107</v>
      </c>
      <c r="C587" s="320" t="s">
        <v>4269</v>
      </c>
      <c r="D587" s="321" t="s">
        <v>5375</v>
      </c>
      <c r="E587" s="322" t="s">
        <v>5376</v>
      </c>
    </row>
    <row r="588" spans="1:5" ht="14.5" customHeight="1" x14ac:dyDescent="0.35">
      <c r="A588" s="196" t="str">
        <f>"14.4301"</f>
        <v>14.4301</v>
      </c>
      <c r="B588" s="196" t="s">
        <v>4107</v>
      </c>
      <c r="C588" s="320" t="s">
        <v>4269</v>
      </c>
      <c r="D588" s="321" t="s">
        <v>5375</v>
      </c>
      <c r="E588" s="322" t="s">
        <v>5377</v>
      </c>
    </row>
    <row r="589" spans="1:5" ht="14.5" customHeight="1" x14ac:dyDescent="0.35">
      <c r="A589" s="196" t="str">
        <f>"14.44"</f>
        <v>14.44</v>
      </c>
      <c r="B589" s="196" t="s">
        <v>4107</v>
      </c>
      <c r="C589" s="320" t="s">
        <v>4269</v>
      </c>
      <c r="D589" s="321" t="s">
        <v>5378</v>
      </c>
      <c r="E589" s="322" t="s">
        <v>5379</v>
      </c>
    </row>
    <row r="590" spans="1:5" ht="14.5" customHeight="1" x14ac:dyDescent="0.35">
      <c r="A590" s="196" t="str">
        <f>"14.4401"</f>
        <v>14.4401</v>
      </c>
      <c r="B590" s="196" t="s">
        <v>4107</v>
      </c>
      <c r="C590" s="320" t="s">
        <v>4269</v>
      </c>
      <c r="D590" s="321" t="s">
        <v>5378</v>
      </c>
      <c r="E590" s="322" t="s">
        <v>5380</v>
      </c>
    </row>
    <row r="591" spans="1:5" ht="14.5" customHeight="1" x14ac:dyDescent="0.35">
      <c r="A591" s="196" t="str">
        <f>"14.45"</f>
        <v>14.45</v>
      </c>
      <c r="B591" s="196" t="s">
        <v>4107</v>
      </c>
      <c r="C591" s="320" t="s">
        <v>4269</v>
      </c>
      <c r="D591" s="321" t="s">
        <v>5381</v>
      </c>
      <c r="E591" s="322" t="s">
        <v>5382</v>
      </c>
    </row>
    <row r="592" spans="1:5" ht="14.5" customHeight="1" x14ac:dyDescent="0.35">
      <c r="A592" s="196" t="str">
        <f>"14.4501"</f>
        <v>14.4501</v>
      </c>
      <c r="B592" s="196" t="s">
        <v>4107</v>
      </c>
      <c r="C592" s="320" t="s">
        <v>4269</v>
      </c>
      <c r="D592" s="321" t="s">
        <v>5381</v>
      </c>
      <c r="E592" s="322" t="s">
        <v>5383</v>
      </c>
    </row>
    <row r="593" spans="1:5" s="327" customFormat="1" ht="14.5" customHeight="1" x14ac:dyDescent="0.35">
      <c r="A593" s="323" t="str">
        <f>"14.47"</f>
        <v>14.47</v>
      </c>
      <c r="B593" s="323" t="s">
        <v>4297</v>
      </c>
      <c r="C593" s="324" t="s">
        <v>4269</v>
      </c>
      <c r="D593" s="325" t="s">
        <v>5384</v>
      </c>
      <c r="E593" s="326" t="s">
        <v>5385</v>
      </c>
    </row>
    <row r="594" spans="1:5" s="327" customFormat="1" ht="14.5" customHeight="1" x14ac:dyDescent="0.35">
      <c r="A594" s="323" t="str">
        <f>"14.4701"</f>
        <v>14.4701</v>
      </c>
      <c r="B594" s="323" t="s">
        <v>4297</v>
      </c>
      <c r="C594" s="324" t="s">
        <v>4269</v>
      </c>
      <c r="D594" s="325" t="s">
        <v>5384</v>
      </c>
      <c r="E594" s="326" t="s">
        <v>5386</v>
      </c>
    </row>
    <row r="595" spans="1:5" s="327" customFormat="1" ht="14.5" customHeight="1" x14ac:dyDescent="0.35">
      <c r="A595" s="323" t="str">
        <f>"14.48"</f>
        <v>14.48</v>
      </c>
      <c r="B595" s="323" t="s">
        <v>4297</v>
      </c>
      <c r="C595" s="324" t="s">
        <v>4269</v>
      </c>
      <c r="D595" s="325" t="s">
        <v>5387</v>
      </c>
      <c r="E595" s="326" t="s">
        <v>5388</v>
      </c>
    </row>
    <row r="596" spans="1:5" s="327" customFormat="1" ht="14.5" customHeight="1" x14ac:dyDescent="0.35">
      <c r="A596" s="323" t="str">
        <f>"14.4801"</f>
        <v>14.4801</v>
      </c>
      <c r="B596" s="323" t="s">
        <v>4297</v>
      </c>
      <c r="C596" s="324" t="s">
        <v>4269</v>
      </c>
      <c r="D596" s="325" t="s">
        <v>5389</v>
      </c>
      <c r="E596" s="326" t="s">
        <v>5390</v>
      </c>
    </row>
    <row r="597" spans="1:5" s="327" customFormat="1" ht="14.5" customHeight="1" x14ac:dyDescent="0.35">
      <c r="A597" s="323" t="str">
        <f>"14.4802"</f>
        <v>14.4802</v>
      </c>
      <c r="B597" s="323" t="s">
        <v>4297</v>
      </c>
      <c r="C597" s="324" t="s">
        <v>4269</v>
      </c>
      <c r="D597" s="325" t="s">
        <v>5391</v>
      </c>
      <c r="E597" s="326" t="s">
        <v>5392</v>
      </c>
    </row>
    <row r="598" spans="1:5" s="327" customFormat="1" ht="14.5" customHeight="1" x14ac:dyDescent="0.35">
      <c r="A598" s="323" t="str">
        <f>"14.4899"</f>
        <v>14.4899</v>
      </c>
      <c r="B598" s="323" t="s">
        <v>4297</v>
      </c>
      <c r="C598" s="324" t="s">
        <v>4269</v>
      </c>
      <c r="D598" s="325" t="s">
        <v>5393</v>
      </c>
      <c r="E598" s="326" t="s">
        <v>5394</v>
      </c>
    </row>
    <row r="599" spans="1:5" ht="14.5" customHeight="1" x14ac:dyDescent="0.35">
      <c r="A599" s="196" t="str">
        <f>"14.99"</f>
        <v>14.99</v>
      </c>
      <c r="B599" s="196" t="s">
        <v>4107</v>
      </c>
      <c r="C599" s="320" t="s">
        <v>4269</v>
      </c>
      <c r="D599" s="321" t="s">
        <v>5395</v>
      </c>
      <c r="E599" s="322" t="s">
        <v>5396</v>
      </c>
    </row>
    <row r="600" spans="1:5" ht="14.5" customHeight="1" x14ac:dyDescent="0.35">
      <c r="A600" s="196" t="str">
        <f>"14.9999"</f>
        <v>14.9999</v>
      </c>
      <c r="B600" s="196" t="s">
        <v>4107</v>
      </c>
      <c r="C600" s="320" t="s">
        <v>4269</v>
      </c>
      <c r="D600" s="321" t="s">
        <v>5395</v>
      </c>
      <c r="E600" s="322" t="s">
        <v>5397</v>
      </c>
    </row>
    <row r="601" spans="1:5" ht="14.5" customHeight="1" x14ac:dyDescent="0.35">
      <c r="A601" s="196" t="str">
        <f>"15"</f>
        <v>15</v>
      </c>
      <c r="B601" s="196" t="s">
        <v>4265</v>
      </c>
      <c r="C601" s="320" t="s">
        <v>4266</v>
      </c>
      <c r="D601" s="321" t="s">
        <v>5398</v>
      </c>
      <c r="E601" s="322" t="s">
        <v>5399</v>
      </c>
    </row>
    <row r="602" spans="1:5" ht="14.5" customHeight="1" x14ac:dyDescent="0.35">
      <c r="A602" s="196" t="str">
        <f>"15.00"</f>
        <v>15.00</v>
      </c>
      <c r="B602" s="196" t="s">
        <v>4265</v>
      </c>
      <c r="C602" s="320" t="s">
        <v>4266</v>
      </c>
      <c r="D602" s="321" t="s">
        <v>5400</v>
      </c>
      <c r="E602" s="322" t="s">
        <v>5401</v>
      </c>
    </row>
    <row r="603" spans="1:5" ht="14.5" customHeight="1" x14ac:dyDescent="0.35">
      <c r="A603" s="196" t="str">
        <f>"15.0000"</f>
        <v>15.0000</v>
      </c>
      <c r="B603" s="196" t="s">
        <v>4265</v>
      </c>
      <c r="C603" s="320" t="s">
        <v>4266</v>
      </c>
      <c r="D603" s="321" t="s">
        <v>5400</v>
      </c>
      <c r="E603" s="322" t="s">
        <v>5402</v>
      </c>
    </row>
    <row r="604" spans="1:5" s="327" customFormat="1" ht="14.5" customHeight="1" x14ac:dyDescent="0.35">
      <c r="A604" s="323" t="str">
        <f>"15.0001"</f>
        <v>15.0001</v>
      </c>
      <c r="B604" s="323" t="s">
        <v>4297</v>
      </c>
      <c r="C604" s="324" t="s">
        <v>4269</v>
      </c>
      <c r="D604" s="325" t="s">
        <v>5403</v>
      </c>
      <c r="E604" s="326" t="s">
        <v>5404</v>
      </c>
    </row>
    <row r="605" spans="1:5" ht="14.5" customHeight="1" x14ac:dyDescent="0.35">
      <c r="A605" s="196" t="str">
        <f>"15.01"</f>
        <v>15.01</v>
      </c>
      <c r="B605" s="196" t="s">
        <v>4265</v>
      </c>
      <c r="C605" s="320" t="s">
        <v>4266</v>
      </c>
      <c r="D605" s="321" t="s">
        <v>5405</v>
      </c>
      <c r="E605" s="322" t="s">
        <v>5406</v>
      </c>
    </row>
    <row r="606" spans="1:5" ht="14.5" customHeight="1" x14ac:dyDescent="0.35">
      <c r="A606" s="196" t="str">
        <f>"15.0101"</f>
        <v>15.0101</v>
      </c>
      <c r="B606" s="196" t="s">
        <v>4265</v>
      </c>
      <c r="C606" s="320" t="s">
        <v>4266</v>
      </c>
      <c r="D606" s="321" t="s">
        <v>5405</v>
      </c>
      <c r="E606" s="322" t="s">
        <v>5407</v>
      </c>
    </row>
    <row r="607" spans="1:5" ht="14.5" customHeight="1" x14ac:dyDescent="0.35">
      <c r="A607" s="196" t="str">
        <f>"15.02"</f>
        <v>15.02</v>
      </c>
      <c r="B607" s="196" t="s">
        <v>4265</v>
      </c>
      <c r="C607" s="320" t="s">
        <v>4266</v>
      </c>
      <c r="D607" s="321" t="s">
        <v>5408</v>
      </c>
      <c r="E607" s="322" t="s">
        <v>5409</v>
      </c>
    </row>
    <row r="608" spans="1:5" ht="14.5" customHeight="1" x14ac:dyDescent="0.35">
      <c r="A608" s="196" t="str">
        <f>"15.0201"</f>
        <v>15.0201</v>
      </c>
      <c r="B608" s="196" t="s">
        <v>4265</v>
      </c>
      <c r="C608" s="320" t="s">
        <v>4266</v>
      </c>
      <c r="D608" s="321" t="s">
        <v>5408</v>
      </c>
      <c r="E608" s="322" t="s">
        <v>5410</v>
      </c>
    </row>
    <row r="609" spans="1:5" ht="14.5" customHeight="1" x14ac:dyDescent="0.35">
      <c r="A609" s="196" t="str">
        <f>"15.03"</f>
        <v>15.03</v>
      </c>
      <c r="B609" s="196" t="s">
        <v>4265</v>
      </c>
      <c r="C609" s="320" t="s">
        <v>4266</v>
      </c>
      <c r="D609" s="321" t="s">
        <v>5411</v>
      </c>
      <c r="E609" s="322" t="s">
        <v>5412</v>
      </c>
    </row>
    <row r="610" spans="1:5" ht="14.5" customHeight="1" x14ac:dyDescent="0.35">
      <c r="A610" s="196" t="str">
        <f>"15.0303"</f>
        <v>15.0303</v>
      </c>
      <c r="B610" s="196" t="s">
        <v>4265</v>
      </c>
      <c r="C610" s="320" t="s">
        <v>4266</v>
      </c>
      <c r="D610" s="321" t="s">
        <v>5413</v>
      </c>
      <c r="E610" s="322" t="s">
        <v>5414</v>
      </c>
    </row>
    <row r="611" spans="1:5" ht="14.5" customHeight="1" x14ac:dyDescent="0.35">
      <c r="A611" s="196" t="str">
        <f>"15.0304"</f>
        <v>15.0304</v>
      </c>
      <c r="B611" s="196" t="s">
        <v>4265</v>
      </c>
      <c r="C611" s="320" t="s">
        <v>4266</v>
      </c>
      <c r="D611" s="321" t="s">
        <v>5415</v>
      </c>
      <c r="E611" s="322" t="s">
        <v>5416</v>
      </c>
    </row>
    <row r="612" spans="1:5" ht="14.5" customHeight="1" x14ac:dyDescent="0.35">
      <c r="A612" s="196" t="str">
        <f>"15.0305"</f>
        <v>15.0305</v>
      </c>
      <c r="B612" s="196" t="s">
        <v>4265</v>
      </c>
      <c r="C612" s="320" t="s">
        <v>4266</v>
      </c>
      <c r="D612" s="321" t="s">
        <v>5417</v>
      </c>
      <c r="E612" s="322" t="s">
        <v>5418</v>
      </c>
    </row>
    <row r="613" spans="1:5" ht="14.5" customHeight="1" x14ac:dyDescent="0.35">
      <c r="A613" s="196" t="str">
        <f>"15.0306"</f>
        <v>15.0306</v>
      </c>
      <c r="B613" s="196" t="s">
        <v>4265</v>
      </c>
      <c r="C613" s="320" t="s">
        <v>4266</v>
      </c>
      <c r="D613" s="321" t="s">
        <v>5419</v>
      </c>
      <c r="E613" s="322" t="s">
        <v>5420</v>
      </c>
    </row>
    <row r="614" spans="1:5" s="327" customFormat="1" ht="14.5" customHeight="1" x14ac:dyDescent="0.35">
      <c r="A614" s="323" t="str">
        <f>"15.0307"</f>
        <v>15.0307</v>
      </c>
      <c r="B614" s="323" t="s">
        <v>4297</v>
      </c>
      <c r="C614" s="324" t="s">
        <v>4269</v>
      </c>
      <c r="D614" s="325" t="s">
        <v>5421</v>
      </c>
      <c r="E614" s="326" t="s">
        <v>5422</v>
      </c>
    </row>
    <row r="615" spans="1:5" ht="14.5" customHeight="1" x14ac:dyDescent="0.35">
      <c r="A615" s="196" t="str">
        <f>"15.0399"</f>
        <v>15.0399</v>
      </c>
      <c r="B615" s="196" t="s">
        <v>4265</v>
      </c>
      <c r="C615" s="320" t="s">
        <v>4266</v>
      </c>
      <c r="D615" s="321" t="s">
        <v>5423</v>
      </c>
      <c r="E615" s="322" t="s">
        <v>5424</v>
      </c>
    </row>
    <row r="616" spans="1:5" ht="14.5" customHeight="1" x14ac:dyDescent="0.35">
      <c r="A616" s="196" t="str">
        <f>"15.04"</f>
        <v>15.04</v>
      </c>
      <c r="B616" s="196" t="s">
        <v>4265</v>
      </c>
      <c r="C616" s="320" t="s">
        <v>4266</v>
      </c>
      <c r="D616" s="321" t="s">
        <v>5425</v>
      </c>
      <c r="E616" s="322" t="s">
        <v>5426</v>
      </c>
    </row>
    <row r="617" spans="1:5" ht="14.5" customHeight="1" x14ac:dyDescent="0.35">
      <c r="A617" s="196" t="str">
        <f>"15.0401"</f>
        <v>15.0401</v>
      </c>
      <c r="B617" s="196" t="s">
        <v>4107</v>
      </c>
      <c r="C617" s="320" t="s">
        <v>4269</v>
      </c>
      <c r="D617" s="321" t="s">
        <v>5427</v>
      </c>
      <c r="E617" s="322" t="s">
        <v>5428</v>
      </c>
    </row>
    <row r="618" spans="1:5" ht="14.5" customHeight="1" x14ac:dyDescent="0.35">
      <c r="A618" s="196" t="str">
        <f>"15.0403"</f>
        <v>15.0403</v>
      </c>
      <c r="B618" s="196" t="s">
        <v>4265</v>
      </c>
      <c r="C618" s="320" t="s">
        <v>4266</v>
      </c>
      <c r="D618" s="321" t="s">
        <v>5429</v>
      </c>
      <c r="E618" s="322" t="s">
        <v>5430</v>
      </c>
    </row>
    <row r="619" spans="1:5" ht="14.5" customHeight="1" x14ac:dyDescent="0.35">
      <c r="A619" s="196" t="str">
        <f>"15.0404"</f>
        <v>15.0404</v>
      </c>
      <c r="B619" s="196" t="s">
        <v>4107</v>
      </c>
      <c r="C619" s="320" t="s">
        <v>4269</v>
      </c>
      <c r="D619" s="321" t="s">
        <v>5431</v>
      </c>
      <c r="E619" s="322" t="s">
        <v>5432</v>
      </c>
    </row>
    <row r="620" spans="1:5" ht="14.5" customHeight="1" x14ac:dyDescent="0.35">
      <c r="A620" s="196" t="str">
        <f>"15.0405"</f>
        <v>15.0405</v>
      </c>
      <c r="B620" s="196" t="s">
        <v>4107</v>
      </c>
      <c r="C620" s="320" t="s">
        <v>4269</v>
      </c>
      <c r="D620" s="321" t="s">
        <v>5433</v>
      </c>
      <c r="E620" s="322" t="s">
        <v>5434</v>
      </c>
    </row>
    <row r="621" spans="1:5" ht="14.5" customHeight="1" x14ac:dyDescent="0.35">
      <c r="A621" s="196" t="str">
        <f>"15.0406"</f>
        <v>15.0406</v>
      </c>
      <c r="B621" s="196" t="s">
        <v>4107</v>
      </c>
      <c r="C621" s="320" t="s">
        <v>4269</v>
      </c>
      <c r="D621" s="321" t="s">
        <v>5435</v>
      </c>
      <c r="E621" s="322" t="s">
        <v>5436</v>
      </c>
    </row>
    <row r="622" spans="1:5" s="327" customFormat="1" ht="14.5" customHeight="1" x14ac:dyDescent="0.35">
      <c r="A622" s="323" t="str">
        <f>"15.0407"</f>
        <v>15.0407</v>
      </c>
      <c r="B622" s="323" t="s">
        <v>4297</v>
      </c>
      <c r="C622" s="324" t="s">
        <v>4269</v>
      </c>
      <c r="D622" s="325" t="s">
        <v>5437</v>
      </c>
      <c r="E622" s="326" t="s">
        <v>5438</v>
      </c>
    </row>
    <row r="623" spans="1:5" ht="14.5" customHeight="1" x14ac:dyDescent="0.35">
      <c r="A623" s="196" t="str">
        <f>"15.0499"</f>
        <v>15.0499</v>
      </c>
      <c r="B623" s="196" t="s">
        <v>4265</v>
      </c>
      <c r="C623" s="320" t="s">
        <v>4266</v>
      </c>
      <c r="D623" s="321" t="s">
        <v>5439</v>
      </c>
      <c r="E623" s="322" t="s">
        <v>5440</v>
      </c>
    </row>
    <row r="624" spans="1:5" ht="14.5" customHeight="1" x14ac:dyDescent="0.35">
      <c r="A624" s="196" t="str">
        <f>"15.05"</f>
        <v>15.05</v>
      </c>
      <c r="B624" s="196" t="s">
        <v>4265</v>
      </c>
      <c r="C624" s="320" t="s">
        <v>4266</v>
      </c>
      <c r="D624" s="321" t="s">
        <v>5441</v>
      </c>
      <c r="E624" s="322" t="s">
        <v>5442</v>
      </c>
    </row>
    <row r="625" spans="1:5" ht="14.5" customHeight="1" x14ac:dyDescent="0.35">
      <c r="A625" s="196" t="str">
        <f>"15.0501"</f>
        <v>15.0501</v>
      </c>
      <c r="B625" s="196" t="s">
        <v>4107</v>
      </c>
      <c r="C625" s="320" t="s">
        <v>4269</v>
      </c>
      <c r="D625" s="321" t="s">
        <v>5443</v>
      </c>
      <c r="E625" s="322" t="s">
        <v>5444</v>
      </c>
    </row>
    <row r="626" spans="1:5" s="332" customFormat="1" ht="14.5" customHeight="1" x14ac:dyDescent="0.35">
      <c r="A626" s="328" t="str">
        <f>"15.0503"</f>
        <v>15.0503</v>
      </c>
      <c r="B626" s="328" t="s">
        <v>4318</v>
      </c>
      <c r="C626" s="329" t="s">
        <v>4269</v>
      </c>
      <c r="D626" s="330" t="s">
        <v>5445</v>
      </c>
      <c r="E626" s="331" t="s">
        <v>5446</v>
      </c>
    </row>
    <row r="627" spans="1:5" s="332" customFormat="1" ht="14.5" customHeight="1" x14ac:dyDescent="0.35">
      <c r="A627" s="328" t="str">
        <f>"15.0505"</f>
        <v>15.0505</v>
      </c>
      <c r="B627" s="328" t="s">
        <v>4318</v>
      </c>
      <c r="C627" s="329" t="s">
        <v>4269</v>
      </c>
      <c r="D627" s="330" t="s">
        <v>5447</v>
      </c>
      <c r="E627" s="331" t="s">
        <v>5448</v>
      </c>
    </row>
    <row r="628" spans="1:5" ht="14.5" customHeight="1" x14ac:dyDescent="0.35">
      <c r="A628" s="196" t="str">
        <f>"15.0506"</f>
        <v>15.0506</v>
      </c>
      <c r="B628" s="196" t="s">
        <v>4107</v>
      </c>
      <c r="C628" s="320" t="s">
        <v>4269</v>
      </c>
      <c r="D628" s="321" t="s">
        <v>5449</v>
      </c>
      <c r="E628" s="322" t="s">
        <v>5450</v>
      </c>
    </row>
    <row r="629" spans="1:5" ht="14.5" customHeight="1" x14ac:dyDescent="0.35">
      <c r="A629" s="196" t="str">
        <f>"15.0507"</f>
        <v>15.0507</v>
      </c>
      <c r="B629" s="196" t="s">
        <v>4265</v>
      </c>
      <c r="C629" s="320" t="s">
        <v>4266</v>
      </c>
      <c r="D629" s="321" t="s">
        <v>5451</v>
      </c>
      <c r="E629" s="322" t="s">
        <v>5452</v>
      </c>
    </row>
    <row r="630" spans="1:5" ht="14.5" customHeight="1" x14ac:dyDescent="0.35">
      <c r="A630" s="196" t="str">
        <f>"15.0508"</f>
        <v>15.0508</v>
      </c>
      <c r="B630" s="196" t="s">
        <v>4107</v>
      </c>
      <c r="C630" s="320" t="s">
        <v>4269</v>
      </c>
      <c r="D630" s="321" t="s">
        <v>5453</v>
      </c>
      <c r="E630" s="322" t="s">
        <v>5454</v>
      </c>
    </row>
    <row r="631" spans="1:5" ht="14.5" customHeight="1" x14ac:dyDescent="0.35">
      <c r="A631" s="196" t="str">
        <f>"15.0599"</f>
        <v>15.0599</v>
      </c>
      <c r="B631" s="196" t="s">
        <v>4265</v>
      </c>
      <c r="C631" s="320" t="s">
        <v>4266</v>
      </c>
      <c r="D631" s="321" t="s">
        <v>5455</v>
      </c>
      <c r="E631" s="322" t="s">
        <v>5456</v>
      </c>
    </row>
    <row r="632" spans="1:5" ht="14.5" customHeight="1" x14ac:dyDescent="0.35">
      <c r="A632" s="196" t="str">
        <f>"15.06"</f>
        <v>15.06</v>
      </c>
      <c r="B632" s="196" t="s">
        <v>4107</v>
      </c>
      <c r="C632" s="320" t="s">
        <v>4269</v>
      </c>
      <c r="D632" s="321" t="s">
        <v>5457</v>
      </c>
      <c r="E632" s="322" t="s">
        <v>5458</v>
      </c>
    </row>
    <row r="633" spans="1:5" ht="14.5" customHeight="1" x14ac:dyDescent="0.35">
      <c r="A633" s="196" t="str">
        <f>"15.0607"</f>
        <v>15.0607</v>
      </c>
      <c r="B633" s="196" t="s">
        <v>4107</v>
      </c>
      <c r="C633" s="320" t="s">
        <v>4269</v>
      </c>
      <c r="D633" s="321" t="s">
        <v>5459</v>
      </c>
      <c r="E633" s="322" t="s">
        <v>5460</v>
      </c>
    </row>
    <row r="634" spans="1:5" ht="14.5" customHeight="1" x14ac:dyDescent="0.35">
      <c r="A634" s="196" t="str">
        <f>"15.0611"</f>
        <v>15.0611</v>
      </c>
      <c r="B634" s="196" t="s">
        <v>4107</v>
      </c>
      <c r="C634" s="320" t="s">
        <v>4269</v>
      </c>
      <c r="D634" s="321" t="s">
        <v>5461</v>
      </c>
      <c r="E634" s="322" t="s">
        <v>5462</v>
      </c>
    </row>
    <row r="635" spans="1:5" ht="14.5" customHeight="1" x14ac:dyDescent="0.35">
      <c r="A635" s="196" t="str">
        <f>"15.0612"</f>
        <v>15.0612</v>
      </c>
      <c r="B635" s="196" t="s">
        <v>4107</v>
      </c>
      <c r="C635" s="320" t="s">
        <v>4269</v>
      </c>
      <c r="D635" s="321" t="s">
        <v>5463</v>
      </c>
      <c r="E635" s="322" t="s">
        <v>5464</v>
      </c>
    </row>
    <row r="636" spans="1:5" ht="14.5" customHeight="1" x14ac:dyDescent="0.35">
      <c r="A636" s="196" t="str">
        <f>"15.0613"</f>
        <v>15.0613</v>
      </c>
      <c r="B636" s="196" t="s">
        <v>4107</v>
      </c>
      <c r="C636" s="320" t="s">
        <v>4269</v>
      </c>
      <c r="D636" s="321" t="s">
        <v>5465</v>
      </c>
      <c r="E636" s="322" t="s">
        <v>5466</v>
      </c>
    </row>
    <row r="637" spans="1:5" ht="14.5" customHeight="1" x14ac:dyDescent="0.35">
      <c r="A637" s="196" t="str">
        <f>"15.0614"</f>
        <v>15.0614</v>
      </c>
      <c r="B637" s="196" t="s">
        <v>4107</v>
      </c>
      <c r="C637" s="320" t="s">
        <v>4269</v>
      </c>
      <c r="D637" s="321" t="s">
        <v>5467</v>
      </c>
      <c r="E637" s="322" t="s">
        <v>5468</v>
      </c>
    </row>
    <row r="638" spans="1:5" ht="14.5" customHeight="1" x14ac:dyDescent="0.35">
      <c r="A638" s="196" t="str">
        <f>"15.0615"</f>
        <v>15.0615</v>
      </c>
      <c r="B638" s="196" t="s">
        <v>4107</v>
      </c>
      <c r="C638" s="320" t="s">
        <v>4269</v>
      </c>
      <c r="D638" s="321" t="s">
        <v>5469</v>
      </c>
      <c r="E638" s="322" t="s">
        <v>5470</v>
      </c>
    </row>
    <row r="639" spans="1:5" ht="14.5" customHeight="1" x14ac:dyDescent="0.35">
      <c r="A639" s="196" t="str">
        <f>"15.0616"</f>
        <v>15.0616</v>
      </c>
      <c r="B639" s="196" t="s">
        <v>4265</v>
      </c>
      <c r="C639" s="320" t="s">
        <v>4266</v>
      </c>
      <c r="D639" s="321" t="s">
        <v>5471</v>
      </c>
      <c r="E639" s="322" t="s">
        <v>5472</v>
      </c>
    </row>
    <row r="640" spans="1:5" s="327" customFormat="1" ht="14.5" customHeight="1" x14ac:dyDescent="0.35">
      <c r="A640" s="323" t="str">
        <f>"15.0617"</f>
        <v>15.0617</v>
      </c>
      <c r="B640" s="323" t="s">
        <v>4297</v>
      </c>
      <c r="C640" s="324" t="s">
        <v>4269</v>
      </c>
      <c r="D640" s="325" t="s">
        <v>5473</v>
      </c>
      <c r="E640" s="326" t="s">
        <v>5474</v>
      </c>
    </row>
    <row r="641" spans="1:5" ht="14.5" customHeight="1" x14ac:dyDescent="0.35">
      <c r="A641" s="196" t="str">
        <f>"15.0699"</f>
        <v>15.0699</v>
      </c>
      <c r="B641" s="196" t="s">
        <v>4265</v>
      </c>
      <c r="C641" s="320" t="s">
        <v>4266</v>
      </c>
      <c r="D641" s="321" t="s">
        <v>5475</v>
      </c>
      <c r="E641" s="322" t="s">
        <v>5476</v>
      </c>
    </row>
    <row r="642" spans="1:5" ht="14.5" customHeight="1" x14ac:dyDescent="0.35">
      <c r="A642" s="196" t="str">
        <f>"15.07"</f>
        <v>15.07</v>
      </c>
      <c r="B642" s="196" t="s">
        <v>4107</v>
      </c>
      <c r="C642" s="320" t="s">
        <v>4269</v>
      </c>
      <c r="D642" s="321" t="s">
        <v>5477</v>
      </c>
      <c r="E642" s="322" t="s">
        <v>5478</v>
      </c>
    </row>
    <row r="643" spans="1:5" ht="14.5" customHeight="1" x14ac:dyDescent="0.35">
      <c r="A643" s="196" t="str">
        <f>"15.0701"</f>
        <v>15.0701</v>
      </c>
      <c r="B643" s="196" t="s">
        <v>4107</v>
      </c>
      <c r="C643" s="320" t="s">
        <v>4269</v>
      </c>
      <c r="D643" s="321" t="s">
        <v>5479</v>
      </c>
      <c r="E643" s="322" t="s">
        <v>5480</v>
      </c>
    </row>
    <row r="644" spans="1:5" ht="14.5" customHeight="1" x14ac:dyDescent="0.35">
      <c r="A644" s="196" t="str">
        <f>"15.0702"</f>
        <v>15.0702</v>
      </c>
      <c r="B644" s="196" t="s">
        <v>4107</v>
      </c>
      <c r="C644" s="320" t="s">
        <v>4269</v>
      </c>
      <c r="D644" s="321" t="s">
        <v>5481</v>
      </c>
      <c r="E644" s="322" t="s">
        <v>5482</v>
      </c>
    </row>
    <row r="645" spans="1:5" ht="14.5" customHeight="1" x14ac:dyDescent="0.35">
      <c r="A645" s="196" t="str">
        <f>"15.0703"</f>
        <v>15.0703</v>
      </c>
      <c r="B645" s="196" t="s">
        <v>4265</v>
      </c>
      <c r="C645" s="320" t="s">
        <v>4266</v>
      </c>
      <c r="D645" s="321" t="s">
        <v>5483</v>
      </c>
      <c r="E645" s="322" t="s">
        <v>5484</v>
      </c>
    </row>
    <row r="646" spans="1:5" ht="14.5" customHeight="1" x14ac:dyDescent="0.35">
      <c r="A646" s="196" t="str">
        <f>"15.0704"</f>
        <v>15.0704</v>
      </c>
      <c r="B646" s="196" t="s">
        <v>4107</v>
      </c>
      <c r="C646" s="320" t="s">
        <v>4269</v>
      </c>
      <c r="D646" s="321" t="s">
        <v>5485</v>
      </c>
      <c r="E646" s="322" t="s">
        <v>5486</v>
      </c>
    </row>
    <row r="647" spans="1:5" s="327" customFormat="1" ht="14.5" customHeight="1" x14ac:dyDescent="0.35">
      <c r="A647" s="323" t="str">
        <f>"15.0705"</f>
        <v>15.0705</v>
      </c>
      <c r="B647" s="323" t="s">
        <v>4297</v>
      </c>
      <c r="C647" s="324" t="s">
        <v>4269</v>
      </c>
      <c r="D647" s="325" t="s">
        <v>5487</v>
      </c>
      <c r="E647" s="326" t="s">
        <v>5488</v>
      </c>
    </row>
    <row r="648" spans="1:5" ht="14.5" customHeight="1" x14ac:dyDescent="0.35">
      <c r="A648" s="196" t="str">
        <f>"15.0799"</f>
        <v>15.0799</v>
      </c>
      <c r="B648" s="196" t="s">
        <v>4107</v>
      </c>
      <c r="C648" s="320" t="s">
        <v>4269</v>
      </c>
      <c r="D648" s="321" t="s">
        <v>5489</v>
      </c>
      <c r="E648" s="322" t="s">
        <v>5490</v>
      </c>
    </row>
    <row r="649" spans="1:5" ht="14.5" customHeight="1" x14ac:dyDescent="0.35">
      <c r="A649" s="196" t="str">
        <f>"15.08"</f>
        <v>15.08</v>
      </c>
      <c r="B649" s="196" t="s">
        <v>4107</v>
      </c>
      <c r="C649" s="320" t="s">
        <v>4269</v>
      </c>
      <c r="D649" s="321" t="s">
        <v>5491</v>
      </c>
      <c r="E649" s="322" t="s">
        <v>5492</v>
      </c>
    </row>
    <row r="650" spans="1:5" ht="14.5" customHeight="1" x14ac:dyDescent="0.35">
      <c r="A650" s="196" t="str">
        <f>"15.0801"</f>
        <v>15.0801</v>
      </c>
      <c r="B650" s="196" t="s">
        <v>4107</v>
      </c>
      <c r="C650" s="320" t="s">
        <v>4269</v>
      </c>
      <c r="D650" s="321" t="s">
        <v>5493</v>
      </c>
      <c r="E650" s="322" t="s">
        <v>5494</v>
      </c>
    </row>
    <row r="651" spans="1:5" ht="14.5" customHeight="1" x14ac:dyDescent="0.35">
      <c r="A651" s="196" t="str">
        <f>"15.0803"</f>
        <v>15.0803</v>
      </c>
      <c r="B651" s="196" t="s">
        <v>4107</v>
      </c>
      <c r="C651" s="320" t="s">
        <v>4269</v>
      </c>
      <c r="D651" s="321" t="s">
        <v>5495</v>
      </c>
      <c r="E651" s="322" t="s">
        <v>5496</v>
      </c>
    </row>
    <row r="652" spans="1:5" ht="14.5" customHeight="1" x14ac:dyDescent="0.35">
      <c r="A652" s="196" t="str">
        <f>"15.0805"</f>
        <v>15.0805</v>
      </c>
      <c r="B652" s="196" t="s">
        <v>4265</v>
      </c>
      <c r="C652" s="320" t="s">
        <v>4266</v>
      </c>
      <c r="D652" s="321" t="s">
        <v>5497</v>
      </c>
      <c r="E652" s="322" t="s">
        <v>5498</v>
      </c>
    </row>
    <row r="653" spans="1:5" s="327" customFormat="1" ht="14.5" customHeight="1" x14ac:dyDescent="0.35">
      <c r="A653" s="323" t="str">
        <f>"15.0806"</f>
        <v>15.0806</v>
      </c>
      <c r="B653" s="323" t="s">
        <v>4297</v>
      </c>
      <c r="C653" s="324" t="s">
        <v>4269</v>
      </c>
      <c r="D653" s="325" t="s">
        <v>5499</v>
      </c>
      <c r="E653" s="326" t="s">
        <v>5500</v>
      </c>
    </row>
    <row r="654" spans="1:5" s="327" customFormat="1" ht="14.5" customHeight="1" x14ac:dyDescent="0.35">
      <c r="A654" s="323" t="str">
        <f>"15.0807"</f>
        <v>15.0807</v>
      </c>
      <c r="B654" s="323" t="s">
        <v>4297</v>
      </c>
      <c r="C654" s="324" t="s">
        <v>4269</v>
      </c>
      <c r="D654" s="325" t="s">
        <v>5501</v>
      </c>
      <c r="E654" s="326" t="s">
        <v>5502</v>
      </c>
    </row>
    <row r="655" spans="1:5" ht="14.5" customHeight="1" x14ac:dyDescent="0.35">
      <c r="A655" s="196" t="str">
        <f>"15.0899"</f>
        <v>15.0899</v>
      </c>
      <c r="B655" s="196" t="s">
        <v>4107</v>
      </c>
      <c r="C655" s="320" t="s">
        <v>4269</v>
      </c>
      <c r="D655" s="321" t="s">
        <v>5503</v>
      </c>
      <c r="E655" s="322" t="s">
        <v>5504</v>
      </c>
    </row>
    <row r="656" spans="1:5" ht="14.5" customHeight="1" x14ac:dyDescent="0.35">
      <c r="A656" s="196" t="str">
        <f>"15.09"</f>
        <v>15.09</v>
      </c>
      <c r="B656" s="196" t="s">
        <v>4107</v>
      </c>
      <c r="C656" s="320" t="s">
        <v>4269</v>
      </c>
      <c r="D656" s="321" t="s">
        <v>5505</v>
      </c>
      <c r="E656" s="322" t="s">
        <v>5506</v>
      </c>
    </row>
    <row r="657" spans="1:5" ht="14.5" customHeight="1" x14ac:dyDescent="0.35">
      <c r="A657" s="196" t="str">
        <f>"15.0901"</f>
        <v>15.0901</v>
      </c>
      <c r="B657" s="196" t="s">
        <v>4107</v>
      </c>
      <c r="C657" s="320" t="s">
        <v>4269</v>
      </c>
      <c r="D657" s="321" t="s">
        <v>5507</v>
      </c>
      <c r="E657" s="322" t="s">
        <v>5508</v>
      </c>
    </row>
    <row r="658" spans="1:5" ht="14.5" customHeight="1" x14ac:dyDescent="0.35">
      <c r="A658" s="196" t="str">
        <f>"15.0903"</f>
        <v>15.0903</v>
      </c>
      <c r="B658" s="196" t="s">
        <v>4107</v>
      </c>
      <c r="C658" s="320" t="s">
        <v>4269</v>
      </c>
      <c r="D658" s="321" t="s">
        <v>5509</v>
      </c>
      <c r="E658" s="322" t="s">
        <v>5510</v>
      </c>
    </row>
    <row r="659" spans="1:5" ht="14.5" customHeight="1" x14ac:dyDescent="0.35">
      <c r="A659" s="196" t="str">
        <f>"15.0999"</f>
        <v>15.0999</v>
      </c>
      <c r="B659" s="196" t="s">
        <v>4107</v>
      </c>
      <c r="C659" s="320" t="s">
        <v>4269</v>
      </c>
      <c r="D659" s="321" t="s">
        <v>5511</v>
      </c>
      <c r="E659" s="322" t="s">
        <v>5512</v>
      </c>
    </row>
    <row r="660" spans="1:5" ht="14.5" customHeight="1" x14ac:dyDescent="0.35">
      <c r="A660" s="196" t="str">
        <f>"15.10"</f>
        <v>15.10</v>
      </c>
      <c r="B660" s="196" t="s">
        <v>4265</v>
      </c>
      <c r="C660" s="320" t="s">
        <v>4266</v>
      </c>
      <c r="D660" s="321" t="s">
        <v>5513</v>
      </c>
      <c r="E660" s="322" t="s">
        <v>5514</v>
      </c>
    </row>
    <row r="661" spans="1:5" ht="14.5" customHeight="1" x14ac:dyDescent="0.35">
      <c r="A661" s="196" t="str">
        <f>"15.1001"</f>
        <v>15.1001</v>
      </c>
      <c r="B661" s="196" t="s">
        <v>4107</v>
      </c>
      <c r="C661" s="320" t="s">
        <v>4269</v>
      </c>
      <c r="D661" s="321" t="s">
        <v>5513</v>
      </c>
      <c r="E661" s="322" t="s">
        <v>5515</v>
      </c>
    </row>
    <row r="662" spans="1:5" ht="14.5" customHeight="1" x14ac:dyDescent="0.35">
      <c r="A662" s="196" t="str">
        <f>"15.11"</f>
        <v>15.11</v>
      </c>
      <c r="B662" s="196" t="s">
        <v>4265</v>
      </c>
      <c r="C662" s="320" t="s">
        <v>4266</v>
      </c>
      <c r="D662" s="321" t="s">
        <v>5516</v>
      </c>
      <c r="E662" s="322" t="s">
        <v>5517</v>
      </c>
    </row>
    <row r="663" spans="1:5" ht="14.5" customHeight="1" x14ac:dyDescent="0.35">
      <c r="A663" s="196" t="str">
        <f>"15.1102"</f>
        <v>15.1102</v>
      </c>
      <c r="B663" s="196" t="s">
        <v>4107</v>
      </c>
      <c r="C663" s="320" t="s">
        <v>4269</v>
      </c>
      <c r="D663" s="321" t="s">
        <v>5518</v>
      </c>
      <c r="E663" s="322" t="s">
        <v>5519</v>
      </c>
    </row>
    <row r="664" spans="1:5" ht="14.5" customHeight="1" x14ac:dyDescent="0.35">
      <c r="A664" s="196" t="str">
        <f>"15.1103"</f>
        <v>15.1103</v>
      </c>
      <c r="B664" s="196" t="s">
        <v>4107</v>
      </c>
      <c r="C664" s="320" t="s">
        <v>4269</v>
      </c>
      <c r="D664" s="321" t="s">
        <v>5520</v>
      </c>
      <c r="E664" s="322" t="s">
        <v>5521</v>
      </c>
    </row>
    <row r="665" spans="1:5" ht="14.5" customHeight="1" x14ac:dyDescent="0.35">
      <c r="A665" s="196" t="str">
        <f>"15.1199"</f>
        <v>15.1199</v>
      </c>
      <c r="B665" s="196" t="s">
        <v>4265</v>
      </c>
      <c r="C665" s="320" t="s">
        <v>4266</v>
      </c>
      <c r="D665" s="321" t="s">
        <v>5522</v>
      </c>
      <c r="E665" s="322" t="s">
        <v>5523</v>
      </c>
    </row>
    <row r="666" spans="1:5" ht="14.5" customHeight="1" x14ac:dyDescent="0.35">
      <c r="A666" s="196" t="str">
        <f>"15.12"</f>
        <v>15.12</v>
      </c>
      <c r="B666" s="196" t="s">
        <v>4107</v>
      </c>
      <c r="C666" s="320" t="s">
        <v>4269</v>
      </c>
      <c r="D666" s="321" t="s">
        <v>5524</v>
      </c>
      <c r="E666" s="322" t="s">
        <v>5525</v>
      </c>
    </row>
    <row r="667" spans="1:5" ht="14.5" customHeight="1" x14ac:dyDescent="0.35">
      <c r="A667" s="196" t="str">
        <f>"15.1201"</f>
        <v>15.1201</v>
      </c>
      <c r="B667" s="196" t="s">
        <v>4107</v>
      </c>
      <c r="C667" s="320" t="s">
        <v>4269</v>
      </c>
      <c r="D667" s="321" t="s">
        <v>5526</v>
      </c>
      <c r="E667" s="322" t="s">
        <v>5527</v>
      </c>
    </row>
    <row r="668" spans="1:5" ht="14.5" customHeight="1" x14ac:dyDescent="0.35">
      <c r="A668" s="196" t="str">
        <f>"15.1202"</f>
        <v>15.1202</v>
      </c>
      <c r="B668" s="196" t="s">
        <v>4265</v>
      </c>
      <c r="C668" s="320" t="s">
        <v>4266</v>
      </c>
      <c r="D668" s="321" t="s">
        <v>5528</v>
      </c>
      <c r="E668" s="322" t="s">
        <v>5529</v>
      </c>
    </row>
    <row r="669" spans="1:5" ht="14.5" customHeight="1" x14ac:dyDescent="0.35">
      <c r="A669" s="196" t="str">
        <f>"15.1203"</f>
        <v>15.1203</v>
      </c>
      <c r="B669" s="196" t="s">
        <v>4107</v>
      </c>
      <c r="C669" s="320" t="s">
        <v>4269</v>
      </c>
      <c r="D669" s="321" t="s">
        <v>5530</v>
      </c>
      <c r="E669" s="322" t="s">
        <v>5531</v>
      </c>
    </row>
    <row r="670" spans="1:5" ht="14.5" customHeight="1" x14ac:dyDescent="0.35">
      <c r="A670" s="196" t="str">
        <f>"15.1204"</f>
        <v>15.1204</v>
      </c>
      <c r="B670" s="196" t="s">
        <v>4107</v>
      </c>
      <c r="C670" s="320" t="s">
        <v>4269</v>
      </c>
      <c r="D670" s="321" t="s">
        <v>5532</v>
      </c>
      <c r="E670" s="322" t="s">
        <v>5533</v>
      </c>
    </row>
    <row r="671" spans="1:5" ht="14.5" customHeight="1" x14ac:dyDescent="0.35">
      <c r="A671" s="196" t="str">
        <f>"15.1299"</f>
        <v>15.1299</v>
      </c>
      <c r="B671" s="196" t="s">
        <v>4107</v>
      </c>
      <c r="C671" s="320" t="s">
        <v>4269</v>
      </c>
      <c r="D671" s="321" t="s">
        <v>5534</v>
      </c>
      <c r="E671" s="322" t="s">
        <v>5535</v>
      </c>
    </row>
    <row r="672" spans="1:5" ht="14.5" customHeight="1" x14ac:dyDescent="0.35">
      <c r="A672" s="196" t="str">
        <f>"15.13"</f>
        <v>15.13</v>
      </c>
      <c r="B672" s="196" t="s">
        <v>4107</v>
      </c>
      <c r="C672" s="320" t="s">
        <v>4269</v>
      </c>
      <c r="D672" s="321" t="s">
        <v>5536</v>
      </c>
      <c r="E672" s="322" t="s">
        <v>5537</v>
      </c>
    </row>
    <row r="673" spans="1:5" ht="14.5" customHeight="1" x14ac:dyDescent="0.35">
      <c r="A673" s="196" t="str">
        <f>"15.1301"</f>
        <v>15.1301</v>
      </c>
      <c r="B673" s="196" t="s">
        <v>4107</v>
      </c>
      <c r="C673" s="320" t="s">
        <v>4269</v>
      </c>
      <c r="D673" s="321" t="s">
        <v>5538</v>
      </c>
      <c r="E673" s="322" t="s">
        <v>5539</v>
      </c>
    </row>
    <row r="674" spans="1:5" ht="14.5" customHeight="1" x14ac:dyDescent="0.35">
      <c r="A674" s="196" t="str">
        <f>"15.1302"</f>
        <v>15.1302</v>
      </c>
      <c r="B674" s="196" t="s">
        <v>4107</v>
      </c>
      <c r="C674" s="320" t="s">
        <v>4269</v>
      </c>
      <c r="D674" s="321" t="s">
        <v>5540</v>
      </c>
      <c r="E674" s="322" t="s">
        <v>5541</v>
      </c>
    </row>
    <row r="675" spans="1:5" ht="14.5" customHeight="1" x14ac:dyDescent="0.35">
      <c r="A675" s="196" t="str">
        <f>"15.1303"</f>
        <v>15.1303</v>
      </c>
      <c r="B675" s="196" t="s">
        <v>4107</v>
      </c>
      <c r="C675" s="320" t="s">
        <v>4269</v>
      </c>
      <c r="D675" s="321" t="s">
        <v>5542</v>
      </c>
      <c r="E675" s="322" t="s">
        <v>5543</v>
      </c>
    </row>
    <row r="676" spans="1:5" ht="14.5" customHeight="1" x14ac:dyDescent="0.35">
      <c r="A676" s="196" t="str">
        <f>"15.1304"</f>
        <v>15.1304</v>
      </c>
      <c r="B676" s="196" t="s">
        <v>4107</v>
      </c>
      <c r="C676" s="320" t="s">
        <v>4269</v>
      </c>
      <c r="D676" s="321" t="s">
        <v>5544</v>
      </c>
      <c r="E676" s="322" t="s">
        <v>5545</v>
      </c>
    </row>
    <row r="677" spans="1:5" ht="14.5" customHeight="1" x14ac:dyDescent="0.35">
      <c r="A677" s="196" t="str">
        <f>"15.1305"</f>
        <v>15.1305</v>
      </c>
      <c r="B677" s="196" t="s">
        <v>4107</v>
      </c>
      <c r="C677" s="320" t="s">
        <v>4269</v>
      </c>
      <c r="D677" s="321" t="s">
        <v>5546</v>
      </c>
      <c r="E677" s="322" t="s">
        <v>5547</v>
      </c>
    </row>
    <row r="678" spans="1:5" ht="14.5" customHeight="1" x14ac:dyDescent="0.35">
      <c r="A678" s="196" t="str">
        <f>"15.1306"</f>
        <v>15.1306</v>
      </c>
      <c r="B678" s="196" t="s">
        <v>4107</v>
      </c>
      <c r="C678" s="320" t="s">
        <v>4269</v>
      </c>
      <c r="D678" s="321" t="s">
        <v>5548</v>
      </c>
      <c r="E678" s="322" t="s">
        <v>5549</v>
      </c>
    </row>
    <row r="679" spans="1:5" s="327" customFormat="1" ht="14.5" customHeight="1" x14ac:dyDescent="0.35">
      <c r="A679" s="323" t="str">
        <f>"15.1307"</f>
        <v>15.1307</v>
      </c>
      <c r="B679" s="323" t="s">
        <v>4297</v>
      </c>
      <c r="C679" s="324" t="s">
        <v>4269</v>
      </c>
      <c r="D679" s="325" t="s">
        <v>5550</v>
      </c>
      <c r="E679" s="326" t="s">
        <v>5551</v>
      </c>
    </row>
    <row r="680" spans="1:5" ht="14.5" customHeight="1" x14ac:dyDescent="0.35">
      <c r="A680" s="196" t="str">
        <f>"15.1399"</f>
        <v>15.1399</v>
      </c>
      <c r="B680" s="196" t="s">
        <v>4107</v>
      </c>
      <c r="C680" s="320" t="s">
        <v>4269</v>
      </c>
      <c r="D680" s="321" t="s">
        <v>5552</v>
      </c>
      <c r="E680" s="322" t="s">
        <v>5553</v>
      </c>
    </row>
    <row r="681" spans="1:5" ht="14.5" customHeight="1" x14ac:dyDescent="0.35">
      <c r="A681" s="196" t="str">
        <f>"15.14"</f>
        <v>15.14</v>
      </c>
      <c r="B681" s="196" t="s">
        <v>4265</v>
      </c>
      <c r="C681" s="320" t="s">
        <v>4266</v>
      </c>
      <c r="D681" s="321" t="s">
        <v>5554</v>
      </c>
      <c r="E681" s="322" t="s">
        <v>5555</v>
      </c>
    </row>
    <row r="682" spans="1:5" ht="14.5" customHeight="1" x14ac:dyDescent="0.35">
      <c r="A682" s="196" t="str">
        <f>"15.1401"</f>
        <v>15.1401</v>
      </c>
      <c r="B682" s="196" t="s">
        <v>4107</v>
      </c>
      <c r="C682" s="320" t="s">
        <v>4269</v>
      </c>
      <c r="D682" s="321" t="s">
        <v>5554</v>
      </c>
      <c r="E682" s="322" t="s">
        <v>5556</v>
      </c>
    </row>
    <row r="683" spans="1:5" ht="14.5" customHeight="1" x14ac:dyDescent="0.35">
      <c r="A683" s="196" t="str">
        <f>"15.15"</f>
        <v>15.15</v>
      </c>
      <c r="B683" s="196" t="s">
        <v>4107</v>
      </c>
      <c r="C683" s="320" t="s">
        <v>4269</v>
      </c>
      <c r="D683" s="321" t="s">
        <v>5557</v>
      </c>
      <c r="E683" s="322" t="s">
        <v>5558</v>
      </c>
    </row>
    <row r="684" spans="1:5" ht="14.5" customHeight="1" x14ac:dyDescent="0.35">
      <c r="A684" s="196" t="str">
        <f>"15.1501"</f>
        <v>15.1501</v>
      </c>
      <c r="B684" s="196" t="s">
        <v>4107</v>
      </c>
      <c r="C684" s="320" t="s">
        <v>4269</v>
      </c>
      <c r="D684" s="321" t="s">
        <v>5559</v>
      </c>
      <c r="E684" s="322" t="s">
        <v>5560</v>
      </c>
    </row>
    <row r="685" spans="1:5" ht="14.5" customHeight="1" x14ac:dyDescent="0.35">
      <c r="A685" s="196" t="str">
        <f>"15.1502"</f>
        <v>15.1502</v>
      </c>
      <c r="B685" s="196" t="s">
        <v>4107</v>
      </c>
      <c r="C685" s="320" t="s">
        <v>4269</v>
      </c>
      <c r="D685" s="321" t="s">
        <v>5561</v>
      </c>
      <c r="E685" s="322" t="s">
        <v>5562</v>
      </c>
    </row>
    <row r="686" spans="1:5" ht="14.5" customHeight="1" x14ac:dyDescent="0.35">
      <c r="A686" s="196" t="str">
        <f>"15.1503"</f>
        <v>15.1503</v>
      </c>
      <c r="B686" s="196" t="s">
        <v>4107</v>
      </c>
      <c r="C686" s="320" t="s">
        <v>4269</v>
      </c>
      <c r="D686" s="321" t="s">
        <v>5563</v>
      </c>
      <c r="E686" s="322" t="s">
        <v>5564</v>
      </c>
    </row>
    <row r="687" spans="1:5" ht="14.5" customHeight="1" x14ac:dyDescent="0.35">
      <c r="A687" s="196" t="str">
        <f>"15.1599"</f>
        <v>15.1599</v>
      </c>
      <c r="B687" s="196" t="s">
        <v>4107</v>
      </c>
      <c r="C687" s="320" t="s">
        <v>4269</v>
      </c>
      <c r="D687" s="321" t="s">
        <v>5565</v>
      </c>
      <c r="E687" s="322" t="s">
        <v>5566</v>
      </c>
    </row>
    <row r="688" spans="1:5" ht="14.5" customHeight="1" x14ac:dyDescent="0.35">
      <c r="A688" s="196" t="str">
        <f>"15.16"</f>
        <v>15.16</v>
      </c>
      <c r="B688" s="196" t="s">
        <v>4107</v>
      </c>
      <c r="C688" s="320" t="s">
        <v>4269</v>
      </c>
      <c r="D688" s="321" t="s">
        <v>5567</v>
      </c>
      <c r="E688" s="322" t="s">
        <v>5568</v>
      </c>
    </row>
    <row r="689" spans="1:5" ht="14.5" customHeight="1" x14ac:dyDescent="0.35">
      <c r="A689" s="196" t="str">
        <f>"15.1601"</f>
        <v>15.1601</v>
      </c>
      <c r="B689" s="196" t="s">
        <v>4107</v>
      </c>
      <c r="C689" s="320" t="s">
        <v>4269</v>
      </c>
      <c r="D689" s="321" t="s">
        <v>5567</v>
      </c>
      <c r="E689" s="322" t="s">
        <v>5569</v>
      </c>
    </row>
    <row r="690" spans="1:5" s="327" customFormat="1" ht="14.5" customHeight="1" x14ac:dyDescent="0.35">
      <c r="A690" s="323" t="str">
        <f>"15.17"</f>
        <v>15.17</v>
      </c>
      <c r="B690" s="323" t="s">
        <v>4297</v>
      </c>
      <c r="C690" s="324" t="s">
        <v>4269</v>
      </c>
      <c r="D690" s="325" t="s">
        <v>5570</v>
      </c>
      <c r="E690" s="326" t="s">
        <v>5571</v>
      </c>
    </row>
    <row r="691" spans="1:5" s="327" customFormat="1" ht="14.5" customHeight="1" x14ac:dyDescent="0.35">
      <c r="A691" s="323" t="str">
        <f>"15.1701"</f>
        <v>15.1701</v>
      </c>
      <c r="B691" s="323" t="s">
        <v>4403</v>
      </c>
      <c r="C691" s="324" t="s">
        <v>4266</v>
      </c>
      <c r="D691" s="325" t="s">
        <v>5572</v>
      </c>
      <c r="E691" s="326" t="s">
        <v>5573</v>
      </c>
    </row>
    <row r="692" spans="1:5" s="327" customFormat="1" ht="14.5" customHeight="1" x14ac:dyDescent="0.35">
      <c r="A692" s="323" t="str">
        <f>"15.1702"</f>
        <v>15.1702</v>
      </c>
      <c r="B692" s="323" t="s">
        <v>4297</v>
      </c>
      <c r="C692" s="324" t="s">
        <v>4269</v>
      </c>
      <c r="D692" s="325" t="s">
        <v>5574</v>
      </c>
      <c r="E692" s="326" t="s">
        <v>5575</v>
      </c>
    </row>
    <row r="693" spans="1:5" s="327" customFormat="1" ht="14.5" customHeight="1" x14ac:dyDescent="0.35">
      <c r="A693" s="323" t="str">
        <f>"15.1703"</f>
        <v>15.1703</v>
      </c>
      <c r="B693" s="323" t="s">
        <v>4403</v>
      </c>
      <c r="C693" s="324" t="s">
        <v>4269</v>
      </c>
      <c r="D693" s="325" t="s">
        <v>5447</v>
      </c>
      <c r="E693" s="326" t="s">
        <v>5576</v>
      </c>
    </row>
    <row r="694" spans="1:5" s="327" customFormat="1" ht="14.5" customHeight="1" x14ac:dyDescent="0.35">
      <c r="A694" s="323" t="str">
        <f>"15.1704"</f>
        <v>15.1704</v>
      </c>
      <c r="B694" s="323" t="s">
        <v>4297</v>
      </c>
      <c r="C694" s="324" t="s">
        <v>4269</v>
      </c>
      <c r="D694" s="325" t="s">
        <v>5577</v>
      </c>
      <c r="E694" s="326" t="s">
        <v>5578</v>
      </c>
    </row>
    <row r="695" spans="1:5" s="327" customFormat="1" ht="14.5" customHeight="1" x14ac:dyDescent="0.35">
      <c r="A695" s="323" t="str">
        <f>"15.1705"</f>
        <v>15.1705</v>
      </c>
      <c r="B695" s="323" t="s">
        <v>4297</v>
      </c>
      <c r="C695" s="324" t="s">
        <v>4269</v>
      </c>
      <c r="D695" s="325" t="s">
        <v>5579</v>
      </c>
      <c r="E695" s="326" t="s">
        <v>5580</v>
      </c>
    </row>
    <row r="696" spans="1:5" s="327" customFormat="1" ht="14.5" customHeight="1" x14ac:dyDescent="0.35">
      <c r="A696" s="323" t="str">
        <f>"15.1706"</f>
        <v>15.1706</v>
      </c>
      <c r="B696" s="323" t="s">
        <v>4297</v>
      </c>
      <c r="C696" s="324" t="s">
        <v>4269</v>
      </c>
      <c r="D696" s="325" t="s">
        <v>5581</v>
      </c>
      <c r="E696" s="326" t="s">
        <v>5582</v>
      </c>
    </row>
    <row r="697" spans="1:5" s="327" customFormat="1" ht="14.5" customHeight="1" x14ac:dyDescent="0.35">
      <c r="A697" s="323" t="str">
        <f>"15.1799"</f>
        <v>15.1799</v>
      </c>
      <c r="B697" s="323" t="s">
        <v>4297</v>
      </c>
      <c r="C697" s="324" t="s">
        <v>4269</v>
      </c>
      <c r="D697" s="325" t="s">
        <v>5583</v>
      </c>
      <c r="E697" s="326" t="s">
        <v>5584</v>
      </c>
    </row>
    <row r="698" spans="1:5" ht="14.5" customHeight="1" x14ac:dyDescent="0.35">
      <c r="A698" s="196" t="str">
        <f>"15.99"</f>
        <v>15.99</v>
      </c>
      <c r="B698" s="196" t="s">
        <v>4265</v>
      </c>
      <c r="C698" s="320" t="s">
        <v>4266</v>
      </c>
      <c r="D698" s="321" t="s">
        <v>5585</v>
      </c>
      <c r="E698" s="322" t="s">
        <v>5586</v>
      </c>
    </row>
    <row r="699" spans="1:5" ht="14.5" customHeight="1" x14ac:dyDescent="0.35">
      <c r="A699" s="196" t="str">
        <f>"15.9999"</f>
        <v>15.9999</v>
      </c>
      <c r="B699" s="196" t="s">
        <v>4265</v>
      </c>
      <c r="C699" s="320" t="s">
        <v>4266</v>
      </c>
      <c r="D699" s="321" t="s">
        <v>5585</v>
      </c>
      <c r="E699" s="322" t="s">
        <v>5587</v>
      </c>
    </row>
    <row r="700" spans="1:5" ht="14.5" customHeight="1" x14ac:dyDescent="0.35">
      <c r="A700" s="196" t="str">
        <f>"16"</f>
        <v>16</v>
      </c>
      <c r="B700" s="196" t="s">
        <v>4107</v>
      </c>
      <c r="C700" s="320" t="s">
        <v>4269</v>
      </c>
      <c r="D700" s="321" t="s">
        <v>5588</v>
      </c>
      <c r="E700" s="322" t="s">
        <v>5589</v>
      </c>
    </row>
    <row r="701" spans="1:5" ht="14.5" customHeight="1" x14ac:dyDescent="0.35">
      <c r="A701" s="196" t="str">
        <f>"16.01"</f>
        <v>16.01</v>
      </c>
      <c r="B701" s="196" t="s">
        <v>4107</v>
      </c>
      <c r="C701" s="320" t="s">
        <v>4269</v>
      </c>
      <c r="D701" s="321" t="s">
        <v>5590</v>
      </c>
      <c r="E701" s="322" t="s">
        <v>5591</v>
      </c>
    </row>
    <row r="702" spans="1:5" ht="14.5" customHeight="1" x14ac:dyDescent="0.35">
      <c r="A702" s="196" t="str">
        <f>"16.0101"</f>
        <v>16.0101</v>
      </c>
      <c r="B702" s="196" t="s">
        <v>4107</v>
      </c>
      <c r="C702" s="320" t="s">
        <v>4269</v>
      </c>
      <c r="D702" s="321" t="s">
        <v>5592</v>
      </c>
      <c r="E702" s="322" t="s">
        <v>5593</v>
      </c>
    </row>
    <row r="703" spans="1:5" ht="14.5" customHeight="1" x14ac:dyDescent="0.35">
      <c r="A703" s="196" t="str">
        <f>"16.0102"</f>
        <v>16.0102</v>
      </c>
      <c r="B703" s="196" t="s">
        <v>4107</v>
      </c>
      <c r="C703" s="320" t="s">
        <v>4269</v>
      </c>
      <c r="D703" s="321" t="s">
        <v>5594</v>
      </c>
      <c r="E703" s="322" t="s">
        <v>5595</v>
      </c>
    </row>
    <row r="704" spans="1:5" ht="14.5" customHeight="1" x14ac:dyDescent="0.35">
      <c r="A704" s="196" t="str">
        <f>"16.0103"</f>
        <v>16.0103</v>
      </c>
      <c r="B704" s="196" t="s">
        <v>4107</v>
      </c>
      <c r="C704" s="320" t="s">
        <v>4269</v>
      </c>
      <c r="D704" s="321" t="s">
        <v>5596</v>
      </c>
      <c r="E704" s="322" t="s">
        <v>5597</v>
      </c>
    </row>
    <row r="705" spans="1:5" ht="14.5" customHeight="1" x14ac:dyDescent="0.35">
      <c r="A705" s="196" t="str">
        <f>"16.0104"</f>
        <v>16.0104</v>
      </c>
      <c r="B705" s="196" t="s">
        <v>4107</v>
      </c>
      <c r="C705" s="320" t="s">
        <v>4269</v>
      </c>
      <c r="D705" s="321" t="s">
        <v>5598</v>
      </c>
      <c r="E705" s="322" t="s">
        <v>5599</v>
      </c>
    </row>
    <row r="706" spans="1:5" ht="14.5" customHeight="1" x14ac:dyDescent="0.35">
      <c r="A706" s="196" t="str">
        <f>"16.0105"</f>
        <v>16.0105</v>
      </c>
      <c r="B706" s="196" t="s">
        <v>4107</v>
      </c>
      <c r="C706" s="320" t="s">
        <v>4269</v>
      </c>
      <c r="D706" s="321" t="s">
        <v>5600</v>
      </c>
      <c r="E706" s="322" t="s">
        <v>5601</v>
      </c>
    </row>
    <row r="707" spans="1:5" ht="14.5" customHeight="1" x14ac:dyDescent="0.35">
      <c r="A707" s="196" t="str">
        <f>"16.0199"</f>
        <v>16.0199</v>
      </c>
      <c r="B707" s="196" t="s">
        <v>4107</v>
      </c>
      <c r="C707" s="320" t="s">
        <v>4269</v>
      </c>
      <c r="D707" s="321" t="s">
        <v>5602</v>
      </c>
      <c r="E707" s="322" t="s">
        <v>5603</v>
      </c>
    </row>
    <row r="708" spans="1:5" ht="14.5" customHeight="1" x14ac:dyDescent="0.35">
      <c r="A708" s="196" t="str">
        <f>"16.02"</f>
        <v>16.02</v>
      </c>
      <c r="B708" s="196" t="s">
        <v>4107</v>
      </c>
      <c r="C708" s="320" t="s">
        <v>4269</v>
      </c>
      <c r="D708" s="321" t="s">
        <v>5604</v>
      </c>
      <c r="E708" s="322" t="s">
        <v>5605</v>
      </c>
    </row>
    <row r="709" spans="1:5" ht="14.5" customHeight="1" x14ac:dyDescent="0.35">
      <c r="A709" s="196" t="str">
        <f>"16.0201"</f>
        <v>16.0201</v>
      </c>
      <c r="B709" s="196" t="s">
        <v>4107</v>
      </c>
      <c r="C709" s="320" t="s">
        <v>4269</v>
      </c>
      <c r="D709" s="321" t="s">
        <v>5604</v>
      </c>
      <c r="E709" s="322" t="s">
        <v>5606</v>
      </c>
    </row>
    <row r="710" spans="1:5" ht="14.5" customHeight="1" x14ac:dyDescent="0.35">
      <c r="A710" s="196" t="str">
        <f>"16.03"</f>
        <v>16.03</v>
      </c>
      <c r="B710" s="196" t="s">
        <v>4107</v>
      </c>
      <c r="C710" s="320" t="s">
        <v>4269</v>
      </c>
      <c r="D710" s="321" t="s">
        <v>5607</v>
      </c>
      <c r="E710" s="322" t="s">
        <v>5608</v>
      </c>
    </row>
    <row r="711" spans="1:5" ht="14.5" customHeight="1" x14ac:dyDescent="0.35">
      <c r="A711" s="196" t="str">
        <f>"16.0300"</f>
        <v>16.0300</v>
      </c>
      <c r="B711" s="196" t="s">
        <v>4107</v>
      </c>
      <c r="C711" s="320" t="s">
        <v>4269</v>
      </c>
      <c r="D711" s="321" t="s">
        <v>5609</v>
      </c>
      <c r="E711" s="322" t="s">
        <v>5610</v>
      </c>
    </row>
    <row r="712" spans="1:5" ht="14.5" customHeight="1" x14ac:dyDescent="0.35">
      <c r="A712" s="196" t="str">
        <f>"16.0301"</f>
        <v>16.0301</v>
      </c>
      <c r="B712" s="196" t="s">
        <v>4107</v>
      </c>
      <c r="C712" s="320" t="s">
        <v>4269</v>
      </c>
      <c r="D712" s="321" t="s">
        <v>5611</v>
      </c>
      <c r="E712" s="322" t="s">
        <v>5612</v>
      </c>
    </row>
    <row r="713" spans="1:5" ht="14.5" customHeight="1" x14ac:dyDescent="0.35">
      <c r="A713" s="196" t="str">
        <f>"16.0302"</f>
        <v>16.0302</v>
      </c>
      <c r="B713" s="196" t="s">
        <v>4107</v>
      </c>
      <c r="C713" s="320" t="s">
        <v>4269</v>
      </c>
      <c r="D713" s="321" t="s">
        <v>5613</v>
      </c>
      <c r="E713" s="322" t="s">
        <v>5614</v>
      </c>
    </row>
    <row r="714" spans="1:5" ht="14.5" customHeight="1" x14ac:dyDescent="0.35">
      <c r="A714" s="196" t="str">
        <f>"16.0303"</f>
        <v>16.0303</v>
      </c>
      <c r="B714" s="196" t="s">
        <v>4107</v>
      </c>
      <c r="C714" s="320" t="s">
        <v>4269</v>
      </c>
      <c r="D714" s="321" t="s">
        <v>5615</v>
      </c>
      <c r="E714" s="322" t="s">
        <v>5616</v>
      </c>
    </row>
    <row r="715" spans="1:5" ht="14.5" customHeight="1" x14ac:dyDescent="0.35">
      <c r="A715" s="196" t="str">
        <f>"16.0304"</f>
        <v>16.0304</v>
      </c>
      <c r="B715" s="196" t="s">
        <v>4107</v>
      </c>
      <c r="C715" s="320" t="s">
        <v>4269</v>
      </c>
      <c r="D715" s="321" t="s">
        <v>5617</v>
      </c>
      <c r="E715" s="322" t="s">
        <v>5618</v>
      </c>
    </row>
    <row r="716" spans="1:5" ht="14.5" customHeight="1" x14ac:dyDescent="0.35">
      <c r="A716" s="196" t="str">
        <f>"16.0399"</f>
        <v>16.0399</v>
      </c>
      <c r="B716" s="196" t="s">
        <v>4107</v>
      </c>
      <c r="C716" s="320" t="s">
        <v>4269</v>
      </c>
      <c r="D716" s="321" t="s">
        <v>5619</v>
      </c>
      <c r="E716" s="322" t="s">
        <v>5620</v>
      </c>
    </row>
    <row r="717" spans="1:5" ht="14.5" customHeight="1" x14ac:dyDescent="0.35">
      <c r="A717" s="196" t="str">
        <f>"16.04"</f>
        <v>16.04</v>
      </c>
      <c r="B717" s="196" t="s">
        <v>4107</v>
      </c>
      <c r="C717" s="320" t="s">
        <v>4269</v>
      </c>
      <c r="D717" s="321" t="s">
        <v>5621</v>
      </c>
      <c r="E717" s="322" t="s">
        <v>5622</v>
      </c>
    </row>
    <row r="718" spans="1:5" ht="14.5" customHeight="1" x14ac:dyDescent="0.35">
      <c r="A718" s="196" t="str">
        <f>"16.0400"</f>
        <v>16.0400</v>
      </c>
      <c r="B718" s="196" t="s">
        <v>4107</v>
      </c>
      <c r="C718" s="320" t="s">
        <v>4269</v>
      </c>
      <c r="D718" s="321" t="s">
        <v>5623</v>
      </c>
      <c r="E718" s="322" t="s">
        <v>5624</v>
      </c>
    </row>
    <row r="719" spans="1:5" ht="14.5" customHeight="1" x14ac:dyDescent="0.35">
      <c r="A719" s="196" t="str">
        <f>"16.0401"</f>
        <v>16.0401</v>
      </c>
      <c r="B719" s="196" t="s">
        <v>4107</v>
      </c>
      <c r="C719" s="320" t="s">
        <v>4269</v>
      </c>
      <c r="D719" s="321" t="s">
        <v>5625</v>
      </c>
      <c r="E719" s="322" t="s">
        <v>5626</v>
      </c>
    </row>
    <row r="720" spans="1:5" ht="14.5" customHeight="1" x14ac:dyDescent="0.35">
      <c r="A720" s="196" t="str">
        <f>"16.0402"</f>
        <v>16.0402</v>
      </c>
      <c r="B720" s="196" t="s">
        <v>4107</v>
      </c>
      <c r="C720" s="320" t="s">
        <v>4269</v>
      </c>
      <c r="D720" s="321" t="s">
        <v>5627</v>
      </c>
      <c r="E720" s="322" t="s">
        <v>5628</v>
      </c>
    </row>
    <row r="721" spans="1:5" ht="14.5" customHeight="1" x14ac:dyDescent="0.35">
      <c r="A721" s="196" t="str">
        <f>"16.0404"</f>
        <v>16.0404</v>
      </c>
      <c r="B721" s="196" t="s">
        <v>4107</v>
      </c>
      <c r="C721" s="320" t="s">
        <v>4269</v>
      </c>
      <c r="D721" s="321" t="s">
        <v>5629</v>
      </c>
      <c r="E721" s="322" t="s">
        <v>5630</v>
      </c>
    </row>
    <row r="722" spans="1:5" ht="14.5" customHeight="1" x14ac:dyDescent="0.35">
      <c r="A722" s="196" t="str">
        <f>"16.0405"</f>
        <v>16.0405</v>
      </c>
      <c r="B722" s="196" t="s">
        <v>4107</v>
      </c>
      <c r="C722" s="320" t="s">
        <v>4269</v>
      </c>
      <c r="D722" s="321" t="s">
        <v>5631</v>
      </c>
      <c r="E722" s="322" t="s">
        <v>5632</v>
      </c>
    </row>
    <row r="723" spans="1:5" ht="14.5" customHeight="1" x14ac:dyDescent="0.35">
      <c r="A723" s="196" t="str">
        <f>"16.0406"</f>
        <v>16.0406</v>
      </c>
      <c r="B723" s="196" t="s">
        <v>4107</v>
      </c>
      <c r="C723" s="320" t="s">
        <v>4269</v>
      </c>
      <c r="D723" s="321" t="s">
        <v>5633</v>
      </c>
      <c r="E723" s="322" t="s">
        <v>5634</v>
      </c>
    </row>
    <row r="724" spans="1:5" ht="14.5" customHeight="1" x14ac:dyDescent="0.35">
      <c r="A724" s="196" t="str">
        <f>"16.0407"</f>
        <v>16.0407</v>
      </c>
      <c r="B724" s="196" t="s">
        <v>4107</v>
      </c>
      <c r="C724" s="320" t="s">
        <v>4269</v>
      </c>
      <c r="D724" s="321" t="s">
        <v>5635</v>
      </c>
      <c r="E724" s="322" t="s">
        <v>5636</v>
      </c>
    </row>
    <row r="725" spans="1:5" ht="14.5" customHeight="1" x14ac:dyDescent="0.35">
      <c r="A725" s="196" t="str">
        <f>"16.0408"</f>
        <v>16.0408</v>
      </c>
      <c r="B725" s="196" t="s">
        <v>4107</v>
      </c>
      <c r="C725" s="320" t="s">
        <v>4269</v>
      </c>
      <c r="D725" s="321" t="s">
        <v>5637</v>
      </c>
      <c r="E725" s="322" t="s">
        <v>5638</v>
      </c>
    </row>
    <row r="726" spans="1:5" ht="14.5" customHeight="1" x14ac:dyDescent="0.35">
      <c r="A726" s="196" t="str">
        <f>"16.0409"</f>
        <v>16.0409</v>
      </c>
      <c r="B726" s="196" t="s">
        <v>4107</v>
      </c>
      <c r="C726" s="320" t="s">
        <v>4269</v>
      </c>
      <c r="D726" s="321" t="s">
        <v>5639</v>
      </c>
      <c r="E726" s="322" t="s">
        <v>5640</v>
      </c>
    </row>
    <row r="727" spans="1:5" ht="14.5" customHeight="1" x14ac:dyDescent="0.35">
      <c r="A727" s="196" t="str">
        <f>"16.0410"</f>
        <v>16.0410</v>
      </c>
      <c r="B727" s="196" t="s">
        <v>4107</v>
      </c>
      <c r="C727" s="320" t="s">
        <v>4269</v>
      </c>
      <c r="D727" s="321" t="s">
        <v>5641</v>
      </c>
      <c r="E727" s="322" t="s">
        <v>5642</v>
      </c>
    </row>
    <row r="728" spans="1:5" ht="14.5" customHeight="1" x14ac:dyDescent="0.35">
      <c r="A728" s="196" t="str">
        <f>"16.0499"</f>
        <v>16.0499</v>
      </c>
      <c r="B728" s="196" t="s">
        <v>4107</v>
      </c>
      <c r="C728" s="320" t="s">
        <v>4269</v>
      </c>
      <c r="D728" s="321" t="s">
        <v>5643</v>
      </c>
      <c r="E728" s="322" t="s">
        <v>5644</v>
      </c>
    </row>
    <row r="729" spans="1:5" ht="14.5" customHeight="1" x14ac:dyDescent="0.35">
      <c r="A729" s="196" t="str">
        <f>"16.05"</f>
        <v>16.05</v>
      </c>
      <c r="B729" s="196" t="s">
        <v>4107</v>
      </c>
      <c r="C729" s="320" t="s">
        <v>4269</v>
      </c>
      <c r="D729" s="321" t="s">
        <v>5645</v>
      </c>
      <c r="E729" s="322" t="s">
        <v>5646</v>
      </c>
    </row>
    <row r="730" spans="1:5" ht="14.5" customHeight="1" x14ac:dyDescent="0.35">
      <c r="A730" s="196" t="str">
        <f>"16.0500"</f>
        <v>16.0500</v>
      </c>
      <c r="B730" s="196" t="s">
        <v>4107</v>
      </c>
      <c r="C730" s="320" t="s">
        <v>4269</v>
      </c>
      <c r="D730" s="321" t="s">
        <v>5647</v>
      </c>
      <c r="E730" s="322" t="s">
        <v>5648</v>
      </c>
    </row>
    <row r="731" spans="1:5" ht="14.5" customHeight="1" x14ac:dyDescent="0.35">
      <c r="A731" s="196" t="str">
        <f>"16.0501"</f>
        <v>16.0501</v>
      </c>
      <c r="B731" s="196" t="s">
        <v>4107</v>
      </c>
      <c r="C731" s="320" t="s">
        <v>4269</v>
      </c>
      <c r="D731" s="321" t="s">
        <v>5649</v>
      </c>
      <c r="E731" s="322" t="s">
        <v>5650</v>
      </c>
    </row>
    <row r="732" spans="1:5" ht="14.5" customHeight="1" x14ac:dyDescent="0.35">
      <c r="A732" s="196" t="str">
        <f>"16.0502"</f>
        <v>16.0502</v>
      </c>
      <c r="B732" s="196" t="s">
        <v>4107</v>
      </c>
      <c r="C732" s="320" t="s">
        <v>4269</v>
      </c>
      <c r="D732" s="321" t="s">
        <v>5651</v>
      </c>
      <c r="E732" s="322" t="s">
        <v>5652</v>
      </c>
    </row>
    <row r="733" spans="1:5" ht="14.5" customHeight="1" x14ac:dyDescent="0.35">
      <c r="A733" s="196" t="str">
        <f>"16.0503"</f>
        <v>16.0503</v>
      </c>
      <c r="B733" s="196" t="s">
        <v>4107</v>
      </c>
      <c r="C733" s="320" t="s">
        <v>4269</v>
      </c>
      <c r="D733" s="321" t="s">
        <v>5653</v>
      </c>
      <c r="E733" s="322" t="s">
        <v>5654</v>
      </c>
    </row>
    <row r="734" spans="1:5" ht="14.5" customHeight="1" x14ac:dyDescent="0.35">
      <c r="A734" s="196" t="str">
        <f>"16.0504"</f>
        <v>16.0504</v>
      </c>
      <c r="B734" s="196" t="s">
        <v>4107</v>
      </c>
      <c r="C734" s="320" t="s">
        <v>4269</v>
      </c>
      <c r="D734" s="321" t="s">
        <v>5655</v>
      </c>
      <c r="E734" s="322" t="s">
        <v>5656</v>
      </c>
    </row>
    <row r="735" spans="1:5" ht="14.5" customHeight="1" x14ac:dyDescent="0.35">
      <c r="A735" s="196" t="str">
        <f>"16.0505"</f>
        <v>16.0505</v>
      </c>
      <c r="B735" s="196" t="s">
        <v>4107</v>
      </c>
      <c r="C735" s="320" t="s">
        <v>4269</v>
      </c>
      <c r="D735" s="321" t="s">
        <v>5657</v>
      </c>
      <c r="E735" s="322" t="s">
        <v>5658</v>
      </c>
    </row>
    <row r="736" spans="1:5" ht="14.5" customHeight="1" x14ac:dyDescent="0.35">
      <c r="A736" s="196" t="str">
        <f>"16.0506"</f>
        <v>16.0506</v>
      </c>
      <c r="B736" s="196" t="s">
        <v>4107</v>
      </c>
      <c r="C736" s="320" t="s">
        <v>4269</v>
      </c>
      <c r="D736" s="321" t="s">
        <v>5659</v>
      </c>
      <c r="E736" s="322" t="s">
        <v>5660</v>
      </c>
    </row>
    <row r="737" spans="1:5" ht="14.5" customHeight="1" x14ac:dyDescent="0.35">
      <c r="A737" s="196" t="str">
        <f>"16.0599"</f>
        <v>16.0599</v>
      </c>
      <c r="B737" s="196" t="s">
        <v>4107</v>
      </c>
      <c r="C737" s="320" t="s">
        <v>4269</v>
      </c>
      <c r="D737" s="321" t="s">
        <v>5661</v>
      </c>
      <c r="E737" s="322" t="s">
        <v>5662</v>
      </c>
    </row>
    <row r="738" spans="1:5" ht="14.5" customHeight="1" x14ac:dyDescent="0.35">
      <c r="A738" s="196" t="str">
        <f>"16.06"</f>
        <v>16.06</v>
      </c>
      <c r="B738" s="196" t="s">
        <v>4107</v>
      </c>
      <c r="C738" s="320" t="s">
        <v>4269</v>
      </c>
      <c r="D738" s="321" t="s">
        <v>5663</v>
      </c>
      <c r="E738" s="322" t="s">
        <v>5664</v>
      </c>
    </row>
    <row r="739" spans="1:5" ht="14.5" customHeight="1" x14ac:dyDescent="0.35">
      <c r="A739" s="196" t="str">
        <f>"16.0601"</f>
        <v>16.0601</v>
      </c>
      <c r="B739" s="196" t="s">
        <v>4107</v>
      </c>
      <c r="C739" s="320" t="s">
        <v>4269</v>
      </c>
      <c r="D739" s="321" t="s">
        <v>5663</v>
      </c>
      <c r="E739" s="322" t="s">
        <v>5665</v>
      </c>
    </row>
    <row r="740" spans="1:5" ht="14.5" customHeight="1" x14ac:dyDescent="0.35">
      <c r="A740" s="196" t="str">
        <f>"16.07"</f>
        <v>16.07</v>
      </c>
      <c r="B740" s="196" t="s">
        <v>4107</v>
      </c>
      <c r="C740" s="320" t="s">
        <v>4269</v>
      </c>
      <c r="D740" s="321" t="s">
        <v>5666</v>
      </c>
      <c r="E740" s="322" t="s">
        <v>5667</v>
      </c>
    </row>
    <row r="741" spans="1:5" ht="14.5" customHeight="1" x14ac:dyDescent="0.35">
      <c r="A741" s="196" t="str">
        <f>"16.0700"</f>
        <v>16.0700</v>
      </c>
      <c r="B741" s="196" t="s">
        <v>4107</v>
      </c>
      <c r="C741" s="320" t="s">
        <v>4269</v>
      </c>
      <c r="D741" s="321" t="s">
        <v>5668</v>
      </c>
      <c r="E741" s="322" t="s">
        <v>5669</v>
      </c>
    </row>
    <row r="742" spans="1:5" ht="14.5" customHeight="1" x14ac:dyDescent="0.35">
      <c r="A742" s="196" t="str">
        <f>"16.0701"</f>
        <v>16.0701</v>
      </c>
      <c r="B742" s="196" t="s">
        <v>4107</v>
      </c>
      <c r="C742" s="320" t="s">
        <v>4269</v>
      </c>
      <c r="D742" s="321" t="s">
        <v>5670</v>
      </c>
      <c r="E742" s="322" t="s">
        <v>5671</v>
      </c>
    </row>
    <row r="743" spans="1:5" ht="14.5" customHeight="1" x14ac:dyDescent="0.35">
      <c r="A743" s="196" t="str">
        <f>"16.0702"</f>
        <v>16.0702</v>
      </c>
      <c r="B743" s="196" t="s">
        <v>4107</v>
      </c>
      <c r="C743" s="320" t="s">
        <v>4269</v>
      </c>
      <c r="D743" s="321" t="s">
        <v>5672</v>
      </c>
      <c r="E743" s="322" t="s">
        <v>5673</v>
      </c>
    </row>
    <row r="744" spans="1:5" ht="14.5" customHeight="1" x14ac:dyDescent="0.35">
      <c r="A744" s="196" t="str">
        <f>"16.0704"</f>
        <v>16.0704</v>
      </c>
      <c r="B744" s="196" t="s">
        <v>4107</v>
      </c>
      <c r="C744" s="320" t="s">
        <v>4269</v>
      </c>
      <c r="D744" s="321" t="s">
        <v>5674</v>
      </c>
      <c r="E744" s="322" t="s">
        <v>5675</v>
      </c>
    </row>
    <row r="745" spans="1:5" ht="14.5" customHeight="1" x14ac:dyDescent="0.35">
      <c r="A745" s="196" t="str">
        <f>"16.0705"</f>
        <v>16.0705</v>
      </c>
      <c r="B745" s="196" t="s">
        <v>4107</v>
      </c>
      <c r="C745" s="320" t="s">
        <v>4269</v>
      </c>
      <c r="D745" s="321" t="s">
        <v>5676</v>
      </c>
      <c r="E745" s="322" t="s">
        <v>5677</v>
      </c>
    </row>
    <row r="746" spans="1:5" ht="14.5" customHeight="1" x14ac:dyDescent="0.35">
      <c r="A746" s="196" t="str">
        <f>"16.0706"</f>
        <v>16.0706</v>
      </c>
      <c r="B746" s="196" t="s">
        <v>4107</v>
      </c>
      <c r="C746" s="320" t="s">
        <v>4269</v>
      </c>
      <c r="D746" s="321" t="s">
        <v>5678</v>
      </c>
      <c r="E746" s="322" t="s">
        <v>5679</v>
      </c>
    </row>
    <row r="747" spans="1:5" ht="14.5" customHeight="1" x14ac:dyDescent="0.35">
      <c r="A747" s="196" t="str">
        <f>"16.0707"</f>
        <v>16.0707</v>
      </c>
      <c r="B747" s="196" t="s">
        <v>4107</v>
      </c>
      <c r="C747" s="320" t="s">
        <v>4269</v>
      </c>
      <c r="D747" s="321" t="s">
        <v>5680</v>
      </c>
      <c r="E747" s="322" t="s">
        <v>5681</v>
      </c>
    </row>
    <row r="748" spans="1:5" ht="14.5" customHeight="1" x14ac:dyDescent="0.35">
      <c r="A748" s="196" t="str">
        <f>"16.0799"</f>
        <v>16.0799</v>
      </c>
      <c r="B748" s="196" t="s">
        <v>4107</v>
      </c>
      <c r="C748" s="320" t="s">
        <v>4269</v>
      </c>
      <c r="D748" s="321" t="s">
        <v>5682</v>
      </c>
      <c r="E748" s="322" t="s">
        <v>5683</v>
      </c>
    </row>
    <row r="749" spans="1:5" ht="14.5" customHeight="1" x14ac:dyDescent="0.35">
      <c r="A749" s="196" t="str">
        <f>"16.08"</f>
        <v>16.08</v>
      </c>
      <c r="B749" s="196" t="s">
        <v>4107</v>
      </c>
      <c r="C749" s="320" t="s">
        <v>4269</v>
      </c>
      <c r="D749" s="321" t="s">
        <v>5684</v>
      </c>
      <c r="E749" s="322" t="s">
        <v>5685</v>
      </c>
    </row>
    <row r="750" spans="1:5" ht="14.5" customHeight="1" x14ac:dyDescent="0.35">
      <c r="A750" s="196" t="str">
        <f>"16.0801"</f>
        <v>16.0801</v>
      </c>
      <c r="B750" s="196" t="s">
        <v>4107</v>
      </c>
      <c r="C750" s="320" t="s">
        <v>4269</v>
      </c>
      <c r="D750" s="321" t="s">
        <v>5686</v>
      </c>
      <c r="E750" s="322" t="s">
        <v>5687</v>
      </c>
    </row>
    <row r="751" spans="1:5" ht="14.5" customHeight="1" x14ac:dyDescent="0.35">
      <c r="A751" s="196" t="str">
        <f>"16.09"</f>
        <v>16.09</v>
      </c>
      <c r="B751" s="196" t="s">
        <v>4107</v>
      </c>
      <c r="C751" s="320" t="s">
        <v>4269</v>
      </c>
      <c r="D751" s="321" t="s">
        <v>5688</v>
      </c>
      <c r="E751" s="322" t="s">
        <v>5689</v>
      </c>
    </row>
    <row r="752" spans="1:5" ht="14.5" customHeight="1" x14ac:dyDescent="0.35">
      <c r="A752" s="196" t="str">
        <f>"16.0900"</f>
        <v>16.0900</v>
      </c>
      <c r="B752" s="196" t="s">
        <v>4107</v>
      </c>
      <c r="C752" s="320" t="s">
        <v>4269</v>
      </c>
      <c r="D752" s="321" t="s">
        <v>5690</v>
      </c>
      <c r="E752" s="322" t="s">
        <v>5691</v>
      </c>
    </row>
    <row r="753" spans="1:5" ht="14.5" customHeight="1" x14ac:dyDescent="0.35">
      <c r="A753" s="196" t="str">
        <f>"16.0901"</f>
        <v>16.0901</v>
      </c>
      <c r="B753" s="196" t="s">
        <v>4107</v>
      </c>
      <c r="C753" s="320" t="s">
        <v>4269</v>
      </c>
      <c r="D753" s="321" t="s">
        <v>5692</v>
      </c>
      <c r="E753" s="322" t="s">
        <v>5693</v>
      </c>
    </row>
    <row r="754" spans="1:5" ht="14.5" customHeight="1" x14ac:dyDescent="0.35">
      <c r="A754" s="196" t="str">
        <f>"16.0902"</f>
        <v>16.0902</v>
      </c>
      <c r="B754" s="196" t="s">
        <v>4107</v>
      </c>
      <c r="C754" s="320" t="s">
        <v>4269</v>
      </c>
      <c r="D754" s="321" t="s">
        <v>5694</v>
      </c>
      <c r="E754" s="322" t="s">
        <v>5695</v>
      </c>
    </row>
    <row r="755" spans="1:5" ht="14.5" customHeight="1" x14ac:dyDescent="0.35">
      <c r="A755" s="196" t="str">
        <f>"16.0904"</f>
        <v>16.0904</v>
      </c>
      <c r="B755" s="196" t="s">
        <v>4107</v>
      </c>
      <c r="C755" s="320" t="s">
        <v>4269</v>
      </c>
      <c r="D755" s="321" t="s">
        <v>5696</v>
      </c>
      <c r="E755" s="322" t="s">
        <v>5697</v>
      </c>
    </row>
    <row r="756" spans="1:5" ht="14.5" customHeight="1" x14ac:dyDescent="0.35">
      <c r="A756" s="196" t="str">
        <f>"16.0905"</f>
        <v>16.0905</v>
      </c>
      <c r="B756" s="196" t="s">
        <v>4107</v>
      </c>
      <c r="C756" s="320" t="s">
        <v>4269</v>
      </c>
      <c r="D756" s="321" t="s">
        <v>5698</v>
      </c>
      <c r="E756" s="322" t="s">
        <v>5699</v>
      </c>
    </row>
    <row r="757" spans="1:5" ht="14.5" customHeight="1" x14ac:dyDescent="0.35">
      <c r="A757" s="196" t="str">
        <f>"16.0906"</f>
        <v>16.0906</v>
      </c>
      <c r="B757" s="196" t="s">
        <v>4107</v>
      </c>
      <c r="C757" s="320" t="s">
        <v>4269</v>
      </c>
      <c r="D757" s="321" t="s">
        <v>5700</v>
      </c>
      <c r="E757" s="322" t="s">
        <v>5701</v>
      </c>
    </row>
    <row r="758" spans="1:5" ht="14.5" customHeight="1" x14ac:dyDescent="0.35">
      <c r="A758" s="196" t="str">
        <f>"16.0907"</f>
        <v>16.0907</v>
      </c>
      <c r="B758" s="196" t="s">
        <v>4107</v>
      </c>
      <c r="C758" s="320" t="s">
        <v>4269</v>
      </c>
      <c r="D758" s="321" t="s">
        <v>5702</v>
      </c>
      <c r="E758" s="322" t="s">
        <v>5703</v>
      </c>
    </row>
    <row r="759" spans="1:5" ht="14.5" customHeight="1" x14ac:dyDescent="0.35">
      <c r="A759" s="196" t="str">
        <f>"16.0908"</f>
        <v>16.0908</v>
      </c>
      <c r="B759" s="196" t="s">
        <v>4107</v>
      </c>
      <c r="C759" s="320" t="s">
        <v>4269</v>
      </c>
      <c r="D759" s="321" t="s">
        <v>5704</v>
      </c>
      <c r="E759" s="322" t="s">
        <v>5705</v>
      </c>
    </row>
    <row r="760" spans="1:5" ht="14.5" customHeight="1" x14ac:dyDescent="0.35">
      <c r="A760" s="196" t="str">
        <f>"16.0999"</f>
        <v>16.0999</v>
      </c>
      <c r="B760" s="196" t="s">
        <v>4107</v>
      </c>
      <c r="C760" s="320" t="s">
        <v>4269</v>
      </c>
      <c r="D760" s="321" t="s">
        <v>5706</v>
      </c>
      <c r="E760" s="322" t="s">
        <v>5707</v>
      </c>
    </row>
    <row r="761" spans="1:5" ht="14.5" customHeight="1" x14ac:dyDescent="0.35">
      <c r="A761" s="196" t="str">
        <f>"16.10"</f>
        <v>16.10</v>
      </c>
      <c r="B761" s="196" t="s">
        <v>4107</v>
      </c>
      <c r="C761" s="320" t="s">
        <v>4269</v>
      </c>
      <c r="D761" s="321" t="s">
        <v>5708</v>
      </c>
      <c r="E761" s="322" t="s">
        <v>5709</v>
      </c>
    </row>
    <row r="762" spans="1:5" ht="14.5" customHeight="1" x14ac:dyDescent="0.35">
      <c r="A762" s="196" t="str">
        <f>"16.1001"</f>
        <v>16.1001</v>
      </c>
      <c r="B762" s="196" t="s">
        <v>4265</v>
      </c>
      <c r="C762" s="320" t="s">
        <v>4266</v>
      </c>
      <c r="D762" s="321" t="s">
        <v>5708</v>
      </c>
      <c r="E762" s="322" t="s">
        <v>5710</v>
      </c>
    </row>
    <row r="763" spans="1:5" ht="14.5" customHeight="1" x14ac:dyDescent="0.35">
      <c r="A763" s="196" t="str">
        <f>"16.11"</f>
        <v>16.11</v>
      </c>
      <c r="B763" s="196" t="s">
        <v>4107</v>
      </c>
      <c r="C763" s="320" t="s">
        <v>4269</v>
      </c>
      <c r="D763" s="321" t="s">
        <v>5711</v>
      </c>
      <c r="E763" s="322" t="s">
        <v>5712</v>
      </c>
    </row>
    <row r="764" spans="1:5" ht="14.5" customHeight="1" x14ac:dyDescent="0.35">
      <c r="A764" s="196" t="str">
        <f>"16.1100"</f>
        <v>16.1100</v>
      </c>
      <c r="B764" s="196" t="s">
        <v>4107</v>
      </c>
      <c r="C764" s="320" t="s">
        <v>4269</v>
      </c>
      <c r="D764" s="321" t="s">
        <v>5713</v>
      </c>
      <c r="E764" s="322" t="s">
        <v>5714</v>
      </c>
    </row>
    <row r="765" spans="1:5" ht="14.5" customHeight="1" x14ac:dyDescent="0.35">
      <c r="A765" s="196" t="str">
        <f>"16.1101"</f>
        <v>16.1101</v>
      </c>
      <c r="B765" s="196" t="s">
        <v>4107</v>
      </c>
      <c r="C765" s="320" t="s">
        <v>4269</v>
      </c>
      <c r="D765" s="321" t="s">
        <v>5715</v>
      </c>
      <c r="E765" s="322" t="s">
        <v>5716</v>
      </c>
    </row>
    <row r="766" spans="1:5" ht="14.5" customHeight="1" x14ac:dyDescent="0.35">
      <c r="A766" s="196" t="str">
        <f>"16.1102"</f>
        <v>16.1102</v>
      </c>
      <c r="B766" s="196" t="s">
        <v>4107</v>
      </c>
      <c r="C766" s="320" t="s">
        <v>4269</v>
      </c>
      <c r="D766" s="321" t="s">
        <v>5717</v>
      </c>
      <c r="E766" s="322" t="s">
        <v>5718</v>
      </c>
    </row>
    <row r="767" spans="1:5" ht="14.5" customHeight="1" x14ac:dyDescent="0.35">
      <c r="A767" s="196" t="str">
        <f>"16.1103"</f>
        <v>16.1103</v>
      </c>
      <c r="B767" s="196" t="s">
        <v>4107</v>
      </c>
      <c r="C767" s="320" t="s">
        <v>4269</v>
      </c>
      <c r="D767" s="321" t="s">
        <v>5719</v>
      </c>
      <c r="E767" s="322" t="s">
        <v>5720</v>
      </c>
    </row>
    <row r="768" spans="1:5" ht="14.5" customHeight="1" x14ac:dyDescent="0.35">
      <c r="A768" s="196" t="str">
        <f>"16.1199"</f>
        <v>16.1199</v>
      </c>
      <c r="B768" s="196" t="s">
        <v>4107</v>
      </c>
      <c r="C768" s="320" t="s">
        <v>4269</v>
      </c>
      <c r="D768" s="321" t="s">
        <v>5721</v>
      </c>
      <c r="E768" s="322" t="s">
        <v>5722</v>
      </c>
    </row>
    <row r="769" spans="1:5" ht="14.5" customHeight="1" x14ac:dyDescent="0.35">
      <c r="A769" s="196" t="str">
        <f>"16.12"</f>
        <v>16.12</v>
      </c>
      <c r="B769" s="196" t="s">
        <v>4107</v>
      </c>
      <c r="C769" s="320" t="s">
        <v>4269</v>
      </c>
      <c r="D769" s="321" t="s">
        <v>5723</v>
      </c>
      <c r="E769" s="322" t="s">
        <v>5724</v>
      </c>
    </row>
    <row r="770" spans="1:5" ht="14.5" customHeight="1" x14ac:dyDescent="0.35">
      <c r="A770" s="196" t="str">
        <f>"16.1200"</f>
        <v>16.1200</v>
      </c>
      <c r="B770" s="196" t="s">
        <v>4107</v>
      </c>
      <c r="C770" s="320" t="s">
        <v>4269</v>
      </c>
      <c r="D770" s="321" t="s">
        <v>5725</v>
      </c>
      <c r="E770" s="322" t="s">
        <v>5726</v>
      </c>
    </row>
    <row r="771" spans="1:5" ht="14.5" customHeight="1" x14ac:dyDescent="0.35">
      <c r="A771" s="196" t="str">
        <f>"16.1202"</f>
        <v>16.1202</v>
      </c>
      <c r="B771" s="196" t="s">
        <v>4107</v>
      </c>
      <c r="C771" s="320" t="s">
        <v>4269</v>
      </c>
      <c r="D771" s="321" t="s">
        <v>5727</v>
      </c>
      <c r="E771" s="322" t="s">
        <v>5728</v>
      </c>
    </row>
    <row r="772" spans="1:5" ht="14.5" customHeight="1" x14ac:dyDescent="0.35">
      <c r="A772" s="196" t="str">
        <f>"16.1203"</f>
        <v>16.1203</v>
      </c>
      <c r="B772" s="196" t="s">
        <v>4107</v>
      </c>
      <c r="C772" s="320" t="s">
        <v>4269</v>
      </c>
      <c r="D772" s="321" t="s">
        <v>5729</v>
      </c>
      <c r="E772" s="322" t="s">
        <v>5730</v>
      </c>
    </row>
    <row r="773" spans="1:5" ht="14.5" customHeight="1" x14ac:dyDescent="0.35">
      <c r="A773" s="196" t="str">
        <f>"16.1299"</f>
        <v>16.1299</v>
      </c>
      <c r="B773" s="196" t="s">
        <v>4107</v>
      </c>
      <c r="C773" s="320" t="s">
        <v>4269</v>
      </c>
      <c r="D773" s="321" t="s">
        <v>5731</v>
      </c>
      <c r="E773" s="322" t="s">
        <v>5732</v>
      </c>
    </row>
    <row r="774" spans="1:5" ht="14.5" customHeight="1" x14ac:dyDescent="0.35">
      <c r="A774" s="196" t="str">
        <f>"16.13"</f>
        <v>16.13</v>
      </c>
      <c r="B774" s="196" t="s">
        <v>4107</v>
      </c>
      <c r="C774" s="320" t="s">
        <v>4269</v>
      </c>
      <c r="D774" s="321" t="s">
        <v>5733</v>
      </c>
      <c r="E774" s="322" t="s">
        <v>5734</v>
      </c>
    </row>
    <row r="775" spans="1:5" ht="14.5" customHeight="1" x14ac:dyDescent="0.35">
      <c r="A775" s="196" t="str">
        <f>"16.1301"</f>
        <v>16.1301</v>
      </c>
      <c r="B775" s="196" t="s">
        <v>4107</v>
      </c>
      <c r="C775" s="320" t="s">
        <v>4269</v>
      </c>
      <c r="D775" s="321" t="s">
        <v>5733</v>
      </c>
      <c r="E775" s="322" t="s">
        <v>5735</v>
      </c>
    </row>
    <row r="776" spans="1:5" ht="14.5" customHeight="1" x14ac:dyDescent="0.35">
      <c r="A776" s="196" t="str">
        <f>"16.14"</f>
        <v>16.14</v>
      </c>
      <c r="B776" s="196" t="s">
        <v>4107</v>
      </c>
      <c r="C776" s="320" t="s">
        <v>4269</v>
      </c>
      <c r="D776" s="321" t="s">
        <v>5736</v>
      </c>
      <c r="E776" s="322" t="s">
        <v>5737</v>
      </c>
    </row>
    <row r="777" spans="1:5" ht="14.5" customHeight="1" x14ac:dyDescent="0.35">
      <c r="A777" s="196" t="str">
        <f>"16.1400"</f>
        <v>16.1400</v>
      </c>
      <c r="B777" s="196" t="s">
        <v>4107</v>
      </c>
      <c r="C777" s="320" t="s">
        <v>4269</v>
      </c>
      <c r="D777" s="321" t="s">
        <v>5738</v>
      </c>
      <c r="E777" s="322" t="s">
        <v>5739</v>
      </c>
    </row>
    <row r="778" spans="1:5" ht="14.5" customHeight="1" x14ac:dyDescent="0.35">
      <c r="A778" s="196" t="str">
        <f>"16.1401"</f>
        <v>16.1401</v>
      </c>
      <c r="B778" s="196" t="s">
        <v>4107</v>
      </c>
      <c r="C778" s="320" t="s">
        <v>4269</v>
      </c>
      <c r="D778" s="321" t="s">
        <v>5740</v>
      </c>
      <c r="E778" s="322" t="s">
        <v>5741</v>
      </c>
    </row>
    <row r="779" spans="1:5" ht="14.5" customHeight="1" x14ac:dyDescent="0.35">
      <c r="A779" s="196" t="str">
        <f>"16.1402"</f>
        <v>16.1402</v>
      </c>
      <c r="B779" s="196" t="s">
        <v>4107</v>
      </c>
      <c r="C779" s="320" t="s">
        <v>4269</v>
      </c>
      <c r="D779" s="321" t="s">
        <v>5742</v>
      </c>
      <c r="E779" s="322" t="s">
        <v>5743</v>
      </c>
    </row>
    <row r="780" spans="1:5" ht="14.5" customHeight="1" x14ac:dyDescent="0.35">
      <c r="A780" s="196" t="str">
        <f>"16.1403"</f>
        <v>16.1403</v>
      </c>
      <c r="B780" s="196" t="s">
        <v>4107</v>
      </c>
      <c r="C780" s="320" t="s">
        <v>4269</v>
      </c>
      <c r="D780" s="321" t="s">
        <v>5744</v>
      </c>
      <c r="E780" s="322" t="s">
        <v>5745</v>
      </c>
    </row>
    <row r="781" spans="1:5" ht="14.5" customHeight="1" x14ac:dyDescent="0.35">
      <c r="A781" s="196" t="str">
        <f>"16.1404"</f>
        <v>16.1404</v>
      </c>
      <c r="B781" s="196" t="s">
        <v>4107</v>
      </c>
      <c r="C781" s="320" t="s">
        <v>4269</v>
      </c>
      <c r="D781" s="321" t="s">
        <v>5746</v>
      </c>
      <c r="E781" s="322" t="s">
        <v>5747</v>
      </c>
    </row>
    <row r="782" spans="1:5" ht="14.5" customHeight="1" x14ac:dyDescent="0.35">
      <c r="A782" s="196" t="str">
        <f>"16.1405"</f>
        <v>16.1405</v>
      </c>
      <c r="B782" s="196" t="s">
        <v>4107</v>
      </c>
      <c r="C782" s="320" t="s">
        <v>4269</v>
      </c>
      <c r="D782" s="321" t="s">
        <v>5748</v>
      </c>
      <c r="E782" s="322" t="s">
        <v>5749</v>
      </c>
    </row>
    <row r="783" spans="1:5" ht="14.5" customHeight="1" x14ac:dyDescent="0.35">
      <c r="A783" s="196" t="str">
        <f>"16.1406"</f>
        <v>16.1406</v>
      </c>
      <c r="B783" s="196" t="s">
        <v>4107</v>
      </c>
      <c r="C783" s="320" t="s">
        <v>4269</v>
      </c>
      <c r="D783" s="321" t="s">
        <v>5750</v>
      </c>
      <c r="E783" s="322" t="s">
        <v>5751</v>
      </c>
    </row>
    <row r="784" spans="1:5" ht="14.5" customHeight="1" x14ac:dyDescent="0.35">
      <c r="A784" s="196" t="str">
        <f>"16.1407"</f>
        <v>16.1407</v>
      </c>
      <c r="B784" s="196" t="s">
        <v>4107</v>
      </c>
      <c r="C784" s="320" t="s">
        <v>4269</v>
      </c>
      <c r="D784" s="321" t="s">
        <v>5752</v>
      </c>
      <c r="E784" s="322" t="s">
        <v>5753</v>
      </c>
    </row>
    <row r="785" spans="1:5" ht="14.5" customHeight="1" x14ac:dyDescent="0.35">
      <c r="A785" s="196" t="str">
        <f>"16.1408"</f>
        <v>16.1408</v>
      </c>
      <c r="B785" s="196" t="s">
        <v>4107</v>
      </c>
      <c r="C785" s="320" t="s">
        <v>4269</v>
      </c>
      <c r="D785" s="321" t="s">
        <v>5754</v>
      </c>
      <c r="E785" s="322" t="s">
        <v>5755</v>
      </c>
    </row>
    <row r="786" spans="1:5" s="327" customFormat="1" ht="14.5" customHeight="1" x14ac:dyDescent="0.35">
      <c r="A786" s="323" t="str">
        <f>"16.1409"</f>
        <v>16.1409</v>
      </c>
      <c r="B786" s="323" t="s">
        <v>4297</v>
      </c>
      <c r="C786" s="324" t="s">
        <v>4269</v>
      </c>
      <c r="D786" s="325" t="s">
        <v>5756</v>
      </c>
      <c r="E786" s="326" t="s">
        <v>5757</v>
      </c>
    </row>
    <row r="787" spans="1:5" ht="14.5" customHeight="1" x14ac:dyDescent="0.35">
      <c r="A787" s="196" t="str">
        <f>"16.1499"</f>
        <v>16.1499</v>
      </c>
      <c r="B787" s="196" t="s">
        <v>4107</v>
      </c>
      <c r="C787" s="320" t="s">
        <v>4269</v>
      </c>
      <c r="D787" s="321" t="s">
        <v>5758</v>
      </c>
      <c r="E787" s="322" t="s">
        <v>5759</v>
      </c>
    </row>
    <row r="788" spans="1:5" ht="14.5" customHeight="1" x14ac:dyDescent="0.35">
      <c r="A788" s="196" t="str">
        <f>"16.15"</f>
        <v>16.15</v>
      </c>
      <c r="B788" s="196" t="s">
        <v>5760</v>
      </c>
      <c r="C788" s="320" t="s">
        <v>4269</v>
      </c>
      <c r="D788" s="321" t="s">
        <v>5761</v>
      </c>
      <c r="E788" s="322" t="s">
        <v>5762</v>
      </c>
    </row>
    <row r="789" spans="1:5" ht="14.5" customHeight="1" x14ac:dyDescent="0.35">
      <c r="A789" s="196" t="str">
        <f>"16.1501"</f>
        <v>16.1501</v>
      </c>
      <c r="B789" s="196" t="s">
        <v>5760</v>
      </c>
      <c r="C789" s="320" t="s">
        <v>4269</v>
      </c>
      <c r="D789" s="321" t="s">
        <v>5763</v>
      </c>
      <c r="E789" s="322" t="s">
        <v>5764</v>
      </c>
    </row>
    <row r="790" spans="1:5" ht="14.5" customHeight="1" x14ac:dyDescent="0.35">
      <c r="A790" s="196" t="str">
        <f>"16.1502"</f>
        <v>16.1502</v>
      </c>
      <c r="B790" s="196" t="s">
        <v>5760</v>
      </c>
      <c r="C790" s="320" t="s">
        <v>4269</v>
      </c>
      <c r="D790" s="321" t="s">
        <v>5765</v>
      </c>
      <c r="E790" s="322" t="s">
        <v>5766</v>
      </c>
    </row>
    <row r="791" spans="1:5" ht="14.5" customHeight="1" x14ac:dyDescent="0.35">
      <c r="A791" s="196" t="str">
        <f>"16.1503"</f>
        <v>16.1503</v>
      </c>
      <c r="B791" s="196" t="s">
        <v>5760</v>
      </c>
      <c r="C791" s="320" t="s">
        <v>4269</v>
      </c>
      <c r="D791" s="321" t="s">
        <v>5767</v>
      </c>
      <c r="E791" s="322" t="s">
        <v>5768</v>
      </c>
    </row>
    <row r="792" spans="1:5" ht="14.5" customHeight="1" x14ac:dyDescent="0.35">
      <c r="A792" s="196" t="str">
        <f>"16.1504"</f>
        <v>16.1504</v>
      </c>
      <c r="B792" s="196" t="s">
        <v>5760</v>
      </c>
      <c r="C792" s="320" t="s">
        <v>4269</v>
      </c>
      <c r="D792" s="321" t="s">
        <v>5769</v>
      </c>
      <c r="E792" s="322" t="s">
        <v>5770</v>
      </c>
    </row>
    <row r="793" spans="1:5" ht="14.5" customHeight="1" x14ac:dyDescent="0.35">
      <c r="A793" s="196" t="str">
        <f>"16.1599"</f>
        <v>16.1599</v>
      </c>
      <c r="B793" s="196" t="s">
        <v>5760</v>
      </c>
      <c r="C793" s="320" t="s">
        <v>4269</v>
      </c>
      <c r="D793" s="321" t="s">
        <v>5771</v>
      </c>
      <c r="E793" s="322" t="s">
        <v>5772</v>
      </c>
    </row>
    <row r="794" spans="1:5" ht="14.5" customHeight="1" x14ac:dyDescent="0.35">
      <c r="A794" s="196" t="str">
        <f>"16.16"</f>
        <v>16.16</v>
      </c>
      <c r="B794" s="196" t="s">
        <v>5760</v>
      </c>
      <c r="C794" s="320" t="s">
        <v>4269</v>
      </c>
      <c r="D794" s="321" t="s">
        <v>5773</v>
      </c>
      <c r="E794" s="322" t="s">
        <v>5774</v>
      </c>
    </row>
    <row r="795" spans="1:5" ht="14.5" customHeight="1" x14ac:dyDescent="0.35">
      <c r="A795" s="196" t="str">
        <f>"16.1601"</f>
        <v>16.1601</v>
      </c>
      <c r="B795" s="196" t="s">
        <v>5760</v>
      </c>
      <c r="C795" s="320" t="s">
        <v>4269</v>
      </c>
      <c r="D795" s="321" t="s">
        <v>5775</v>
      </c>
      <c r="E795" s="322" t="s">
        <v>5776</v>
      </c>
    </row>
    <row r="796" spans="1:5" ht="14.5" customHeight="1" x14ac:dyDescent="0.35">
      <c r="A796" s="196" t="str">
        <f>"16.1602"</f>
        <v>16.1602</v>
      </c>
      <c r="B796" s="196" t="s">
        <v>5760</v>
      </c>
      <c r="C796" s="320" t="s">
        <v>4269</v>
      </c>
      <c r="D796" s="321" t="s">
        <v>5777</v>
      </c>
      <c r="E796" s="322" t="s">
        <v>5778</v>
      </c>
    </row>
    <row r="797" spans="1:5" ht="14.5" customHeight="1" x14ac:dyDescent="0.35">
      <c r="A797" s="196" t="str">
        <f>"16.1603"</f>
        <v>16.1603</v>
      </c>
      <c r="B797" s="196" t="s">
        <v>5760</v>
      </c>
      <c r="C797" s="320" t="s">
        <v>4269</v>
      </c>
      <c r="D797" s="321" t="s">
        <v>5779</v>
      </c>
      <c r="E797" s="322" t="s">
        <v>5780</v>
      </c>
    </row>
    <row r="798" spans="1:5" ht="14.5" customHeight="1" x14ac:dyDescent="0.35">
      <c r="A798" s="196" t="str">
        <f>"16.1699"</f>
        <v>16.1699</v>
      </c>
      <c r="B798" s="196" t="s">
        <v>5760</v>
      </c>
      <c r="C798" s="320" t="s">
        <v>4269</v>
      </c>
      <c r="D798" s="321" t="s">
        <v>5781</v>
      </c>
      <c r="E798" s="322" t="s">
        <v>5782</v>
      </c>
    </row>
    <row r="799" spans="1:5" s="327" customFormat="1" ht="14.5" customHeight="1" x14ac:dyDescent="0.35">
      <c r="A799" s="323" t="str">
        <f>"16.17"</f>
        <v>16.17</v>
      </c>
      <c r="B799" s="323" t="s">
        <v>4297</v>
      </c>
      <c r="C799" s="324" t="s">
        <v>4269</v>
      </c>
      <c r="D799" s="325" t="s">
        <v>5783</v>
      </c>
      <c r="E799" s="326" t="s">
        <v>5784</v>
      </c>
    </row>
    <row r="800" spans="1:5" s="327" customFormat="1" ht="14.5" customHeight="1" x14ac:dyDescent="0.35">
      <c r="A800" s="323" t="str">
        <f>"16.1701"</f>
        <v>16.1701</v>
      </c>
      <c r="B800" s="323" t="s">
        <v>4297</v>
      </c>
      <c r="C800" s="324" t="s">
        <v>4269</v>
      </c>
      <c r="D800" s="325" t="s">
        <v>5785</v>
      </c>
      <c r="E800" s="326" t="s">
        <v>5786</v>
      </c>
    </row>
    <row r="801" spans="1:5" s="327" customFormat="1" ht="14.5" customHeight="1" x14ac:dyDescent="0.35">
      <c r="A801" s="323" t="str">
        <f>"16.1702"</f>
        <v>16.1702</v>
      </c>
      <c r="B801" s="323" t="s">
        <v>4297</v>
      </c>
      <c r="C801" s="324" t="s">
        <v>4269</v>
      </c>
      <c r="D801" s="325" t="s">
        <v>4328</v>
      </c>
      <c r="E801" s="326" t="s">
        <v>4329</v>
      </c>
    </row>
    <row r="802" spans="1:5" s="327" customFormat="1" ht="14.5" customHeight="1" x14ac:dyDescent="0.35">
      <c r="A802" s="323" t="str">
        <f>"16.1799"</f>
        <v>16.1799</v>
      </c>
      <c r="B802" s="323" t="s">
        <v>4297</v>
      </c>
      <c r="C802" s="324" t="s">
        <v>4269</v>
      </c>
      <c r="D802" s="325" t="s">
        <v>4328</v>
      </c>
      <c r="E802" s="326" t="s">
        <v>4329</v>
      </c>
    </row>
    <row r="803" spans="1:5" s="327" customFormat="1" ht="14.5" customHeight="1" x14ac:dyDescent="0.35">
      <c r="A803" s="323" t="str">
        <f>"16.18"</f>
        <v>16.18</v>
      </c>
      <c r="B803" s="323" t="s">
        <v>4297</v>
      </c>
      <c r="C803" s="324" t="s">
        <v>4269</v>
      </c>
      <c r="D803" s="325" t="s">
        <v>5787</v>
      </c>
      <c r="E803" s="326" t="s">
        <v>5788</v>
      </c>
    </row>
    <row r="804" spans="1:5" s="327" customFormat="1" ht="14.5" customHeight="1" x14ac:dyDescent="0.35">
      <c r="A804" s="323" t="str">
        <f>"16.1801"</f>
        <v>16.1801</v>
      </c>
      <c r="B804" s="323" t="s">
        <v>4297</v>
      </c>
      <c r="C804" s="324" t="s">
        <v>4269</v>
      </c>
      <c r="D804" s="325" t="s">
        <v>5789</v>
      </c>
      <c r="E804" s="326" t="s">
        <v>5790</v>
      </c>
    </row>
    <row r="805" spans="1:5" ht="14.5" customHeight="1" x14ac:dyDescent="0.35">
      <c r="A805" s="196" t="str">
        <f>"16.99"</f>
        <v>16.99</v>
      </c>
      <c r="B805" s="196" t="s">
        <v>5760</v>
      </c>
      <c r="C805" s="320" t="s">
        <v>4269</v>
      </c>
      <c r="D805" s="321" t="s">
        <v>5791</v>
      </c>
      <c r="E805" s="322" t="s">
        <v>5792</v>
      </c>
    </row>
    <row r="806" spans="1:5" ht="14.5" customHeight="1" x14ac:dyDescent="0.35">
      <c r="A806" s="196" t="str">
        <f>"16.9999"</f>
        <v>16.9999</v>
      </c>
      <c r="B806" s="196" t="s">
        <v>5760</v>
      </c>
      <c r="C806" s="320" t="s">
        <v>4269</v>
      </c>
      <c r="D806" s="321" t="s">
        <v>5791</v>
      </c>
      <c r="E806" s="322" t="s">
        <v>5793</v>
      </c>
    </row>
    <row r="807" spans="1:5" ht="14.5" customHeight="1" x14ac:dyDescent="0.35">
      <c r="A807" s="196" t="str">
        <f>"19"</f>
        <v>19</v>
      </c>
      <c r="B807" s="196" t="s">
        <v>5760</v>
      </c>
      <c r="C807" s="320" t="s">
        <v>4269</v>
      </c>
      <c r="D807" s="321" t="s">
        <v>5794</v>
      </c>
      <c r="E807" s="322" t="s">
        <v>5795</v>
      </c>
    </row>
    <row r="808" spans="1:5" s="332" customFormat="1" ht="14.5" customHeight="1" x14ac:dyDescent="0.35">
      <c r="A808" s="328" t="str">
        <f>"19.00"</f>
        <v>19.00</v>
      </c>
      <c r="B808" s="328" t="s">
        <v>4318</v>
      </c>
      <c r="C808" s="329" t="s">
        <v>4269</v>
      </c>
      <c r="D808" s="330" t="s">
        <v>5796</v>
      </c>
      <c r="E808" s="331" t="s">
        <v>5797</v>
      </c>
    </row>
    <row r="809" spans="1:5" s="332" customFormat="1" ht="14.5" customHeight="1" x14ac:dyDescent="0.35">
      <c r="A809" s="328" t="str">
        <f>"19.0000"</f>
        <v>19.0000</v>
      </c>
      <c r="B809" s="328" t="s">
        <v>4318</v>
      </c>
      <c r="C809" s="329" t="s">
        <v>4269</v>
      </c>
      <c r="D809" s="330" t="s">
        <v>5796</v>
      </c>
      <c r="E809" s="331" t="s">
        <v>5798</v>
      </c>
    </row>
    <row r="810" spans="1:5" ht="14.5" customHeight="1" x14ac:dyDescent="0.35">
      <c r="A810" s="196" t="str">
        <f>"19.01"</f>
        <v>19.01</v>
      </c>
      <c r="B810" s="196" t="s">
        <v>5760</v>
      </c>
      <c r="C810" s="320" t="s">
        <v>4269</v>
      </c>
      <c r="D810" s="321" t="s">
        <v>5799</v>
      </c>
      <c r="E810" s="322" t="s">
        <v>5800</v>
      </c>
    </row>
    <row r="811" spans="1:5" ht="14.5" customHeight="1" x14ac:dyDescent="0.35">
      <c r="A811" s="196" t="str">
        <f>"19.0101"</f>
        <v>19.0101</v>
      </c>
      <c r="B811" s="196" t="s">
        <v>5760</v>
      </c>
      <c r="C811" s="320" t="s">
        <v>4269</v>
      </c>
      <c r="D811" s="321" t="s">
        <v>5799</v>
      </c>
      <c r="E811" s="322" t="s">
        <v>5801</v>
      </c>
    </row>
    <row r="812" spans="1:5" ht="14.5" customHeight="1" x14ac:dyDescent="0.35">
      <c r="A812" s="196" t="str">
        <f>"19.02"</f>
        <v>19.02</v>
      </c>
      <c r="B812" s="196" t="s">
        <v>5760</v>
      </c>
      <c r="C812" s="320" t="s">
        <v>4269</v>
      </c>
      <c r="D812" s="321" t="s">
        <v>5802</v>
      </c>
      <c r="E812" s="322" t="s">
        <v>5803</v>
      </c>
    </row>
    <row r="813" spans="1:5" ht="14.5" customHeight="1" x14ac:dyDescent="0.35">
      <c r="A813" s="196" t="str">
        <f>"19.0201"</f>
        <v>19.0201</v>
      </c>
      <c r="B813" s="196" t="s">
        <v>5760</v>
      </c>
      <c r="C813" s="320" t="s">
        <v>4269</v>
      </c>
      <c r="D813" s="321" t="s">
        <v>5804</v>
      </c>
      <c r="E813" s="322" t="s">
        <v>5805</v>
      </c>
    </row>
    <row r="814" spans="1:5" ht="14.5" customHeight="1" x14ac:dyDescent="0.35">
      <c r="A814" s="196" t="str">
        <f>"19.0202"</f>
        <v>19.0202</v>
      </c>
      <c r="B814" s="196" t="s">
        <v>5760</v>
      </c>
      <c r="C814" s="320" t="s">
        <v>4269</v>
      </c>
      <c r="D814" s="321" t="s">
        <v>5806</v>
      </c>
      <c r="E814" s="322" t="s">
        <v>5807</v>
      </c>
    </row>
    <row r="815" spans="1:5" ht="14.5" customHeight="1" x14ac:dyDescent="0.35">
      <c r="A815" s="196" t="str">
        <f>"19.0203"</f>
        <v>19.0203</v>
      </c>
      <c r="B815" s="196" t="s">
        <v>5760</v>
      </c>
      <c r="C815" s="320" t="s">
        <v>4269</v>
      </c>
      <c r="D815" s="321" t="s">
        <v>5808</v>
      </c>
      <c r="E815" s="322" t="s">
        <v>5809</v>
      </c>
    </row>
    <row r="816" spans="1:5" ht="14.5" customHeight="1" x14ac:dyDescent="0.35">
      <c r="A816" s="196" t="str">
        <f>"19.0299"</f>
        <v>19.0299</v>
      </c>
      <c r="B816" s="196" t="s">
        <v>5760</v>
      </c>
      <c r="C816" s="320" t="s">
        <v>4269</v>
      </c>
      <c r="D816" s="321" t="s">
        <v>5810</v>
      </c>
      <c r="E816" s="322" t="s">
        <v>5811</v>
      </c>
    </row>
    <row r="817" spans="1:5" ht="14.5" customHeight="1" x14ac:dyDescent="0.35">
      <c r="A817" s="196" t="str">
        <f>"19.04"</f>
        <v>19.04</v>
      </c>
      <c r="B817" s="196" t="s">
        <v>5760</v>
      </c>
      <c r="C817" s="320" t="s">
        <v>4269</v>
      </c>
      <c r="D817" s="321" t="s">
        <v>5812</v>
      </c>
      <c r="E817" s="322" t="s">
        <v>5813</v>
      </c>
    </row>
    <row r="818" spans="1:5" ht="14.5" customHeight="1" x14ac:dyDescent="0.35">
      <c r="A818" s="196" t="str">
        <f>"19.0401"</f>
        <v>19.0401</v>
      </c>
      <c r="B818" s="196" t="s">
        <v>5760</v>
      </c>
      <c r="C818" s="320" t="s">
        <v>4269</v>
      </c>
      <c r="D818" s="321" t="s">
        <v>5814</v>
      </c>
      <c r="E818" s="322" t="s">
        <v>5815</v>
      </c>
    </row>
    <row r="819" spans="1:5" ht="14.5" customHeight="1" x14ac:dyDescent="0.35">
      <c r="A819" s="196" t="str">
        <f>"19.0402"</f>
        <v>19.0402</v>
      </c>
      <c r="B819" s="196" t="s">
        <v>5760</v>
      </c>
      <c r="C819" s="320" t="s">
        <v>4269</v>
      </c>
      <c r="D819" s="321" t="s">
        <v>5816</v>
      </c>
      <c r="E819" s="322" t="s">
        <v>5817</v>
      </c>
    </row>
    <row r="820" spans="1:5" ht="14.5" customHeight="1" x14ac:dyDescent="0.35">
      <c r="A820" s="196" t="str">
        <f>"19.0403"</f>
        <v>19.0403</v>
      </c>
      <c r="B820" s="196" t="s">
        <v>5760</v>
      </c>
      <c r="C820" s="320" t="s">
        <v>4269</v>
      </c>
      <c r="D820" s="321" t="s">
        <v>5818</v>
      </c>
      <c r="E820" s="322" t="s">
        <v>5819</v>
      </c>
    </row>
    <row r="821" spans="1:5" ht="14.5" customHeight="1" x14ac:dyDescent="0.35">
      <c r="A821" s="196" t="str">
        <f>"19.0499"</f>
        <v>19.0499</v>
      </c>
      <c r="B821" s="196" t="s">
        <v>5760</v>
      </c>
      <c r="C821" s="320" t="s">
        <v>4269</v>
      </c>
      <c r="D821" s="321" t="s">
        <v>5820</v>
      </c>
      <c r="E821" s="322" t="s">
        <v>5821</v>
      </c>
    </row>
    <row r="822" spans="1:5" ht="14.5" customHeight="1" x14ac:dyDescent="0.35">
      <c r="A822" s="196" t="str">
        <f>"19.05"</f>
        <v>19.05</v>
      </c>
      <c r="B822" s="196" t="s">
        <v>5760</v>
      </c>
      <c r="C822" s="320" t="s">
        <v>4269</v>
      </c>
      <c r="D822" s="321" t="s">
        <v>5822</v>
      </c>
      <c r="E822" s="322" t="s">
        <v>5823</v>
      </c>
    </row>
    <row r="823" spans="1:5" ht="14.5" customHeight="1" x14ac:dyDescent="0.35">
      <c r="A823" s="196" t="str">
        <f>"19.0501"</f>
        <v>19.0501</v>
      </c>
      <c r="B823" s="196" t="s">
        <v>5760</v>
      </c>
      <c r="C823" s="320" t="s">
        <v>4269</v>
      </c>
      <c r="D823" s="321" t="s">
        <v>5824</v>
      </c>
      <c r="E823" s="322" t="s">
        <v>5825</v>
      </c>
    </row>
    <row r="824" spans="1:5" ht="14.5" customHeight="1" x14ac:dyDescent="0.35">
      <c r="A824" s="196" t="str">
        <f>"19.0504"</f>
        <v>19.0504</v>
      </c>
      <c r="B824" s="196" t="s">
        <v>5760</v>
      </c>
      <c r="C824" s="320" t="s">
        <v>4269</v>
      </c>
      <c r="D824" s="321" t="s">
        <v>5826</v>
      </c>
      <c r="E824" s="322" t="s">
        <v>5827</v>
      </c>
    </row>
    <row r="825" spans="1:5" ht="14.5" customHeight="1" x14ac:dyDescent="0.35">
      <c r="A825" s="196" t="str">
        <f>"19.0505"</f>
        <v>19.0505</v>
      </c>
      <c r="B825" s="196" t="s">
        <v>5760</v>
      </c>
      <c r="C825" s="320" t="s">
        <v>4269</v>
      </c>
      <c r="D825" s="321" t="s">
        <v>5828</v>
      </c>
      <c r="E825" s="322" t="s">
        <v>5829</v>
      </c>
    </row>
    <row r="826" spans="1:5" ht="14.5" customHeight="1" x14ac:dyDescent="0.35">
      <c r="A826" s="196" t="str">
        <f>"19.0599"</f>
        <v>19.0599</v>
      </c>
      <c r="B826" s="196" t="s">
        <v>5760</v>
      </c>
      <c r="C826" s="320" t="s">
        <v>4269</v>
      </c>
      <c r="D826" s="321" t="s">
        <v>5830</v>
      </c>
      <c r="E826" s="322" t="s">
        <v>5831</v>
      </c>
    </row>
    <row r="827" spans="1:5" ht="14.5" customHeight="1" x14ac:dyDescent="0.35">
      <c r="A827" s="196" t="str">
        <f>"19.06"</f>
        <v>19.06</v>
      </c>
      <c r="B827" s="196" t="s">
        <v>5760</v>
      </c>
      <c r="C827" s="320" t="s">
        <v>4269</v>
      </c>
      <c r="D827" s="321" t="s">
        <v>5832</v>
      </c>
      <c r="E827" s="322" t="s">
        <v>5833</v>
      </c>
    </row>
    <row r="828" spans="1:5" ht="14.5" customHeight="1" x14ac:dyDescent="0.35">
      <c r="A828" s="196" t="str">
        <f>"19.0601"</f>
        <v>19.0601</v>
      </c>
      <c r="B828" s="196" t="s">
        <v>5760</v>
      </c>
      <c r="C828" s="320" t="s">
        <v>4269</v>
      </c>
      <c r="D828" s="321" t="s">
        <v>5834</v>
      </c>
      <c r="E828" s="322" t="s">
        <v>5835</v>
      </c>
    </row>
    <row r="829" spans="1:5" ht="14.5" customHeight="1" x14ac:dyDescent="0.35">
      <c r="A829" s="196" t="str">
        <f>"19.0604"</f>
        <v>19.0604</v>
      </c>
      <c r="B829" s="196" t="s">
        <v>5760</v>
      </c>
      <c r="C829" s="320" t="s">
        <v>4269</v>
      </c>
      <c r="D829" s="321" t="s">
        <v>5836</v>
      </c>
      <c r="E829" s="322" t="s">
        <v>5837</v>
      </c>
    </row>
    <row r="830" spans="1:5" ht="14.5" customHeight="1" x14ac:dyDescent="0.35">
      <c r="A830" s="196" t="str">
        <f>"19.0605"</f>
        <v>19.0605</v>
      </c>
      <c r="B830" s="196" t="s">
        <v>5760</v>
      </c>
      <c r="C830" s="320" t="s">
        <v>4269</v>
      </c>
      <c r="D830" s="321" t="s">
        <v>5838</v>
      </c>
      <c r="E830" s="322" t="s">
        <v>5839</v>
      </c>
    </row>
    <row r="831" spans="1:5" ht="14.5" customHeight="1" x14ac:dyDescent="0.35">
      <c r="A831" s="196" t="str">
        <f>"19.0699"</f>
        <v>19.0699</v>
      </c>
      <c r="B831" s="196" t="s">
        <v>5760</v>
      </c>
      <c r="C831" s="320" t="s">
        <v>4269</v>
      </c>
      <c r="D831" s="321" t="s">
        <v>5840</v>
      </c>
      <c r="E831" s="322" t="s">
        <v>5841</v>
      </c>
    </row>
    <row r="832" spans="1:5" ht="14.5" customHeight="1" x14ac:dyDescent="0.35">
      <c r="A832" s="196" t="str">
        <f>"19.07"</f>
        <v>19.07</v>
      </c>
      <c r="B832" s="196" t="s">
        <v>5760</v>
      </c>
      <c r="C832" s="320" t="s">
        <v>4269</v>
      </c>
      <c r="D832" s="321" t="s">
        <v>5842</v>
      </c>
      <c r="E832" s="322" t="s">
        <v>5843</v>
      </c>
    </row>
    <row r="833" spans="1:5" ht="14.5" customHeight="1" x14ac:dyDescent="0.35">
      <c r="A833" s="196" t="str">
        <f>"19.0701"</f>
        <v>19.0701</v>
      </c>
      <c r="B833" s="196" t="s">
        <v>5760</v>
      </c>
      <c r="C833" s="320" t="s">
        <v>4269</v>
      </c>
      <c r="D833" s="321" t="s">
        <v>5844</v>
      </c>
      <c r="E833" s="322" t="s">
        <v>5845</v>
      </c>
    </row>
    <row r="834" spans="1:5" ht="14.5" customHeight="1" x14ac:dyDescent="0.35">
      <c r="A834" s="196" t="str">
        <f>"19.0702"</f>
        <v>19.0702</v>
      </c>
      <c r="B834" s="196" t="s">
        <v>5760</v>
      </c>
      <c r="C834" s="320" t="s">
        <v>4269</v>
      </c>
      <c r="D834" s="321" t="s">
        <v>5846</v>
      </c>
      <c r="E834" s="322" t="s">
        <v>5847</v>
      </c>
    </row>
    <row r="835" spans="1:5" ht="14.5" customHeight="1" x14ac:dyDescent="0.35">
      <c r="A835" s="196" t="str">
        <f>"19.0704"</f>
        <v>19.0704</v>
      </c>
      <c r="B835" s="196" t="s">
        <v>5760</v>
      </c>
      <c r="C835" s="320" t="s">
        <v>4269</v>
      </c>
      <c r="D835" s="321" t="s">
        <v>5848</v>
      </c>
      <c r="E835" s="322" t="s">
        <v>5849</v>
      </c>
    </row>
    <row r="836" spans="1:5" ht="14.5" customHeight="1" x14ac:dyDescent="0.35">
      <c r="A836" s="196" t="str">
        <f>"19.0706"</f>
        <v>19.0706</v>
      </c>
      <c r="B836" s="196" t="s">
        <v>5760</v>
      </c>
      <c r="C836" s="320" t="s">
        <v>4269</v>
      </c>
      <c r="D836" s="321" t="s">
        <v>5850</v>
      </c>
      <c r="E836" s="322" t="s">
        <v>5851</v>
      </c>
    </row>
    <row r="837" spans="1:5" ht="14.5" customHeight="1" x14ac:dyDescent="0.35">
      <c r="A837" s="196" t="str">
        <f>"19.0707"</f>
        <v>19.0707</v>
      </c>
      <c r="B837" s="196" t="s">
        <v>5760</v>
      </c>
      <c r="C837" s="320" t="s">
        <v>4269</v>
      </c>
      <c r="D837" s="321" t="s">
        <v>5852</v>
      </c>
      <c r="E837" s="322" t="s">
        <v>5853</v>
      </c>
    </row>
    <row r="838" spans="1:5" ht="14.5" customHeight="1" x14ac:dyDescent="0.35">
      <c r="A838" s="196" t="str">
        <f>"19.0708"</f>
        <v>19.0708</v>
      </c>
      <c r="B838" s="196" t="s">
        <v>5760</v>
      </c>
      <c r="C838" s="320" t="s">
        <v>4269</v>
      </c>
      <c r="D838" s="321" t="s">
        <v>5854</v>
      </c>
      <c r="E838" s="322" t="s">
        <v>5855</v>
      </c>
    </row>
    <row r="839" spans="1:5" ht="14.5" customHeight="1" x14ac:dyDescent="0.35">
      <c r="A839" s="196" t="str">
        <f>"19.0709"</f>
        <v>19.0709</v>
      </c>
      <c r="B839" s="196" t="s">
        <v>5760</v>
      </c>
      <c r="C839" s="320" t="s">
        <v>4269</v>
      </c>
      <c r="D839" s="321" t="s">
        <v>5856</v>
      </c>
      <c r="E839" s="322" t="s">
        <v>5857</v>
      </c>
    </row>
    <row r="840" spans="1:5" ht="14.5" customHeight="1" x14ac:dyDescent="0.35">
      <c r="A840" s="196" t="str">
        <f>"19.0710"</f>
        <v>19.0710</v>
      </c>
      <c r="B840" s="196" t="s">
        <v>5760</v>
      </c>
      <c r="C840" s="320" t="s">
        <v>4269</v>
      </c>
      <c r="D840" s="321" t="s">
        <v>5858</v>
      </c>
      <c r="E840" s="322" t="s">
        <v>5859</v>
      </c>
    </row>
    <row r="841" spans="1:5" s="327" customFormat="1" ht="14.5" customHeight="1" x14ac:dyDescent="0.35">
      <c r="A841" s="323" t="str">
        <f>"19.0711"</f>
        <v>19.0711</v>
      </c>
      <c r="B841" s="323" t="s">
        <v>4297</v>
      </c>
      <c r="C841" s="324" t="s">
        <v>4269</v>
      </c>
      <c r="D841" s="325" t="s">
        <v>5860</v>
      </c>
      <c r="E841" s="326" t="s">
        <v>5861</v>
      </c>
    </row>
    <row r="842" spans="1:5" s="327" customFormat="1" ht="14.5" customHeight="1" x14ac:dyDescent="0.35">
      <c r="A842" s="323" t="str">
        <f>"19.0712"</f>
        <v>19.0712</v>
      </c>
      <c r="B842" s="323" t="s">
        <v>4297</v>
      </c>
      <c r="C842" s="324" t="s">
        <v>4269</v>
      </c>
      <c r="D842" s="325" t="s">
        <v>5862</v>
      </c>
      <c r="E842" s="326" t="s">
        <v>5863</v>
      </c>
    </row>
    <row r="843" spans="1:5" ht="14.5" customHeight="1" x14ac:dyDescent="0.35">
      <c r="A843" s="196" t="str">
        <f>"19.0799"</f>
        <v>19.0799</v>
      </c>
      <c r="B843" s="196" t="s">
        <v>5760</v>
      </c>
      <c r="C843" s="320" t="s">
        <v>4269</v>
      </c>
      <c r="D843" s="321" t="s">
        <v>5864</v>
      </c>
      <c r="E843" s="322" t="s">
        <v>5865</v>
      </c>
    </row>
    <row r="844" spans="1:5" ht="14.5" customHeight="1" x14ac:dyDescent="0.35">
      <c r="A844" s="196" t="str">
        <f>"19.09"</f>
        <v>19.09</v>
      </c>
      <c r="B844" s="196" t="s">
        <v>5760</v>
      </c>
      <c r="C844" s="320" t="s">
        <v>4269</v>
      </c>
      <c r="D844" s="321" t="s">
        <v>5866</v>
      </c>
      <c r="E844" s="322" t="s">
        <v>5867</v>
      </c>
    </row>
    <row r="845" spans="1:5" ht="14.5" customHeight="1" x14ac:dyDescent="0.35">
      <c r="A845" s="196" t="str">
        <f>"19.0901"</f>
        <v>19.0901</v>
      </c>
      <c r="B845" s="196" t="s">
        <v>5760</v>
      </c>
      <c r="C845" s="320" t="s">
        <v>4269</v>
      </c>
      <c r="D845" s="321" t="s">
        <v>5868</v>
      </c>
      <c r="E845" s="322" t="s">
        <v>5869</v>
      </c>
    </row>
    <row r="846" spans="1:5" ht="14.5" customHeight="1" x14ac:dyDescent="0.35">
      <c r="A846" s="196" t="str">
        <f>"19.0902"</f>
        <v>19.0902</v>
      </c>
      <c r="B846" s="196" t="s">
        <v>5760</v>
      </c>
      <c r="C846" s="320" t="s">
        <v>4269</v>
      </c>
      <c r="D846" s="321" t="s">
        <v>5870</v>
      </c>
      <c r="E846" s="322" t="s">
        <v>5871</v>
      </c>
    </row>
    <row r="847" spans="1:5" ht="14.5" customHeight="1" x14ac:dyDescent="0.35">
      <c r="A847" s="196" t="str">
        <f>"19.0904"</f>
        <v>19.0904</v>
      </c>
      <c r="B847" s="196" t="s">
        <v>5760</v>
      </c>
      <c r="C847" s="320" t="s">
        <v>4269</v>
      </c>
      <c r="D847" s="321" t="s">
        <v>5872</v>
      </c>
      <c r="E847" s="322" t="s">
        <v>5873</v>
      </c>
    </row>
    <row r="848" spans="1:5" ht="14.5" customHeight="1" x14ac:dyDescent="0.35">
      <c r="A848" s="196" t="str">
        <f>"19.0905"</f>
        <v>19.0905</v>
      </c>
      <c r="B848" s="196" t="s">
        <v>5760</v>
      </c>
      <c r="C848" s="320" t="s">
        <v>4269</v>
      </c>
      <c r="D848" s="321" t="s">
        <v>5874</v>
      </c>
      <c r="E848" s="322" t="s">
        <v>5875</v>
      </c>
    </row>
    <row r="849" spans="1:5" ht="14.5" customHeight="1" x14ac:dyDescent="0.35">
      <c r="A849" s="196" t="str">
        <f>"19.0906"</f>
        <v>19.0906</v>
      </c>
      <c r="B849" s="196" t="s">
        <v>5760</v>
      </c>
      <c r="C849" s="320" t="s">
        <v>4269</v>
      </c>
      <c r="D849" s="321" t="s">
        <v>5876</v>
      </c>
      <c r="E849" s="322" t="s">
        <v>5877</v>
      </c>
    </row>
    <row r="850" spans="1:5" ht="14.5" customHeight="1" x14ac:dyDescent="0.35">
      <c r="A850" s="196" t="str">
        <f>"19.0999"</f>
        <v>19.0999</v>
      </c>
      <c r="B850" s="196" t="s">
        <v>5760</v>
      </c>
      <c r="C850" s="320" t="s">
        <v>4269</v>
      </c>
      <c r="D850" s="321" t="s">
        <v>5878</v>
      </c>
      <c r="E850" s="322" t="s">
        <v>5879</v>
      </c>
    </row>
    <row r="851" spans="1:5" s="327" customFormat="1" ht="14.5" customHeight="1" x14ac:dyDescent="0.35">
      <c r="A851" s="323" t="str">
        <f>"19.10"</f>
        <v>19.10</v>
      </c>
      <c r="B851" s="323" t="s">
        <v>4403</v>
      </c>
      <c r="C851" s="324" t="s">
        <v>4269</v>
      </c>
      <c r="D851" s="325" t="s">
        <v>5796</v>
      </c>
      <c r="E851" s="326" t="s">
        <v>5880</v>
      </c>
    </row>
    <row r="852" spans="1:5" s="327" customFormat="1" ht="14.5" customHeight="1" x14ac:dyDescent="0.35">
      <c r="A852" s="323" t="str">
        <f>"19.1001"</f>
        <v>19.1001</v>
      </c>
      <c r="B852" s="323" t="s">
        <v>4403</v>
      </c>
      <c r="C852" s="324" t="s">
        <v>4269</v>
      </c>
      <c r="D852" s="325" t="s">
        <v>5796</v>
      </c>
      <c r="E852" s="326" t="s">
        <v>5881</v>
      </c>
    </row>
    <row r="853" spans="1:5" ht="14.5" customHeight="1" x14ac:dyDescent="0.35">
      <c r="A853" s="196" t="str">
        <f>"19.99"</f>
        <v>19.99</v>
      </c>
      <c r="B853" s="196" t="s">
        <v>5760</v>
      </c>
      <c r="C853" s="320" t="s">
        <v>4269</v>
      </c>
      <c r="D853" s="321" t="s">
        <v>5882</v>
      </c>
      <c r="E853" s="322" t="s">
        <v>5883</v>
      </c>
    </row>
    <row r="854" spans="1:5" ht="14.5" customHeight="1" x14ac:dyDescent="0.35">
      <c r="A854" s="196" t="str">
        <f>"19.9999"</f>
        <v>19.9999</v>
      </c>
      <c r="B854" s="196" t="s">
        <v>5760</v>
      </c>
      <c r="C854" s="320" t="s">
        <v>4269</v>
      </c>
      <c r="D854" s="321" t="s">
        <v>5882</v>
      </c>
      <c r="E854" s="322" t="s">
        <v>5884</v>
      </c>
    </row>
    <row r="855" spans="1:5" s="327" customFormat="1" ht="14.5" customHeight="1" x14ac:dyDescent="0.35">
      <c r="A855" s="323" t="str">
        <f>"21"</f>
        <v>21</v>
      </c>
      <c r="B855" s="323" t="s">
        <v>4297</v>
      </c>
      <c r="C855" s="324" t="s">
        <v>4269</v>
      </c>
      <c r="D855" s="325" t="s">
        <v>5885</v>
      </c>
      <c r="E855" s="326" t="s">
        <v>5886</v>
      </c>
    </row>
    <row r="856" spans="1:5" s="327" customFormat="1" ht="14.5" customHeight="1" x14ac:dyDescent="0.35">
      <c r="A856" s="323" t="str">
        <f>"21.01"</f>
        <v>21.01</v>
      </c>
      <c r="B856" s="323" t="s">
        <v>4297</v>
      </c>
      <c r="C856" s="324" t="s">
        <v>4269</v>
      </c>
      <c r="D856" s="325" t="s">
        <v>4328</v>
      </c>
      <c r="E856" s="326" t="s">
        <v>5887</v>
      </c>
    </row>
    <row r="857" spans="1:5" s="327" customFormat="1" ht="14.5" customHeight="1" x14ac:dyDescent="0.35">
      <c r="A857" s="323" t="str">
        <f>"21.0101"</f>
        <v>21.0101</v>
      </c>
      <c r="B857" s="323" t="s">
        <v>4297</v>
      </c>
      <c r="C857" s="324" t="s">
        <v>4269</v>
      </c>
      <c r="D857" s="325" t="s">
        <v>4328</v>
      </c>
      <c r="E857" s="326" t="s">
        <v>4329</v>
      </c>
    </row>
    <row r="858" spans="1:5" ht="14.5" customHeight="1" x14ac:dyDescent="0.35">
      <c r="A858" s="196" t="str">
        <f>"22"</f>
        <v>22</v>
      </c>
      <c r="B858" s="196" t="s">
        <v>5760</v>
      </c>
      <c r="C858" s="320" t="s">
        <v>4269</v>
      </c>
      <c r="D858" s="321" t="s">
        <v>5888</v>
      </c>
      <c r="E858" s="322" t="s">
        <v>5889</v>
      </c>
    </row>
    <row r="859" spans="1:5" ht="14.5" customHeight="1" x14ac:dyDescent="0.35">
      <c r="A859" s="196" t="str">
        <f>"22.00"</f>
        <v>22.00</v>
      </c>
      <c r="B859" s="196" t="s">
        <v>4265</v>
      </c>
      <c r="C859" s="320" t="s">
        <v>4266</v>
      </c>
      <c r="D859" s="321" t="s">
        <v>5890</v>
      </c>
      <c r="E859" s="322" t="s">
        <v>5891</v>
      </c>
    </row>
    <row r="860" spans="1:5" ht="14.5" customHeight="1" x14ac:dyDescent="0.35">
      <c r="A860" s="196" t="str">
        <f>"22.0000"</f>
        <v>22.0000</v>
      </c>
      <c r="B860" s="196" t="s">
        <v>4265</v>
      </c>
      <c r="C860" s="320" t="s">
        <v>4266</v>
      </c>
      <c r="D860" s="321" t="s">
        <v>5892</v>
      </c>
      <c r="E860" s="322" t="s">
        <v>5893</v>
      </c>
    </row>
    <row r="861" spans="1:5" ht="14.5" customHeight="1" x14ac:dyDescent="0.35">
      <c r="A861" s="196" t="str">
        <f>"22.0001"</f>
        <v>22.0001</v>
      </c>
      <c r="B861" s="196" t="s">
        <v>5760</v>
      </c>
      <c r="C861" s="320" t="s">
        <v>4269</v>
      </c>
      <c r="D861" s="321" t="s">
        <v>5894</v>
      </c>
      <c r="E861" s="322" t="s">
        <v>5895</v>
      </c>
    </row>
    <row r="862" spans="1:5" s="327" customFormat="1" ht="14.5" customHeight="1" x14ac:dyDescent="0.35">
      <c r="A862" s="323" t="str">
        <f>"22.0099"</f>
        <v>22.0099</v>
      </c>
      <c r="B862" s="323" t="s">
        <v>4297</v>
      </c>
      <c r="C862" s="324" t="s">
        <v>4269</v>
      </c>
      <c r="D862" s="325" t="s">
        <v>5896</v>
      </c>
      <c r="E862" s="326" t="s">
        <v>5897</v>
      </c>
    </row>
    <row r="863" spans="1:5" ht="14.5" customHeight="1" x14ac:dyDescent="0.35">
      <c r="A863" s="196" t="str">
        <f>"22.01"</f>
        <v>22.01</v>
      </c>
      <c r="B863" s="196" t="s">
        <v>5760</v>
      </c>
      <c r="C863" s="320" t="s">
        <v>4269</v>
      </c>
      <c r="D863" s="321" t="s">
        <v>5898</v>
      </c>
      <c r="E863" s="322" t="s">
        <v>5899</v>
      </c>
    </row>
    <row r="864" spans="1:5" ht="14.5" customHeight="1" x14ac:dyDescent="0.35">
      <c r="A864" s="196" t="str">
        <f>"22.0101"</f>
        <v>22.0101</v>
      </c>
      <c r="B864" s="196" t="s">
        <v>5760</v>
      </c>
      <c r="C864" s="320" t="s">
        <v>4269</v>
      </c>
      <c r="D864" s="321" t="s">
        <v>5898</v>
      </c>
      <c r="E864" s="322" t="s">
        <v>5900</v>
      </c>
    </row>
    <row r="865" spans="1:5" ht="14.5" customHeight="1" x14ac:dyDescent="0.35">
      <c r="A865" s="196" t="str">
        <f>"22.02"</f>
        <v>22.02</v>
      </c>
      <c r="B865" s="196" t="s">
        <v>5760</v>
      </c>
      <c r="C865" s="320" t="s">
        <v>4269</v>
      </c>
      <c r="D865" s="321" t="s">
        <v>5901</v>
      </c>
      <c r="E865" s="322" t="s">
        <v>5902</v>
      </c>
    </row>
    <row r="866" spans="1:5" ht="14.5" customHeight="1" x14ac:dyDescent="0.35">
      <c r="A866" s="196" t="str">
        <f>"22.0201"</f>
        <v>22.0201</v>
      </c>
      <c r="B866" s="196" t="s">
        <v>5760</v>
      </c>
      <c r="C866" s="320" t="s">
        <v>4269</v>
      </c>
      <c r="D866" s="321" t="s">
        <v>5903</v>
      </c>
      <c r="E866" s="322" t="s">
        <v>5904</v>
      </c>
    </row>
    <row r="867" spans="1:5" ht="14.5" customHeight="1" x14ac:dyDescent="0.35">
      <c r="A867" s="196" t="str">
        <f>"22.0202"</f>
        <v>22.0202</v>
      </c>
      <c r="B867" s="196" t="s">
        <v>5760</v>
      </c>
      <c r="C867" s="320" t="s">
        <v>4269</v>
      </c>
      <c r="D867" s="321" t="s">
        <v>5905</v>
      </c>
      <c r="E867" s="322" t="s">
        <v>5906</v>
      </c>
    </row>
    <row r="868" spans="1:5" ht="14.5" customHeight="1" x14ac:dyDescent="0.35">
      <c r="A868" s="196" t="str">
        <f>"22.0203"</f>
        <v>22.0203</v>
      </c>
      <c r="B868" s="196" t="s">
        <v>5760</v>
      </c>
      <c r="C868" s="320" t="s">
        <v>4269</v>
      </c>
      <c r="D868" s="321" t="s">
        <v>5907</v>
      </c>
      <c r="E868" s="322" t="s">
        <v>5908</v>
      </c>
    </row>
    <row r="869" spans="1:5" ht="14.5" customHeight="1" x14ac:dyDescent="0.35">
      <c r="A869" s="196" t="str">
        <f>"22.0204"</f>
        <v>22.0204</v>
      </c>
      <c r="B869" s="196" t="s">
        <v>5760</v>
      </c>
      <c r="C869" s="320" t="s">
        <v>4269</v>
      </c>
      <c r="D869" s="321" t="s">
        <v>5909</v>
      </c>
      <c r="E869" s="322" t="s">
        <v>5910</v>
      </c>
    </row>
    <row r="870" spans="1:5" ht="14.5" customHeight="1" x14ac:dyDescent="0.35">
      <c r="A870" s="196" t="str">
        <f>"22.0205"</f>
        <v>22.0205</v>
      </c>
      <c r="B870" s="196" t="s">
        <v>5760</v>
      </c>
      <c r="C870" s="320" t="s">
        <v>4269</v>
      </c>
      <c r="D870" s="321" t="s">
        <v>5911</v>
      </c>
      <c r="E870" s="322" t="s">
        <v>5912</v>
      </c>
    </row>
    <row r="871" spans="1:5" ht="14.5" customHeight="1" x14ac:dyDescent="0.35">
      <c r="A871" s="196" t="str">
        <f>"22.0206"</f>
        <v>22.0206</v>
      </c>
      <c r="B871" s="196" t="s">
        <v>5760</v>
      </c>
      <c r="C871" s="320" t="s">
        <v>4269</v>
      </c>
      <c r="D871" s="321" t="s">
        <v>5913</v>
      </c>
      <c r="E871" s="322" t="s">
        <v>5914</v>
      </c>
    </row>
    <row r="872" spans="1:5" ht="14.5" customHeight="1" x14ac:dyDescent="0.35">
      <c r="A872" s="196" t="str">
        <f>"22.0207"</f>
        <v>22.0207</v>
      </c>
      <c r="B872" s="196" t="s">
        <v>5760</v>
      </c>
      <c r="C872" s="320" t="s">
        <v>4269</v>
      </c>
      <c r="D872" s="321" t="s">
        <v>5915</v>
      </c>
      <c r="E872" s="322" t="s">
        <v>5916</v>
      </c>
    </row>
    <row r="873" spans="1:5" ht="14.5" customHeight="1" x14ac:dyDescent="0.35">
      <c r="A873" s="196" t="str">
        <f>"22.0208"</f>
        <v>22.0208</v>
      </c>
      <c r="B873" s="196" t="s">
        <v>5760</v>
      </c>
      <c r="C873" s="320" t="s">
        <v>4269</v>
      </c>
      <c r="D873" s="321" t="s">
        <v>5917</v>
      </c>
      <c r="E873" s="322" t="s">
        <v>5918</v>
      </c>
    </row>
    <row r="874" spans="1:5" ht="14.5" customHeight="1" x14ac:dyDescent="0.35">
      <c r="A874" s="196" t="str">
        <f>"22.0209"</f>
        <v>22.0209</v>
      </c>
      <c r="B874" s="196" t="s">
        <v>5760</v>
      </c>
      <c r="C874" s="320" t="s">
        <v>4269</v>
      </c>
      <c r="D874" s="321" t="s">
        <v>5919</v>
      </c>
      <c r="E874" s="322" t="s">
        <v>5920</v>
      </c>
    </row>
    <row r="875" spans="1:5" ht="14.5" customHeight="1" x14ac:dyDescent="0.35">
      <c r="A875" s="196" t="str">
        <f>"22.0210"</f>
        <v>22.0210</v>
      </c>
      <c r="B875" s="196" t="s">
        <v>5760</v>
      </c>
      <c r="C875" s="320" t="s">
        <v>4269</v>
      </c>
      <c r="D875" s="321" t="s">
        <v>5921</v>
      </c>
      <c r="E875" s="322" t="s">
        <v>5922</v>
      </c>
    </row>
    <row r="876" spans="1:5" ht="14.5" customHeight="1" x14ac:dyDescent="0.35">
      <c r="A876" s="196" t="str">
        <f>"22.0211"</f>
        <v>22.0211</v>
      </c>
      <c r="B876" s="196" t="s">
        <v>5760</v>
      </c>
      <c r="C876" s="320" t="s">
        <v>4269</v>
      </c>
      <c r="D876" s="321" t="s">
        <v>5923</v>
      </c>
      <c r="E876" s="322" t="s">
        <v>5924</v>
      </c>
    </row>
    <row r="877" spans="1:5" ht="14.5" customHeight="1" x14ac:dyDescent="0.35">
      <c r="A877" s="196" t="str">
        <f>"22.0212"</f>
        <v>22.0212</v>
      </c>
      <c r="B877" s="196" t="s">
        <v>5760</v>
      </c>
      <c r="C877" s="320" t="s">
        <v>4269</v>
      </c>
      <c r="D877" s="321" t="s">
        <v>5925</v>
      </c>
      <c r="E877" s="322" t="s">
        <v>5926</v>
      </c>
    </row>
    <row r="878" spans="1:5" s="327" customFormat="1" ht="14.5" customHeight="1" x14ac:dyDescent="0.35">
      <c r="A878" s="323" t="str">
        <f>"22.0213"</f>
        <v>22.0213</v>
      </c>
      <c r="B878" s="323" t="s">
        <v>4297</v>
      </c>
      <c r="C878" s="324" t="s">
        <v>4269</v>
      </c>
      <c r="D878" s="325" t="s">
        <v>5927</v>
      </c>
      <c r="E878" s="326" t="s">
        <v>5928</v>
      </c>
    </row>
    <row r="879" spans="1:5" s="327" customFormat="1" ht="14.5" customHeight="1" x14ac:dyDescent="0.35">
      <c r="A879" s="323" t="str">
        <f>"22.0214"</f>
        <v>22.0214</v>
      </c>
      <c r="B879" s="323" t="s">
        <v>4297</v>
      </c>
      <c r="C879" s="324" t="s">
        <v>4269</v>
      </c>
      <c r="D879" s="325" t="s">
        <v>5929</v>
      </c>
      <c r="E879" s="326" t="s">
        <v>5930</v>
      </c>
    </row>
    <row r="880" spans="1:5" s="327" customFormat="1" ht="14.5" customHeight="1" x14ac:dyDescent="0.35">
      <c r="A880" s="323" t="str">
        <f>"22.0215"</f>
        <v>22.0215</v>
      </c>
      <c r="B880" s="323" t="s">
        <v>4297</v>
      </c>
      <c r="C880" s="324" t="s">
        <v>4269</v>
      </c>
      <c r="D880" s="325" t="s">
        <v>5931</v>
      </c>
      <c r="E880" s="326" t="s">
        <v>5932</v>
      </c>
    </row>
    <row r="881" spans="1:5" s="327" customFormat="1" ht="14.5" customHeight="1" x14ac:dyDescent="0.35">
      <c r="A881" s="323" t="str">
        <f>"22.0216"</f>
        <v>22.0216</v>
      </c>
      <c r="B881" s="323" t="s">
        <v>4297</v>
      </c>
      <c r="C881" s="324" t="s">
        <v>4269</v>
      </c>
      <c r="D881" s="325" t="s">
        <v>5933</v>
      </c>
      <c r="E881" s="326" t="s">
        <v>5934</v>
      </c>
    </row>
    <row r="882" spans="1:5" s="327" customFormat="1" ht="14.5" customHeight="1" x14ac:dyDescent="0.35">
      <c r="A882" s="323" t="str">
        <f>"22.0217"</f>
        <v>22.0217</v>
      </c>
      <c r="B882" s="323" t="s">
        <v>4297</v>
      </c>
      <c r="C882" s="324" t="s">
        <v>4269</v>
      </c>
      <c r="D882" s="325" t="s">
        <v>5935</v>
      </c>
      <c r="E882" s="326" t="s">
        <v>5936</v>
      </c>
    </row>
    <row r="883" spans="1:5" s="327" customFormat="1" ht="14.5" customHeight="1" x14ac:dyDescent="0.35">
      <c r="A883" s="323" t="str">
        <f>"22.0218"</f>
        <v>22.0218</v>
      </c>
      <c r="B883" s="323" t="s">
        <v>4297</v>
      </c>
      <c r="C883" s="324" t="s">
        <v>4269</v>
      </c>
      <c r="D883" s="325" t="s">
        <v>5937</v>
      </c>
      <c r="E883" s="326" t="s">
        <v>5938</v>
      </c>
    </row>
    <row r="884" spans="1:5" s="327" customFormat="1" ht="14.5" customHeight="1" x14ac:dyDescent="0.35">
      <c r="A884" s="323" t="str">
        <f>"22.0219"</f>
        <v>22.0219</v>
      </c>
      <c r="B884" s="323" t="s">
        <v>4297</v>
      </c>
      <c r="C884" s="324" t="s">
        <v>4269</v>
      </c>
      <c r="D884" s="325" t="s">
        <v>5939</v>
      </c>
      <c r="E884" s="326" t="s">
        <v>5940</v>
      </c>
    </row>
    <row r="885" spans="1:5" s="327" customFormat="1" ht="14.5" customHeight="1" x14ac:dyDescent="0.35">
      <c r="A885" s="323" t="str">
        <f>"22.0220"</f>
        <v>22.0220</v>
      </c>
      <c r="B885" s="323" t="s">
        <v>4297</v>
      </c>
      <c r="C885" s="324" t="s">
        <v>4269</v>
      </c>
      <c r="D885" s="325" t="s">
        <v>5941</v>
      </c>
      <c r="E885" s="326" t="s">
        <v>5942</v>
      </c>
    </row>
    <row r="886" spans="1:5" s="327" customFormat="1" ht="14.5" customHeight="1" x14ac:dyDescent="0.35">
      <c r="A886" s="323" t="str">
        <f>"22.0221"</f>
        <v>22.0221</v>
      </c>
      <c r="B886" s="323" t="s">
        <v>4297</v>
      </c>
      <c r="C886" s="324" t="s">
        <v>4269</v>
      </c>
      <c r="D886" s="325" t="s">
        <v>5943</v>
      </c>
      <c r="E886" s="326" t="s">
        <v>5944</v>
      </c>
    </row>
    <row r="887" spans="1:5" s="327" customFormat="1" ht="14.5" customHeight="1" x14ac:dyDescent="0.35">
      <c r="A887" s="323" t="str">
        <f>"22.0222"</f>
        <v>22.0222</v>
      </c>
      <c r="B887" s="323" t="s">
        <v>4297</v>
      </c>
      <c r="C887" s="324" t="s">
        <v>4269</v>
      </c>
      <c r="D887" s="325" t="s">
        <v>5945</v>
      </c>
      <c r="E887" s="326" t="s">
        <v>5946</v>
      </c>
    </row>
    <row r="888" spans="1:5" s="327" customFormat="1" ht="14.5" customHeight="1" x14ac:dyDescent="0.35">
      <c r="A888" s="323" t="str">
        <f>"22.0223"</f>
        <v>22.0223</v>
      </c>
      <c r="B888" s="323" t="s">
        <v>4297</v>
      </c>
      <c r="C888" s="324" t="s">
        <v>4269</v>
      </c>
      <c r="D888" s="325" t="s">
        <v>5947</v>
      </c>
      <c r="E888" s="326" t="s">
        <v>5948</v>
      </c>
    </row>
    <row r="889" spans="1:5" s="327" customFormat="1" ht="14.5" customHeight="1" x14ac:dyDescent="0.35">
      <c r="A889" s="323" t="str">
        <f>"22.0224"</f>
        <v>22.0224</v>
      </c>
      <c r="B889" s="323" t="s">
        <v>4297</v>
      </c>
      <c r="C889" s="324" t="s">
        <v>4269</v>
      </c>
      <c r="D889" s="325" t="s">
        <v>5949</v>
      </c>
      <c r="E889" s="326" t="s">
        <v>5950</v>
      </c>
    </row>
    <row r="890" spans="1:5" ht="14.5" customHeight="1" x14ac:dyDescent="0.35">
      <c r="A890" s="196" t="str">
        <f>"22.0299"</f>
        <v>22.0299</v>
      </c>
      <c r="B890" s="196" t="s">
        <v>5760</v>
      </c>
      <c r="C890" s="320" t="s">
        <v>4269</v>
      </c>
      <c r="D890" s="321" t="s">
        <v>5951</v>
      </c>
      <c r="E890" s="322" t="s">
        <v>5952</v>
      </c>
    </row>
    <row r="891" spans="1:5" ht="14.5" customHeight="1" x14ac:dyDescent="0.35">
      <c r="A891" s="196" t="str">
        <f>"22.03"</f>
        <v>22.03</v>
      </c>
      <c r="B891" s="196" t="s">
        <v>5760</v>
      </c>
      <c r="C891" s="320" t="s">
        <v>4269</v>
      </c>
      <c r="D891" s="321" t="s">
        <v>5953</v>
      </c>
      <c r="E891" s="322" t="s">
        <v>5954</v>
      </c>
    </row>
    <row r="892" spans="1:5" ht="14.5" customHeight="1" x14ac:dyDescent="0.35">
      <c r="A892" s="196" t="str">
        <f>"22.0301"</f>
        <v>22.0301</v>
      </c>
      <c r="B892" s="196" t="s">
        <v>5760</v>
      </c>
      <c r="C892" s="320" t="s">
        <v>4269</v>
      </c>
      <c r="D892" s="321" t="s">
        <v>5955</v>
      </c>
      <c r="E892" s="322" t="s">
        <v>5956</v>
      </c>
    </row>
    <row r="893" spans="1:5" ht="14.5" customHeight="1" x14ac:dyDescent="0.35">
      <c r="A893" s="196" t="str">
        <f>"22.0302"</f>
        <v>22.0302</v>
      </c>
      <c r="B893" s="196" t="s">
        <v>5760</v>
      </c>
      <c r="C893" s="320" t="s">
        <v>4269</v>
      </c>
      <c r="D893" s="321" t="s">
        <v>5957</v>
      </c>
      <c r="E893" s="322" t="s">
        <v>5958</v>
      </c>
    </row>
    <row r="894" spans="1:5" ht="14.5" customHeight="1" x14ac:dyDescent="0.35">
      <c r="A894" s="196" t="str">
        <f>"22.0303"</f>
        <v>22.0303</v>
      </c>
      <c r="B894" s="196" t="s">
        <v>4265</v>
      </c>
      <c r="C894" s="320" t="s">
        <v>4266</v>
      </c>
      <c r="D894" s="321" t="s">
        <v>5959</v>
      </c>
      <c r="E894" s="322" t="s">
        <v>5960</v>
      </c>
    </row>
    <row r="895" spans="1:5" s="327" customFormat="1" ht="14.5" customHeight="1" x14ac:dyDescent="0.35">
      <c r="A895" s="323" t="str">
        <f>"22.0304"</f>
        <v>22.0304</v>
      </c>
      <c r="B895" s="323" t="s">
        <v>4297</v>
      </c>
      <c r="C895" s="324" t="s">
        <v>4269</v>
      </c>
      <c r="D895" s="325" t="s">
        <v>5961</v>
      </c>
      <c r="E895" s="326" t="s">
        <v>5962</v>
      </c>
    </row>
    <row r="896" spans="1:5" s="327" customFormat="1" ht="14.5" customHeight="1" x14ac:dyDescent="0.35">
      <c r="A896" s="323" t="str">
        <f>"22.0305"</f>
        <v>22.0305</v>
      </c>
      <c r="B896" s="323" t="s">
        <v>4297</v>
      </c>
      <c r="C896" s="324" t="s">
        <v>4269</v>
      </c>
      <c r="D896" s="325" t="s">
        <v>5963</v>
      </c>
      <c r="E896" s="326" t="s">
        <v>5964</v>
      </c>
    </row>
    <row r="897" spans="1:5" ht="14.5" customHeight="1" x14ac:dyDescent="0.35">
      <c r="A897" s="196" t="str">
        <f>"22.0399"</f>
        <v>22.0399</v>
      </c>
      <c r="B897" s="196" t="s">
        <v>5760</v>
      </c>
      <c r="C897" s="320" t="s">
        <v>4269</v>
      </c>
      <c r="D897" s="321" t="s">
        <v>5965</v>
      </c>
      <c r="E897" s="322" t="s">
        <v>5966</v>
      </c>
    </row>
    <row r="898" spans="1:5" ht="14.5" customHeight="1" x14ac:dyDescent="0.35">
      <c r="A898" s="196" t="str">
        <f>"22.99"</f>
        <v>22.99</v>
      </c>
      <c r="B898" s="196" t="s">
        <v>5760</v>
      </c>
      <c r="C898" s="320" t="s">
        <v>4269</v>
      </c>
      <c r="D898" s="321" t="s">
        <v>5967</v>
      </c>
      <c r="E898" s="322" t="s">
        <v>5968</v>
      </c>
    </row>
    <row r="899" spans="1:5" ht="14.5" customHeight="1" x14ac:dyDescent="0.35">
      <c r="A899" s="196" t="str">
        <f>"22.9999"</f>
        <v>22.9999</v>
      </c>
      <c r="B899" s="196" t="s">
        <v>5760</v>
      </c>
      <c r="C899" s="320" t="s">
        <v>4269</v>
      </c>
      <c r="D899" s="321" t="s">
        <v>5967</v>
      </c>
      <c r="E899" s="322" t="s">
        <v>5969</v>
      </c>
    </row>
    <row r="900" spans="1:5" ht="14.5" customHeight="1" x14ac:dyDescent="0.35">
      <c r="A900" s="196" t="str">
        <f>"23"</f>
        <v>23</v>
      </c>
      <c r="B900" s="196" t="s">
        <v>5760</v>
      </c>
      <c r="C900" s="320" t="s">
        <v>4269</v>
      </c>
      <c r="D900" s="321" t="s">
        <v>5970</v>
      </c>
      <c r="E900" s="322" t="s">
        <v>5971</v>
      </c>
    </row>
    <row r="901" spans="1:5" ht="14.5" customHeight="1" x14ac:dyDescent="0.35">
      <c r="A901" s="196" t="str">
        <f>"23.01"</f>
        <v>23.01</v>
      </c>
      <c r="B901" s="196" t="s">
        <v>5760</v>
      </c>
      <c r="C901" s="320" t="s">
        <v>4269</v>
      </c>
      <c r="D901" s="321" t="s">
        <v>5972</v>
      </c>
      <c r="E901" s="322" t="s">
        <v>5973</v>
      </c>
    </row>
    <row r="902" spans="1:5" ht="14.5" customHeight="1" x14ac:dyDescent="0.35">
      <c r="A902" s="196" t="str">
        <f>"23.0101"</f>
        <v>23.0101</v>
      </c>
      <c r="B902" s="196" t="s">
        <v>5760</v>
      </c>
      <c r="C902" s="320" t="s">
        <v>4269</v>
      </c>
      <c r="D902" s="321" t="s">
        <v>5972</v>
      </c>
      <c r="E902" s="322" t="s">
        <v>5974</v>
      </c>
    </row>
    <row r="903" spans="1:5" ht="14.5" customHeight="1" x14ac:dyDescent="0.35">
      <c r="A903" s="196" t="str">
        <f>"23.13"</f>
        <v>23.13</v>
      </c>
      <c r="B903" s="196" t="s">
        <v>5760</v>
      </c>
      <c r="C903" s="320" t="s">
        <v>4269</v>
      </c>
      <c r="D903" s="321" t="s">
        <v>5975</v>
      </c>
      <c r="E903" s="322" t="s">
        <v>5976</v>
      </c>
    </row>
    <row r="904" spans="1:5" ht="14.5" customHeight="1" x14ac:dyDescent="0.35">
      <c r="A904" s="196" t="str">
        <f>"23.1301"</f>
        <v>23.1301</v>
      </c>
      <c r="B904" s="196" t="s">
        <v>5760</v>
      </c>
      <c r="C904" s="320" t="s">
        <v>4269</v>
      </c>
      <c r="D904" s="321" t="s">
        <v>5977</v>
      </c>
      <c r="E904" s="322" t="s">
        <v>5978</v>
      </c>
    </row>
    <row r="905" spans="1:5" ht="14.5" customHeight="1" x14ac:dyDescent="0.35">
      <c r="A905" s="196" t="str">
        <f>"23.1302"</f>
        <v>23.1302</v>
      </c>
      <c r="B905" s="196" t="s">
        <v>5760</v>
      </c>
      <c r="C905" s="320" t="s">
        <v>4269</v>
      </c>
      <c r="D905" s="321" t="s">
        <v>5979</v>
      </c>
      <c r="E905" s="322" t="s">
        <v>5980</v>
      </c>
    </row>
    <row r="906" spans="1:5" ht="14.5" customHeight="1" x14ac:dyDescent="0.35">
      <c r="A906" s="196" t="str">
        <f>"23.1303"</f>
        <v>23.1303</v>
      </c>
      <c r="B906" s="196" t="s">
        <v>5760</v>
      </c>
      <c r="C906" s="320" t="s">
        <v>4269</v>
      </c>
      <c r="D906" s="321" t="s">
        <v>5981</v>
      </c>
      <c r="E906" s="322" t="s">
        <v>5982</v>
      </c>
    </row>
    <row r="907" spans="1:5" ht="14.5" customHeight="1" x14ac:dyDescent="0.35">
      <c r="A907" s="196" t="str">
        <f>"23.1304"</f>
        <v>23.1304</v>
      </c>
      <c r="B907" s="196" t="s">
        <v>5760</v>
      </c>
      <c r="C907" s="320" t="s">
        <v>4269</v>
      </c>
      <c r="D907" s="321" t="s">
        <v>5983</v>
      </c>
      <c r="E907" s="322" t="s">
        <v>5984</v>
      </c>
    </row>
    <row r="908" spans="1:5" ht="14.5" customHeight="1" x14ac:dyDescent="0.35">
      <c r="A908" s="196" t="str">
        <f>"23.1399"</f>
        <v>23.1399</v>
      </c>
      <c r="B908" s="196" t="s">
        <v>5760</v>
      </c>
      <c r="C908" s="320" t="s">
        <v>4269</v>
      </c>
      <c r="D908" s="321" t="s">
        <v>5985</v>
      </c>
      <c r="E908" s="322" t="s">
        <v>5986</v>
      </c>
    </row>
    <row r="909" spans="1:5" ht="14.5" customHeight="1" x14ac:dyDescent="0.35">
      <c r="A909" s="196" t="str">
        <f>"23.14"</f>
        <v>23.14</v>
      </c>
      <c r="B909" s="196" t="s">
        <v>5760</v>
      </c>
      <c r="C909" s="320" t="s">
        <v>4269</v>
      </c>
      <c r="D909" s="321" t="s">
        <v>5987</v>
      </c>
      <c r="E909" s="322" t="s">
        <v>5988</v>
      </c>
    </row>
    <row r="910" spans="1:5" ht="14.5" customHeight="1" x14ac:dyDescent="0.35">
      <c r="A910" s="196" t="str">
        <f>"23.1401"</f>
        <v>23.1401</v>
      </c>
      <c r="B910" s="196" t="s">
        <v>5760</v>
      </c>
      <c r="C910" s="320" t="s">
        <v>4269</v>
      </c>
      <c r="D910" s="321" t="s">
        <v>5989</v>
      </c>
      <c r="E910" s="322" t="s">
        <v>5990</v>
      </c>
    </row>
    <row r="911" spans="1:5" ht="14.5" customHeight="1" x14ac:dyDescent="0.35">
      <c r="A911" s="196" t="str">
        <f>"23.1402"</f>
        <v>23.1402</v>
      </c>
      <c r="B911" s="196" t="s">
        <v>5760</v>
      </c>
      <c r="C911" s="320" t="s">
        <v>4269</v>
      </c>
      <c r="D911" s="321" t="s">
        <v>5991</v>
      </c>
      <c r="E911" s="322" t="s">
        <v>5992</v>
      </c>
    </row>
    <row r="912" spans="1:5" ht="14.5" customHeight="1" x14ac:dyDescent="0.35">
      <c r="A912" s="196" t="str">
        <f>"23.1403"</f>
        <v>23.1403</v>
      </c>
      <c r="B912" s="196" t="s">
        <v>5760</v>
      </c>
      <c r="C912" s="320" t="s">
        <v>4269</v>
      </c>
      <c r="D912" s="321" t="s">
        <v>5993</v>
      </c>
      <c r="E912" s="322" t="s">
        <v>5994</v>
      </c>
    </row>
    <row r="913" spans="1:5" ht="14.5" customHeight="1" x14ac:dyDescent="0.35">
      <c r="A913" s="196" t="str">
        <f>"23.1404"</f>
        <v>23.1404</v>
      </c>
      <c r="B913" s="196" t="s">
        <v>5760</v>
      </c>
      <c r="C913" s="320" t="s">
        <v>4269</v>
      </c>
      <c r="D913" s="321" t="s">
        <v>5995</v>
      </c>
      <c r="E913" s="322" t="s">
        <v>5996</v>
      </c>
    </row>
    <row r="914" spans="1:5" ht="14.5" customHeight="1" x14ac:dyDescent="0.35">
      <c r="A914" s="196" t="str">
        <f>"23.1405"</f>
        <v>23.1405</v>
      </c>
      <c r="B914" s="196" t="s">
        <v>5760</v>
      </c>
      <c r="C914" s="320" t="s">
        <v>4269</v>
      </c>
      <c r="D914" s="321" t="s">
        <v>5997</v>
      </c>
      <c r="E914" s="322" t="s">
        <v>5998</v>
      </c>
    </row>
    <row r="915" spans="1:5" ht="14.5" customHeight="1" x14ac:dyDescent="0.35">
      <c r="A915" s="196" t="str">
        <f>"23.1499"</f>
        <v>23.1499</v>
      </c>
      <c r="B915" s="196" t="s">
        <v>5760</v>
      </c>
      <c r="C915" s="320" t="s">
        <v>4269</v>
      </c>
      <c r="D915" s="321" t="s">
        <v>5999</v>
      </c>
      <c r="E915" s="322" t="s">
        <v>6000</v>
      </c>
    </row>
    <row r="916" spans="1:5" ht="14.5" customHeight="1" x14ac:dyDescent="0.35">
      <c r="A916" s="196" t="str">
        <f>"23.99"</f>
        <v>23.99</v>
      </c>
      <c r="B916" s="196" t="s">
        <v>5760</v>
      </c>
      <c r="C916" s="320" t="s">
        <v>4269</v>
      </c>
      <c r="D916" s="321" t="s">
        <v>6001</v>
      </c>
      <c r="E916" s="322" t="s">
        <v>6002</v>
      </c>
    </row>
    <row r="917" spans="1:5" ht="14.5" customHeight="1" x14ac:dyDescent="0.35">
      <c r="A917" s="196" t="str">
        <f>"23.9999"</f>
        <v>23.9999</v>
      </c>
      <c r="B917" s="196" t="s">
        <v>5760</v>
      </c>
      <c r="C917" s="320" t="s">
        <v>4269</v>
      </c>
      <c r="D917" s="321" t="s">
        <v>6001</v>
      </c>
      <c r="E917" s="322" t="s">
        <v>6003</v>
      </c>
    </row>
    <row r="918" spans="1:5" ht="14.5" customHeight="1" x14ac:dyDescent="0.35">
      <c r="A918" s="196" t="str">
        <f>"24"</f>
        <v>24</v>
      </c>
      <c r="B918" s="196" t="s">
        <v>5760</v>
      </c>
      <c r="C918" s="320" t="s">
        <v>4269</v>
      </c>
      <c r="D918" s="321" t="s">
        <v>6004</v>
      </c>
      <c r="E918" s="322" t="s">
        <v>6005</v>
      </c>
    </row>
    <row r="919" spans="1:5" ht="14.5" customHeight="1" x14ac:dyDescent="0.35">
      <c r="A919" s="196" t="str">
        <f>"24.01"</f>
        <v>24.01</v>
      </c>
      <c r="B919" s="196" t="s">
        <v>5760</v>
      </c>
      <c r="C919" s="320" t="s">
        <v>4269</v>
      </c>
      <c r="D919" s="321" t="s">
        <v>6006</v>
      </c>
      <c r="E919" s="322" t="s">
        <v>6007</v>
      </c>
    </row>
    <row r="920" spans="1:5" ht="14.5" customHeight="1" x14ac:dyDescent="0.35">
      <c r="A920" s="196" t="str">
        <f>"24.0101"</f>
        <v>24.0101</v>
      </c>
      <c r="B920" s="196" t="s">
        <v>5760</v>
      </c>
      <c r="C920" s="320" t="s">
        <v>4269</v>
      </c>
      <c r="D920" s="321" t="s">
        <v>6008</v>
      </c>
      <c r="E920" s="322" t="s">
        <v>6009</v>
      </c>
    </row>
    <row r="921" spans="1:5" ht="14.5" customHeight="1" x14ac:dyDescent="0.35">
      <c r="A921" s="196" t="str">
        <f>"24.0102"</f>
        <v>24.0102</v>
      </c>
      <c r="B921" s="196" t="s">
        <v>5760</v>
      </c>
      <c r="C921" s="320" t="s">
        <v>4269</v>
      </c>
      <c r="D921" s="321" t="s">
        <v>6010</v>
      </c>
      <c r="E921" s="322" t="s">
        <v>6011</v>
      </c>
    </row>
    <row r="922" spans="1:5" ht="14.5" customHeight="1" x14ac:dyDescent="0.35">
      <c r="A922" s="196" t="str">
        <f>"24.0103"</f>
        <v>24.0103</v>
      </c>
      <c r="B922" s="196" t="s">
        <v>5760</v>
      </c>
      <c r="C922" s="320" t="s">
        <v>4269</v>
      </c>
      <c r="D922" s="321" t="s">
        <v>6012</v>
      </c>
      <c r="E922" s="322" t="s">
        <v>6013</v>
      </c>
    </row>
    <row r="923" spans="1:5" ht="14.5" customHeight="1" x14ac:dyDescent="0.35">
      <c r="A923" s="196" t="str">
        <f>"24.0199"</f>
        <v>24.0199</v>
      </c>
      <c r="B923" s="196" t="s">
        <v>5760</v>
      </c>
      <c r="C923" s="320" t="s">
        <v>4269</v>
      </c>
      <c r="D923" s="321" t="s">
        <v>6014</v>
      </c>
      <c r="E923" s="322" t="s">
        <v>6015</v>
      </c>
    </row>
    <row r="924" spans="1:5" ht="14.5" customHeight="1" x14ac:dyDescent="0.35">
      <c r="A924" s="196" t="str">
        <f>"25"</f>
        <v>25</v>
      </c>
      <c r="B924" s="196" t="s">
        <v>5760</v>
      </c>
      <c r="C924" s="320" t="s">
        <v>4269</v>
      </c>
      <c r="D924" s="321" t="s">
        <v>6016</v>
      </c>
      <c r="E924" s="322" t="s">
        <v>6017</v>
      </c>
    </row>
    <row r="925" spans="1:5" ht="14.5" customHeight="1" x14ac:dyDescent="0.35">
      <c r="A925" s="196" t="str">
        <f>"25.01"</f>
        <v>25.01</v>
      </c>
      <c r="B925" s="196" t="s">
        <v>5760</v>
      </c>
      <c r="C925" s="320" t="s">
        <v>4269</v>
      </c>
      <c r="D925" s="321" t="s">
        <v>6018</v>
      </c>
      <c r="E925" s="322" t="s">
        <v>6019</v>
      </c>
    </row>
    <row r="926" spans="1:5" ht="14.5" customHeight="1" x14ac:dyDescent="0.35">
      <c r="A926" s="196" t="str">
        <f>"25.0101"</f>
        <v>25.0101</v>
      </c>
      <c r="B926" s="196" t="s">
        <v>5760</v>
      </c>
      <c r="C926" s="320" t="s">
        <v>4269</v>
      </c>
      <c r="D926" s="321" t="s">
        <v>6020</v>
      </c>
      <c r="E926" s="322" t="s">
        <v>6021</v>
      </c>
    </row>
    <row r="927" spans="1:5" ht="14.5" customHeight="1" x14ac:dyDescent="0.35">
      <c r="A927" s="196" t="str">
        <f>"25.0102"</f>
        <v>25.0102</v>
      </c>
      <c r="B927" s="196" t="s">
        <v>5760</v>
      </c>
      <c r="C927" s="320" t="s">
        <v>4269</v>
      </c>
      <c r="D927" s="321" t="s">
        <v>6022</v>
      </c>
      <c r="E927" s="322" t="s">
        <v>6023</v>
      </c>
    </row>
    <row r="928" spans="1:5" ht="14.5" customHeight="1" x14ac:dyDescent="0.35">
      <c r="A928" s="196" t="str">
        <f>"25.0103"</f>
        <v>25.0103</v>
      </c>
      <c r="B928" s="196" t="s">
        <v>5760</v>
      </c>
      <c r="C928" s="320" t="s">
        <v>4269</v>
      </c>
      <c r="D928" s="321" t="s">
        <v>6024</v>
      </c>
      <c r="E928" s="322" t="s">
        <v>6025</v>
      </c>
    </row>
    <row r="929" spans="1:5" ht="14.5" customHeight="1" x14ac:dyDescent="0.35">
      <c r="A929" s="196" t="str">
        <f>"25.0199"</f>
        <v>25.0199</v>
      </c>
      <c r="B929" s="196" t="s">
        <v>5760</v>
      </c>
      <c r="C929" s="320" t="s">
        <v>4269</v>
      </c>
      <c r="D929" s="321" t="s">
        <v>6026</v>
      </c>
      <c r="E929" s="322" t="s">
        <v>6027</v>
      </c>
    </row>
    <row r="930" spans="1:5" ht="14.5" customHeight="1" x14ac:dyDescent="0.35">
      <c r="A930" s="196" t="str">
        <f>"25.03"</f>
        <v>25.03</v>
      </c>
      <c r="B930" s="196" t="s">
        <v>5760</v>
      </c>
      <c r="C930" s="320" t="s">
        <v>4269</v>
      </c>
      <c r="D930" s="321" t="s">
        <v>6028</v>
      </c>
      <c r="E930" s="322" t="s">
        <v>6029</v>
      </c>
    </row>
    <row r="931" spans="1:5" ht="14.5" customHeight="1" x14ac:dyDescent="0.35">
      <c r="A931" s="196" t="str">
        <f>"25.0301"</f>
        <v>25.0301</v>
      </c>
      <c r="B931" s="196" t="s">
        <v>5760</v>
      </c>
      <c r="C931" s="320" t="s">
        <v>4269</v>
      </c>
      <c r="D931" s="321" t="s">
        <v>6028</v>
      </c>
      <c r="E931" s="322" t="s">
        <v>6030</v>
      </c>
    </row>
    <row r="932" spans="1:5" ht="14.5" customHeight="1" x14ac:dyDescent="0.35">
      <c r="A932" s="196" t="str">
        <f>"25.99"</f>
        <v>25.99</v>
      </c>
      <c r="B932" s="196" t="s">
        <v>5760</v>
      </c>
      <c r="C932" s="320" t="s">
        <v>4269</v>
      </c>
      <c r="D932" s="321" t="s">
        <v>6031</v>
      </c>
      <c r="E932" s="322" t="s">
        <v>6032</v>
      </c>
    </row>
    <row r="933" spans="1:5" ht="14.5" customHeight="1" x14ac:dyDescent="0.35">
      <c r="A933" s="196" t="str">
        <f>"25.9999"</f>
        <v>25.9999</v>
      </c>
      <c r="B933" s="196" t="s">
        <v>5760</v>
      </c>
      <c r="C933" s="320" t="s">
        <v>4269</v>
      </c>
      <c r="D933" s="321" t="s">
        <v>6031</v>
      </c>
      <c r="E933" s="322" t="s">
        <v>6033</v>
      </c>
    </row>
    <row r="934" spans="1:5" ht="14.5" customHeight="1" x14ac:dyDescent="0.35">
      <c r="A934" s="196" t="str">
        <f>"26"</f>
        <v>26</v>
      </c>
      <c r="B934" s="196" t="s">
        <v>5760</v>
      </c>
      <c r="C934" s="320" t="s">
        <v>4269</v>
      </c>
      <c r="D934" s="321" t="s">
        <v>6034</v>
      </c>
      <c r="E934" s="322" t="s">
        <v>6035</v>
      </c>
    </row>
    <row r="935" spans="1:5" ht="14.5" customHeight="1" x14ac:dyDescent="0.35">
      <c r="A935" s="196" t="str">
        <f>"26.01"</f>
        <v>26.01</v>
      </c>
      <c r="B935" s="196" t="s">
        <v>5760</v>
      </c>
      <c r="C935" s="320" t="s">
        <v>4269</v>
      </c>
      <c r="D935" s="321" t="s">
        <v>6036</v>
      </c>
      <c r="E935" s="322" t="s">
        <v>6037</v>
      </c>
    </row>
    <row r="936" spans="1:5" ht="14.5" customHeight="1" x14ac:dyDescent="0.35">
      <c r="A936" s="196" t="str">
        <f>"26.0101"</f>
        <v>26.0101</v>
      </c>
      <c r="B936" s="196" t="s">
        <v>5760</v>
      </c>
      <c r="C936" s="320" t="s">
        <v>4269</v>
      </c>
      <c r="D936" s="321" t="s">
        <v>6038</v>
      </c>
      <c r="E936" s="322" t="s">
        <v>6039</v>
      </c>
    </row>
    <row r="937" spans="1:5" ht="14.5" customHeight="1" x14ac:dyDescent="0.35">
      <c r="A937" s="196" t="str">
        <f>"26.0102"</f>
        <v>26.0102</v>
      </c>
      <c r="B937" s="196" t="s">
        <v>5760</v>
      </c>
      <c r="C937" s="320" t="s">
        <v>4269</v>
      </c>
      <c r="D937" s="321" t="s">
        <v>6040</v>
      </c>
      <c r="E937" s="322" t="s">
        <v>6041</v>
      </c>
    </row>
    <row r="938" spans="1:5" ht="14.5" customHeight="1" x14ac:dyDescent="0.35">
      <c r="A938" s="196" t="str">
        <f>"26.02"</f>
        <v>26.02</v>
      </c>
      <c r="B938" s="196" t="s">
        <v>5760</v>
      </c>
      <c r="C938" s="320" t="s">
        <v>4269</v>
      </c>
      <c r="D938" s="321" t="s">
        <v>6042</v>
      </c>
      <c r="E938" s="322" t="s">
        <v>6043</v>
      </c>
    </row>
    <row r="939" spans="1:5" ht="14.5" customHeight="1" x14ac:dyDescent="0.35">
      <c r="A939" s="196" t="str">
        <f>"26.0202"</f>
        <v>26.0202</v>
      </c>
      <c r="B939" s="196" t="s">
        <v>5760</v>
      </c>
      <c r="C939" s="320" t="s">
        <v>4269</v>
      </c>
      <c r="D939" s="321" t="s">
        <v>6044</v>
      </c>
      <c r="E939" s="322" t="s">
        <v>6045</v>
      </c>
    </row>
    <row r="940" spans="1:5" ht="14.5" customHeight="1" x14ac:dyDescent="0.35">
      <c r="A940" s="196" t="str">
        <f>"26.0203"</f>
        <v>26.0203</v>
      </c>
      <c r="B940" s="196" t="s">
        <v>5760</v>
      </c>
      <c r="C940" s="320" t="s">
        <v>4269</v>
      </c>
      <c r="D940" s="321" t="s">
        <v>6046</v>
      </c>
      <c r="E940" s="322" t="s">
        <v>6047</v>
      </c>
    </row>
    <row r="941" spans="1:5" ht="14.5" customHeight="1" x14ac:dyDescent="0.35">
      <c r="A941" s="196" t="str">
        <f>"26.0204"</f>
        <v>26.0204</v>
      </c>
      <c r="B941" s="196" t="s">
        <v>5760</v>
      </c>
      <c r="C941" s="320" t="s">
        <v>4269</v>
      </c>
      <c r="D941" s="321" t="s">
        <v>6048</v>
      </c>
      <c r="E941" s="322" t="s">
        <v>6049</v>
      </c>
    </row>
    <row r="942" spans="1:5" ht="14.5" customHeight="1" x14ac:dyDescent="0.35">
      <c r="A942" s="196" t="str">
        <f>"26.0205"</f>
        <v>26.0205</v>
      </c>
      <c r="B942" s="196" t="s">
        <v>5760</v>
      </c>
      <c r="C942" s="320" t="s">
        <v>4269</v>
      </c>
      <c r="D942" s="321" t="s">
        <v>6050</v>
      </c>
      <c r="E942" s="322" t="s">
        <v>6051</v>
      </c>
    </row>
    <row r="943" spans="1:5" ht="14.5" customHeight="1" x14ac:dyDescent="0.35">
      <c r="A943" s="196" t="str">
        <f>"26.0206"</f>
        <v>26.0206</v>
      </c>
      <c r="B943" s="196" t="s">
        <v>5760</v>
      </c>
      <c r="C943" s="320" t="s">
        <v>4269</v>
      </c>
      <c r="D943" s="321" t="s">
        <v>6052</v>
      </c>
      <c r="E943" s="322" t="s">
        <v>6053</v>
      </c>
    </row>
    <row r="944" spans="1:5" ht="14.5" customHeight="1" x14ac:dyDescent="0.35">
      <c r="A944" s="196" t="str">
        <f>"26.0207"</f>
        <v>26.0207</v>
      </c>
      <c r="B944" s="196" t="s">
        <v>5760</v>
      </c>
      <c r="C944" s="320" t="s">
        <v>4269</v>
      </c>
      <c r="D944" s="321" t="s">
        <v>6054</v>
      </c>
      <c r="E944" s="322" t="s">
        <v>6055</v>
      </c>
    </row>
    <row r="945" spans="1:5" ht="14.5" customHeight="1" x14ac:dyDescent="0.35">
      <c r="A945" s="196" t="str">
        <f>"26.0208"</f>
        <v>26.0208</v>
      </c>
      <c r="B945" s="196" t="s">
        <v>5760</v>
      </c>
      <c r="C945" s="320" t="s">
        <v>4269</v>
      </c>
      <c r="D945" s="321" t="s">
        <v>6056</v>
      </c>
      <c r="E945" s="322" t="s">
        <v>6057</v>
      </c>
    </row>
    <row r="946" spans="1:5" ht="14.5" customHeight="1" x14ac:dyDescent="0.35">
      <c r="A946" s="196" t="str">
        <f>"26.0209"</f>
        <v>26.0209</v>
      </c>
      <c r="B946" s="196" t="s">
        <v>5760</v>
      </c>
      <c r="C946" s="320" t="s">
        <v>4269</v>
      </c>
      <c r="D946" s="321" t="s">
        <v>6058</v>
      </c>
      <c r="E946" s="322" t="s">
        <v>6059</v>
      </c>
    </row>
    <row r="947" spans="1:5" ht="14.5" customHeight="1" x14ac:dyDescent="0.35">
      <c r="A947" s="196" t="str">
        <f>"26.0210"</f>
        <v>26.0210</v>
      </c>
      <c r="B947" s="196" t="s">
        <v>5760</v>
      </c>
      <c r="C947" s="320" t="s">
        <v>4269</v>
      </c>
      <c r="D947" s="321" t="s">
        <v>6060</v>
      </c>
      <c r="E947" s="322" t="s">
        <v>6061</v>
      </c>
    </row>
    <row r="948" spans="1:5" ht="14.5" customHeight="1" x14ac:dyDescent="0.35">
      <c r="A948" s="196" t="str">
        <f>"26.0299"</f>
        <v>26.0299</v>
      </c>
      <c r="B948" s="196" t="s">
        <v>5760</v>
      </c>
      <c r="C948" s="320" t="s">
        <v>4269</v>
      </c>
      <c r="D948" s="321" t="s">
        <v>6062</v>
      </c>
      <c r="E948" s="322" t="s">
        <v>6063</v>
      </c>
    </row>
    <row r="949" spans="1:5" ht="14.5" customHeight="1" x14ac:dyDescent="0.35">
      <c r="A949" s="196" t="str">
        <f>"26.03"</f>
        <v>26.03</v>
      </c>
      <c r="B949" s="196" t="s">
        <v>5760</v>
      </c>
      <c r="C949" s="320" t="s">
        <v>4269</v>
      </c>
      <c r="D949" s="321" t="s">
        <v>6064</v>
      </c>
      <c r="E949" s="322" t="s">
        <v>6065</v>
      </c>
    </row>
    <row r="950" spans="1:5" ht="14.5" customHeight="1" x14ac:dyDescent="0.35">
      <c r="A950" s="196" t="str">
        <f>"26.0301"</f>
        <v>26.0301</v>
      </c>
      <c r="B950" s="196" t="s">
        <v>5760</v>
      </c>
      <c r="C950" s="320" t="s">
        <v>4269</v>
      </c>
      <c r="D950" s="321" t="s">
        <v>6064</v>
      </c>
      <c r="E950" s="322" t="s">
        <v>6066</v>
      </c>
    </row>
    <row r="951" spans="1:5" ht="14.5" customHeight="1" x14ac:dyDescent="0.35">
      <c r="A951" s="196" t="str">
        <f>"26.0305"</f>
        <v>26.0305</v>
      </c>
      <c r="B951" s="196" t="s">
        <v>5760</v>
      </c>
      <c r="C951" s="320" t="s">
        <v>4269</v>
      </c>
      <c r="D951" s="321" t="s">
        <v>6067</v>
      </c>
      <c r="E951" s="322" t="s">
        <v>6068</v>
      </c>
    </row>
    <row r="952" spans="1:5" ht="14.5" customHeight="1" x14ac:dyDescent="0.35">
      <c r="A952" s="196" t="str">
        <f>"26.0307"</f>
        <v>26.0307</v>
      </c>
      <c r="B952" s="196" t="s">
        <v>5760</v>
      </c>
      <c r="C952" s="320" t="s">
        <v>4269</v>
      </c>
      <c r="D952" s="321" t="s">
        <v>6069</v>
      </c>
      <c r="E952" s="322" t="s">
        <v>6070</v>
      </c>
    </row>
    <row r="953" spans="1:5" ht="14.5" customHeight="1" x14ac:dyDescent="0.35">
      <c r="A953" s="196" t="str">
        <f>"26.0308"</f>
        <v>26.0308</v>
      </c>
      <c r="B953" s="196" t="s">
        <v>5760</v>
      </c>
      <c r="C953" s="320" t="s">
        <v>4269</v>
      </c>
      <c r="D953" s="321" t="s">
        <v>6071</v>
      </c>
      <c r="E953" s="322" t="s">
        <v>6072</v>
      </c>
    </row>
    <row r="954" spans="1:5" ht="14.5" customHeight="1" x14ac:dyDescent="0.35">
      <c r="A954" s="196" t="str">
        <f>"26.0399"</f>
        <v>26.0399</v>
      </c>
      <c r="B954" s="196" t="s">
        <v>5760</v>
      </c>
      <c r="C954" s="320" t="s">
        <v>4269</v>
      </c>
      <c r="D954" s="321" t="s">
        <v>6073</v>
      </c>
      <c r="E954" s="322" t="s">
        <v>6074</v>
      </c>
    </row>
    <row r="955" spans="1:5" ht="14.5" customHeight="1" x14ac:dyDescent="0.35">
      <c r="A955" s="196" t="str">
        <f>"26.04"</f>
        <v>26.04</v>
      </c>
      <c r="B955" s="196" t="s">
        <v>5760</v>
      </c>
      <c r="C955" s="320" t="s">
        <v>4269</v>
      </c>
      <c r="D955" s="321" t="s">
        <v>6075</v>
      </c>
      <c r="E955" s="322" t="s">
        <v>6076</v>
      </c>
    </row>
    <row r="956" spans="1:5" ht="14.5" customHeight="1" x14ac:dyDescent="0.35">
      <c r="A956" s="196" t="str">
        <f>"26.0401"</f>
        <v>26.0401</v>
      </c>
      <c r="B956" s="196" t="s">
        <v>5760</v>
      </c>
      <c r="C956" s="320" t="s">
        <v>4269</v>
      </c>
      <c r="D956" s="321" t="s">
        <v>6077</v>
      </c>
      <c r="E956" s="322" t="s">
        <v>6078</v>
      </c>
    </row>
    <row r="957" spans="1:5" ht="14.5" customHeight="1" x14ac:dyDescent="0.35">
      <c r="A957" s="196" t="str">
        <f>"26.0403"</f>
        <v>26.0403</v>
      </c>
      <c r="B957" s="196" t="s">
        <v>5760</v>
      </c>
      <c r="C957" s="320" t="s">
        <v>4269</v>
      </c>
      <c r="D957" s="321" t="s">
        <v>6079</v>
      </c>
      <c r="E957" s="322" t="s">
        <v>6080</v>
      </c>
    </row>
    <row r="958" spans="1:5" ht="14.5" customHeight="1" x14ac:dyDescent="0.35">
      <c r="A958" s="196" t="str">
        <f>"26.0404"</f>
        <v>26.0404</v>
      </c>
      <c r="B958" s="196" t="s">
        <v>5760</v>
      </c>
      <c r="C958" s="320" t="s">
        <v>4269</v>
      </c>
      <c r="D958" s="321" t="s">
        <v>6081</v>
      </c>
      <c r="E958" s="322" t="s">
        <v>6082</v>
      </c>
    </row>
    <row r="959" spans="1:5" ht="14.5" customHeight="1" x14ac:dyDescent="0.35">
      <c r="A959" s="196" t="str">
        <f>"26.0406"</f>
        <v>26.0406</v>
      </c>
      <c r="B959" s="196" t="s">
        <v>5760</v>
      </c>
      <c r="C959" s="320" t="s">
        <v>4269</v>
      </c>
      <c r="D959" s="321" t="s">
        <v>6083</v>
      </c>
      <c r="E959" s="322" t="s">
        <v>6084</v>
      </c>
    </row>
    <row r="960" spans="1:5" ht="14.5" customHeight="1" x14ac:dyDescent="0.35">
      <c r="A960" s="196" t="str">
        <f>"26.0407"</f>
        <v>26.0407</v>
      </c>
      <c r="B960" s="196" t="s">
        <v>5760</v>
      </c>
      <c r="C960" s="320" t="s">
        <v>4269</v>
      </c>
      <c r="D960" s="321" t="s">
        <v>6085</v>
      </c>
      <c r="E960" s="322" t="s">
        <v>6086</v>
      </c>
    </row>
    <row r="961" spans="1:5" ht="14.5" customHeight="1" x14ac:dyDescent="0.35">
      <c r="A961" s="196" t="str">
        <f>"26.0499"</f>
        <v>26.0499</v>
      </c>
      <c r="B961" s="196" t="s">
        <v>5760</v>
      </c>
      <c r="C961" s="320" t="s">
        <v>4269</v>
      </c>
      <c r="D961" s="321" t="s">
        <v>6087</v>
      </c>
      <c r="E961" s="322" t="s">
        <v>6088</v>
      </c>
    </row>
    <row r="962" spans="1:5" ht="14.5" customHeight="1" x14ac:dyDescent="0.35">
      <c r="A962" s="196" t="str">
        <f>"26.05"</f>
        <v>26.05</v>
      </c>
      <c r="B962" s="196" t="s">
        <v>5760</v>
      </c>
      <c r="C962" s="320" t="s">
        <v>4269</v>
      </c>
      <c r="D962" s="321" t="s">
        <v>6089</v>
      </c>
      <c r="E962" s="322" t="s">
        <v>6090</v>
      </c>
    </row>
    <row r="963" spans="1:5" ht="14.5" customHeight="1" x14ac:dyDescent="0.35">
      <c r="A963" s="196" t="str">
        <f>"26.0502"</f>
        <v>26.0502</v>
      </c>
      <c r="B963" s="196" t="s">
        <v>5760</v>
      </c>
      <c r="C963" s="320" t="s">
        <v>4269</v>
      </c>
      <c r="D963" s="321" t="s">
        <v>6091</v>
      </c>
      <c r="E963" s="322" t="s">
        <v>6092</v>
      </c>
    </row>
    <row r="964" spans="1:5" ht="14.5" customHeight="1" x14ac:dyDescent="0.35">
      <c r="A964" s="196" t="str">
        <f>"26.0503"</f>
        <v>26.0503</v>
      </c>
      <c r="B964" s="196" t="s">
        <v>5760</v>
      </c>
      <c r="C964" s="320" t="s">
        <v>4269</v>
      </c>
      <c r="D964" s="321" t="s">
        <v>6093</v>
      </c>
      <c r="E964" s="322" t="s">
        <v>6094</v>
      </c>
    </row>
    <row r="965" spans="1:5" ht="14.5" customHeight="1" x14ac:dyDescent="0.35">
      <c r="A965" s="196" t="str">
        <f>"26.0504"</f>
        <v>26.0504</v>
      </c>
      <c r="B965" s="196" t="s">
        <v>5760</v>
      </c>
      <c r="C965" s="320" t="s">
        <v>4269</v>
      </c>
      <c r="D965" s="321" t="s">
        <v>6095</v>
      </c>
      <c r="E965" s="322" t="s">
        <v>6096</v>
      </c>
    </row>
    <row r="966" spans="1:5" ht="14.5" customHeight="1" x14ac:dyDescent="0.35">
      <c r="A966" s="196" t="str">
        <f>"26.0505"</f>
        <v>26.0505</v>
      </c>
      <c r="B966" s="196" t="s">
        <v>5760</v>
      </c>
      <c r="C966" s="320" t="s">
        <v>4269</v>
      </c>
      <c r="D966" s="321" t="s">
        <v>6097</v>
      </c>
      <c r="E966" s="322" t="s">
        <v>6098</v>
      </c>
    </row>
    <row r="967" spans="1:5" ht="14.5" customHeight="1" x14ac:dyDescent="0.35">
      <c r="A967" s="196" t="str">
        <f>"26.0506"</f>
        <v>26.0506</v>
      </c>
      <c r="B967" s="196" t="s">
        <v>5760</v>
      </c>
      <c r="C967" s="320" t="s">
        <v>4269</v>
      </c>
      <c r="D967" s="321" t="s">
        <v>6099</v>
      </c>
      <c r="E967" s="322" t="s">
        <v>6100</v>
      </c>
    </row>
    <row r="968" spans="1:5" ht="14.5" customHeight="1" x14ac:dyDescent="0.35">
      <c r="A968" s="196" t="str">
        <f>"26.0507"</f>
        <v>26.0507</v>
      </c>
      <c r="B968" s="196" t="s">
        <v>5760</v>
      </c>
      <c r="C968" s="320" t="s">
        <v>4269</v>
      </c>
      <c r="D968" s="321" t="s">
        <v>6101</v>
      </c>
      <c r="E968" s="322" t="s">
        <v>6102</v>
      </c>
    </row>
    <row r="969" spans="1:5" ht="14.5" customHeight="1" x14ac:dyDescent="0.35">
      <c r="A969" s="196" t="str">
        <f>"26.0508"</f>
        <v>26.0508</v>
      </c>
      <c r="B969" s="196" t="s">
        <v>5760</v>
      </c>
      <c r="C969" s="320" t="s">
        <v>4269</v>
      </c>
      <c r="D969" s="321" t="s">
        <v>6103</v>
      </c>
      <c r="E969" s="322" t="s">
        <v>6104</v>
      </c>
    </row>
    <row r="970" spans="1:5" s="327" customFormat="1" ht="14.5" customHeight="1" x14ac:dyDescent="0.35">
      <c r="A970" s="323" t="str">
        <f>"26.0509"</f>
        <v>26.0509</v>
      </c>
      <c r="B970" s="323" t="s">
        <v>4297</v>
      </c>
      <c r="C970" s="324" t="s">
        <v>4269</v>
      </c>
      <c r="D970" s="325" t="s">
        <v>6105</v>
      </c>
      <c r="E970" s="326" t="s">
        <v>6106</v>
      </c>
    </row>
    <row r="971" spans="1:5" ht="14.5" customHeight="1" x14ac:dyDescent="0.35">
      <c r="A971" s="196" t="str">
        <f>"26.0599"</f>
        <v>26.0599</v>
      </c>
      <c r="B971" s="196" t="s">
        <v>5760</v>
      </c>
      <c r="C971" s="320" t="s">
        <v>4269</v>
      </c>
      <c r="D971" s="321" t="s">
        <v>6107</v>
      </c>
      <c r="E971" s="322" t="s">
        <v>6108</v>
      </c>
    </row>
    <row r="972" spans="1:5" ht="14.5" customHeight="1" x14ac:dyDescent="0.35">
      <c r="A972" s="196" t="str">
        <f>"26.07"</f>
        <v>26.07</v>
      </c>
      <c r="B972" s="196" t="s">
        <v>5760</v>
      </c>
      <c r="C972" s="320" t="s">
        <v>4269</v>
      </c>
      <c r="D972" s="321" t="s">
        <v>6109</v>
      </c>
      <c r="E972" s="322" t="s">
        <v>6110</v>
      </c>
    </row>
    <row r="973" spans="1:5" ht="14.5" customHeight="1" x14ac:dyDescent="0.35">
      <c r="A973" s="196" t="str">
        <f>"26.0701"</f>
        <v>26.0701</v>
      </c>
      <c r="B973" s="196" t="s">
        <v>5760</v>
      </c>
      <c r="C973" s="320" t="s">
        <v>4269</v>
      </c>
      <c r="D973" s="321" t="s">
        <v>6109</v>
      </c>
      <c r="E973" s="322" t="s">
        <v>6111</v>
      </c>
    </row>
    <row r="974" spans="1:5" ht="14.5" customHeight="1" x14ac:dyDescent="0.35">
      <c r="A974" s="196" t="str">
        <f>"26.0702"</f>
        <v>26.0702</v>
      </c>
      <c r="B974" s="196" t="s">
        <v>5760</v>
      </c>
      <c r="C974" s="320" t="s">
        <v>4269</v>
      </c>
      <c r="D974" s="321" t="s">
        <v>6112</v>
      </c>
      <c r="E974" s="322" t="s">
        <v>6113</v>
      </c>
    </row>
    <row r="975" spans="1:5" ht="14.5" customHeight="1" x14ac:dyDescent="0.35">
      <c r="A975" s="196" t="str">
        <f>"26.0707"</f>
        <v>26.0707</v>
      </c>
      <c r="B975" s="196" t="s">
        <v>5760</v>
      </c>
      <c r="C975" s="320" t="s">
        <v>4269</v>
      </c>
      <c r="D975" s="321" t="s">
        <v>6114</v>
      </c>
      <c r="E975" s="322" t="s">
        <v>6115</v>
      </c>
    </row>
    <row r="976" spans="1:5" ht="14.5" customHeight="1" x14ac:dyDescent="0.35">
      <c r="A976" s="196" t="str">
        <f>"26.0708"</f>
        <v>26.0708</v>
      </c>
      <c r="B976" s="196" t="s">
        <v>5760</v>
      </c>
      <c r="C976" s="320" t="s">
        <v>4269</v>
      </c>
      <c r="D976" s="321" t="s">
        <v>6116</v>
      </c>
      <c r="E976" s="322" t="s">
        <v>6117</v>
      </c>
    </row>
    <row r="977" spans="1:5" ht="14.5" customHeight="1" x14ac:dyDescent="0.35">
      <c r="A977" s="196" t="str">
        <f>"26.0709"</f>
        <v>26.0709</v>
      </c>
      <c r="B977" s="196" t="s">
        <v>5760</v>
      </c>
      <c r="C977" s="320" t="s">
        <v>4269</v>
      </c>
      <c r="D977" s="321" t="s">
        <v>6118</v>
      </c>
      <c r="E977" s="322" t="s">
        <v>6119</v>
      </c>
    </row>
    <row r="978" spans="1:5" ht="14.5" customHeight="1" x14ac:dyDescent="0.35">
      <c r="A978" s="196" t="str">
        <f>"26.0799"</f>
        <v>26.0799</v>
      </c>
      <c r="B978" s="196" t="s">
        <v>5760</v>
      </c>
      <c r="C978" s="320" t="s">
        <v>4269</v>
      </c>
      <c r="D978" s="321" t="s">
        <v>6120</v>
      </c>
      <c r="E978" s="322" t="s">
        <v>6121</v>
      </c>
    </row>
    <row r="979" spans="1:5" ht="14.5" customHeight="1" x14ac:dyDescent="0.35">
      <c r="A979" s="196" t="str">
        <f>"26.08"</f>
        <v>26.08</v>
      </c>
      <c r="B979" s="196" t="s">
        <v>5760</v>
      </c>
      <c r="C979" s="320" t="s">
        <v>4269</v>
      </c>
      <c r="D979" s="321" t="s">
        <v>6122</v>
      </c>
      <c r="E979" s="322" t="s">
        <v>6123</v>
      </c>
    </row>
    <row r="980" spans="1:5" ht="14.5" customHeight="1" x14ac:dyDescent="0.35">
      <c r="A980" s="196" t="str">
        <f>"26.0801"</f>
        <v>26.0801</v>
      </c>
      <c r="B980" s="196" t="s">
        <v>5760</v>
      </c>
      <c r="C980" s="320" t="s">
        <v>4269</v>
      </c>
      <c r="D980" s="321" t="s">
        <v>6124</v>
      </c>
      <c r="E980" s="322" t="s">
        <v>6125</v>
      </c>
    </row>
    <row r="981" spans="1:5" ht="14.5" customHeight="1" x14ac:dyDescent="0.35">
      <c r="A981" s="196" t="str">
        <f>"26.0802"</f>
        <v>26.0802</v>
      </c>
      <c r="B981" s="196" t="s">
        <v>5760</v>
      </c>
      <c r="C981" s="320" t="s">
        <v>4269</v>
      </c>
      <c r="D981" s="321" t="s">
        <v>6126</v>
      </c>
      <c r="E981" s="322" t="s">
        <v>6127</v>
      </c>
    </row>
    <row r="982" spans="1:5" ht="14.5" customHeight="1" x14ac:dyDescent="0.35">
      <c r="A982" s="196" t="str">
        <f>"26.0803"</f>
        <v>26.0803</v>
      </c>
      <c r="B982" s="196" t="s">
        <v>5760</v>
      </c>
      <c r="C982" s="320" t="s">
        <v>4269</v>
      </c>
      <c r="D982" s="321" t="s">
        <v>6128</v>
      </c>
      <c r="E982" s="322" t="s">
        <v>6129</v>
      </c>
    </row>
    <row r="983" spans="1:5" ht="14.5" customHeight="1" x14ac:dyDescent="0.35">
      <c r="A983" s="196" t="str">
        <f>"26.0804"</f>
        <v>26.0804</v>
      </c>
      <c r="B983" s="196" t="s">
        <v>5760</v>
      </c>
      <c r="C983" s="320" t="s">
        <v>4269</v>
      </c>
      <c r="D983" s="321" t="s">
        <v>6130</v>
      </c>
      <c r="E983" s="322" t="s">
        <v>6131</v>
      </c>
    </row>
    <row r="984" spans="1:5" ht="14.5" customHeight="1" x14ac:dyDescent="0.35">
      <c r="A984" s="196" t="str">
        <f>"26.0805"</f>
        <v>26.0805</v>
      </c>
      <c r="B984" s="196" t="s">
        <v>5760</v>
      </c>
      <c r="C984" s="320" t="s">
        <v>4269</v>
      </c>
      <c r="D984" s="321" t="s">
        <v>6132</v>
      </c>
      <c r="E984" s="322" t="s">
        <v>6133</v>
      </c>
    </row>
    <row r="985" spans="1:5" ht="14.5" customHeight="1" x14ac:dyDescent="0.35">
      <c r="A985" s="196" t="str">
        <f>"26.0806"</f>
        <v>26.0806</v>
      </c>
      <c r="B985" s="196" t="s">
        <v>5760</v>
      </c>
      <c r="C985" s="320" t="s">
        <v>4269</v>
      </c>
      <c r="D985" s="321" t="s">
        <v>6134</v>
      </c>
      <c r="E985" s="322" t="s">
        <v>6135</v>
      </c>
    </row>
    <row r="986" spans="1:5" ht="14.5" customHeight="1" x14ac:dyDescent="0.35">
      <c r="A986" s="196" t="str">
        <f>"26.0807"</f>
        <v>26.0807</v>
      </c>
      <c r="B986" s="196" t="s">
        <v>5760</v>
      </c>
      <c r="C986" s="320" t="s">
        <v>4269</v>
      </c>
      <c r="D986" s="321" t="s">
        <v>6136</v>
      </c>
      <c r="E986" s="322" t="s">
        <v>6137</v>
      </c>
    </row>
    <row r="987" spans="1:5" ht="14.5" customHeight="1" x14ac:dyDescent="0.35">
      <c r="A987" s="196" t="str">
        <f>"26.0899"</f>
        <v>26.0899</v>
      </c>
      <c r="B987" s="196" t="s">
        <v>5760</v>
      </c>
      <c r="C987" s="320" t="s">
        <v>4269</v>
      </c>
      <c r="D987" s="321" t="s">
        <v>6138</v>
      </c>
      <c r="E987" s="322" t="s">
        <v>6139</v>
      </c>
    </row>
    <row r="988" spans="1:5" ht="14.5" customHeight="1" x14ac:dyDescent="0.35">
      <c r="A988" s="196" t="str">
        <f>"26.09"</f>
        <v>26.09</v>
      </c>
      <c r="B988" s="196" t="s">
        <v>5760</v>
      </c>
      <c r="C988" s="320" t="s">
        <v>4269</v>
      </c>
      <c r="D988" s="321" t="s">
        <v>6140</v>
      </c>
      <c r="E988" s="322" t="s">
        <v>6141</v>
      </c>
    </row>
    <row r="989" spans="1:5" ht="14.5" customHeight="1" x14ac:dyDescent="0.35">
      <c r="A989" s="196" t="str">
        <f>"26.0901"</f>
        <v>26.0901</v>
      </c>
      <c r="B989" s="196" t="s">
        <v>5760</v>
      </c>
      <c r="C989" s="320" t="s">
        <v>4269</v>
      </c>
      <c r="D989" s="321" t="s">
        <v>6142</v>
      </c>
      <c r="E989" s="322" t="s">
        <v>6143</v>
      </c>
    </row>
    <row r="990" spans="1:5" ht="14.5" customHeight="1" x14ac:dyDescent="0.35">
      <c r="A990" s="196" t="str">
        <f>"26.0902"</f>
        <v>26.0902</v>
      </c>
      <c r="B990" s="196" t="s">
        <v>5760</v>
      </c>
      <c r="C990" s="320" t="s">
        <v>4269</v>
      </c>
      <c r="D990" s="321" t="s">
        <v>6144</v>
      </c>
      <c r="E990" s="322" t="s">
        <v>6145</v>
      </c>
    </row>
    <row r="991" spans="1:5" ht="14.5" customHeight="1" x14ac:dyDescent="0.35">
      <c r="A991" s="196" t="str">
        <f>"26.0903"</f>
        <v>26.0903</v>
      </c>
      <c r="B991" s="196" t="s">
        <v>5760</v>
      </c>
      <c r="C991" s="320" t="s">
        <v>4269</v>
      </c>
      <c r="D991" s="321" t="s">
        <v>6146</v>
      </c>
      <c r="E991" s="322" t="s">
        <v>6147</v>
      </c>
    </row>
    <row r="992" spans="1:5" ht="14.5" customHeight="1" x14ac:dyDescent="0.35">
      <c r="A992" s="196" t="str">
        <f>"26.0904"</f>
        <v>26.0904</v>
      </c>
      <c r="B992" s="196" t="s">
        <v>5760</v>
      </c>
      <c r="C992" s="320" t="s">
        <v>4269</v>
      </c>
      <c r="D992" s="321" t="s">
        <v>6148</v>
      </c>
      <c r="E992" s="322" t="s">
        <v>6149</v>
      </c>
    </row>
    <row r="993" spans="1:5" ht="14.5" customHeight="1" x14ac:dyDescent="0.35">
      <c r="A993" s="196" t="str">
        <f>"26.0905"</f>
        <v>26.0905</v>
      </c>
      <c r="B993" s="196" t="s">
        <v>5760</v>
      </c>
      <c r="C993" s="320" t="s">
        <v>4269</v>
      </c>
      <c r="D993" s="321" t="s">
        <v>6150</v>
      </c>
      <c r="E993" s="322" t="s">
        <v>6151</v>
      </c>
    </row>
    <row r="994" spans="1:5" ht="14.5" customHeight="1" x14ac:dyDescent="0.35">
      <c r="A994" s="196" t="str">
        <f>"26.0907"</f>
        <v>26.0907</v>
      </c>
      <c r="B994" s="196" t="s">
        <v>5760</v>
      </c>
      <c r="C994" s="320" t="s">
        <v>4269</v>
      </c>
      <c r="D994" s="321" t="s">
        <v>6152</v>
      </c>
      <c r="E994" s="322" t="s">
        <v>6153</v>
      </c>
    </row>
    <row r="995" spans="1:5" ht="14.5" customHeight="1" x14ac:dyDescent="0.35">
      <c r="A995" s="196" t="str">
        <f>"26.0908"</f>
        <v>26.0908</v>
      </c>
      <c r="B995" s="196" t="s">
        <v>4265</v>
      </c>
      <c r="C995" s="320" t="s">
        <v>4266</v>
      </c>
      <c r="D995" s="321" t="s">
        <v>6154</v>
      </c>
      <c r="E995" s="322" t="s">
        <v>6155</v>
      </c>
    </row>
    <row r="996" spans="1:5" ht="14.5" customHeight="1" x14ac:dyDescent="0.35">
      <c r="A996" s="196" t="str">
        <f>"26.0909"</f>
        <v>26.0909</v>
      </c>
      <c r="B996" s="196" t="s">
        <v>5760</v>
      </c>
      <c r="C996" s="320" t="s">
        <v>4269</v>
      </c>
      <c r="D996" s="321" t="s">
        <v>6156</v>
      </c>
      <c r="E996" s="322" t="s">
        <v>6157</v>
      </c>
    </row>
    <row r="997" spans="1:5" ht="14.5" customHeight="1" x14ac:dyDescent="0.35">
      <c r="A997" s="196" t="str">
        <f>"26.0910"</f>
        <v>26.0910</v>
      </c>
      <c r="B997" s="196" t="s">
        <v>5760</v>
      </c>
      <c r="C997" s="320" t="s">
        <v>4269</v>
      </c>
      <c r="D997" s="321" t="s">
        <v>6158</v>
      </c>
      <c r="E997" s="322" t="s">
        <v>6159</v>
      </c>
    </row>
    <row r="998" spans="1:5" ht="14.5" customHeight="1" x14ac:dyDescent="0.35">
      <c r="A998" s="196" t="str">
        <f>"26.0911"</f>
        <v>26.0911</v>
      </c>
      <c r="B998" s="196" t="s">
        <v>5760</v>
      </c>
      <c r="C998" s="320" t="s">
        <v>4269</v>
      </c>
      <c r="D998" s="321" t="s">
        <v>6160</v>
      </c>
      <c r="E998" s="322" t="s">
        <v>6161</v>
      </c>
    </row>
    <row r="999" spans="1:5" ht="14.5" customHeight="1" x14ac:dyDescent="0.35">
      <c r="A999" s="196" t="str">
        <f>"26.0912"</f>
        <v>26.0912</v>
      </c>
      <c r="B999" s="196" t="s">
        <v>5760</v>
      </c>
      <c r="C999" s="320" t="s">
        <v>4269</v>
      </c>
      <c r="D999" s="321" t="s">
        <v>6162</v>
      </c>
      <c r="E999" s="322" t="s">
        <v>6163</v>
      </c>
    </row>
    <row r="1000" spans="1:5" s="327" customFormat="1" ht="14.5" customHeight="1" x14ac:dyDescent="0.35">
      <c r="A1000" s="323" t="str">
        <f>"26.0913"</f>
        <v>26.0913</v>
      </c>
      <c r="B1000" s="323" t="s">
        <v>4297</v>
      </c>
      <c r="C1000" s="324" t="s">
        <v>4269</v>
      </c>
      <c r="D1000" s="325" t="s">
        <v>6164</v>
      </c>
      <c r="E1000" s="326" t="s">
        <v>6165</v>
      </c>
    </row>
    <row r="1001" spans="1:5" ht="14.5" customHeight="1" x14ac:dyDescent="0.35">
      <c r="A1001" s="196" t="str">
        <f>"26.0999"</f>
        <v>26.0999</v>
      </c>
      <c r="B1001" s="196" t="s">
        <v>5760</v>
      </c>
      <c r="C1001" s="320" t="s">
        <v>4269</v>
      </c>
      <c r="D1001" s="321" t="s">
        <v>6166</v>
      </c>
      <c r="E1001" s="322" t="s">
        <v>6167</v>
      </c>
    </row>
    <row r="1002" spans="1:5" ht="14.5" customHeight="1" x14ac:dyDescent="0.35">
      <c r="A1002" s="196" t="str">
        <f>"26.10"</f>
        <v>26.10</v>
      </c>
      <c r="B1002" s="196" t="s">
        <v>5760</v>
      </c>
      <c r="C1002" s="320" t="s">
        <v>4269</v>
      </c>
      <c r="D1002" s="321" t="s">
        <v>6168</v>
      </c>
      <c r="E1002" s="322" t="s">
        <v>6169</v>
      </c>
    </row>
    <row r="1003" spans="1:5" ht="14.5" customHeight="1" x14ac:dyDescent="0.35">
      <c r="A1003" s="196" t="str">
        <f>"26.1001"</f>
        <v>26.1001</v>
      </c>
      <c r="B1003" s="196" t="s">
        <v>5760</v>
      </c>
      <c r="C1003" s="320" t="s">
        <v>4269</v>
      </c>
      <c r="D1003" s="321" t="s">
        <v>6170</v>
      </c>
      <c r="E1003" s="322" t="s">
        <v>6171</v>
      </c>
    </row>
    <row r="1004" spans="1:5" ht="14.5" customHeight="1" x14ac:dyDescent="0.35">
      <c r="A1004" s="196" t="str">
        <f>"26.1002"</f>
        <v>26.1002</v>
      </c>
      <c r="B1004" s="196" t="s">
        <v>5760</v>
      </c>
      <c r="C1004" s="320" t="s">
        <v>4269</v>
      </c>
      <c r="D1004" s="321" t="s">
        <v>6172</v>
      </c>
      <c r="E1004" s="322" t="s">
        <v>6173</v>
      </c>
    </row>
    <row r="1005" spans="1:5" ht="14.5" customHeight="1" x14ac:dyDescent="0.35">
      <c r="A1005" s="196" t="str">
        <f>"26.1003"</f>
        <v>26.1003</v>
      </c>
      <c r="B1005" s="196" t="s">
        <v>5760</v>
      </c>
      <c r="C1005" s="320" t="s">
        <v>4269</v>
      </c>
      <c r="D1005" s="321" t="s">
        <v>6174</v>
      </c>
      <c r="E1005" s="322" t="s">
        <v>6175</v>
      </c>
    </row>
    <row r="1006" spans="1:5" ht="14.5" customHeight="1" x14ac:dyDescent="0.35">
      <c r="A1006" s="196" t="str">
        <f>"26.1004"</f>
        <v>26.1004</v>
      </c>
      <c r="B1006" s="196" t="s">
        <v>5760</v>
      </c>
      <c r="C1006" s="320" t="s">
        <v>4269</v>
      </c>
      <c r="D1006" s="321" t="s">
        <v>6176</v>
      </c>
      <c r="E1006" s="322" t="s">
        <v>6177</v>
      </c>
    </row>
    <row r="1007" spans="1:5" ht="14.5" customHeight="1" x14ac:dyDescent="0.35">
      <c r="A1007" s="196" t="str">
        <f>"26.1005"</f>
        <v>26.1005</v>
      </c>
      <c r="B1007" s="196" t="s">
        <v>5760</v>
      </c>
      <c r="C1007" s="320" t="s">
        <v>4269</v>
      </c>
      <c r="D1007" s="321" t="s">
        <v>6178</v>
      </c>
      <c r="E1007" s="322" t="s">
        <v>6179</v>
      </c>
    </row>
    <row r="1008" spans="1:5" ht="14.5" customHeight="1" x14ac:dyDescent="0.35">
      <c r="A1008" s="196" t="str">
        <f>"26.1006"</f>
        <v>26.1006</v>
      </c>
      <c r="B1008" s="196" t="s">
        <v>5760</v>
      </c>
      <c r="C1008" s="320" t="s">
        <v>4269</v>
      </c>
      <c r="D1008" s="321" t="s">
        <v>6180</v>
      </c>
      <c r="E1008" s="322" t="s">
        <v>6181</v>
      </c>
    </row>
    <row r="1009" spans="1:5" ht="14.5" customHeight="1" x14ac:dyDescent="0.35">
      <c r="A1009" s="196" t="str">
        <f>"26.1007"</f>
        <v>26.1007</v>
      </c>
      <c r="B1009" s="196" t="s">
        <v>5760</v>
      </c>
      <c r="C1009" s="320" t="s">
        <v>4269</v>
      </c>
      <c r="D1009" s="321" t="s">
        <v>6168</v>
      </c>
      <c r="E1009" s="322" t="s">
        <v>6182</v>
      </c>
    </row>
    <row r="1010" spans="1:5" ht="14.5" customHeight="1" x14ac:dyDescent="0.35">
      <c r="A1010" s="196" t="str">
        <f>"26.1099"</f>
        <v>26.1099</v>
      </c>
      <c r="B1010" s="196" t="s">
        <v>5760</v>
      </c>
      <c r="C1010" s="320" t="s">
        <v>4269</v>
      </c>
      <c r="D1010" s="321" t="s">
        <v>6183</v>
      </c>
      <c r="E1010" s="322" t="s">
        <v>6184</v>
      </c>
    </row>
    <row r="1011" spans="1:5" ht="14.5" customHeight="1" x14ac:dyDescent="0.35">
      <c r="A1011" s="196" t="str">
        <f>"26.11"</f>
        <v>26.11</v>
      </c>
      <c r="B1011" s="196" t="s">
        <v>5760</v>
      </c>
      <c r="C1011" s="320" t="s">
        <v>4269</v>
      </c>
      <c r="D1011" s="321" t="s">
        <v>6185</v>
      </c>
      <c r="E1011" s="322" t="s">
        <v>6186</v>
      </c>
    </row>
    <row r="1012" spans="1:5" ht="14.5" customHeight="1" x14ac:dyDescent="0.35">
      <c r="A1012" s="196" t="str">
        <f>"26.1101"</f>
        <v>26.1101</v>
      </c>
      <c r="B1012" s="196" t="s">
        <v>5760</v>
      </c>
      <c r="C1012" s="320" t="s">
        <v>4269</v>
      </c>
      <c r="D1012" s="321" t="s">
        <v>6187</v>
      </c>
      <c r="E1012" s="322" t="s">
        <v>6188</v>
      </c>
    </row>
    <row r="1013" spans="1:5" ht="14.5" customHeight="1" x14ac:dyDescent="0.35">
      <c r="A1013" s="196" t="str">
        <f>"26.1102"</f>
        <v>26.1102</v>
      </c>
      <c r="B1013" s="196" t="s">
        <v>5760</v>
      </c>
      <c r="C1013" s="320" t="s">
        <v>4269</v>
      </c>
      <c r="D1013" s="321" t="s">
        <v>6189</v>
      </c>
      <c r="E1013" s="322" t="s">
        <v>6190</v>
      </c>
    </row>
    <row r="1014" spans="1:5" ht="14.5" customHeight="1" x14ac:dyDescent="0.35">
      <c r="A1014" s="196" t="str">
        <f>"26.1103"</f>
        <v>26.1103</v>
      </c>
      <c r="B1014" s="196" t="s">
        <v>5760</v>
      </c>
      <c r="C1014" s="320" t="s">
        <v>4269</v>
      </c>
      <c r="D1014" s="321" t="s">
        <v>6191</v>
      </c>
      <c r="E1014" s="322" t="s">
        <v>6192</v>
      </c>
    </row>
    <row r="1015" spans="1:5" ht="14.5" customHeight="1" x14ac:dyDescent="0.35">
      <c r="A1015" s="196" t="str">
        <f>"26.1104"</f>
        <v>26.1104</v>
      </c>
      <c r="B1015" s="196" t="s">
        <v>5760</v>
      </c>
      <c r="C1015" s="320" t="s">
        <v>4269</v>
      </c>
      <c r="D1015" s="321" t="s">
        <v>6193</v>
      </c>
      <c r="E1015" s="322" t="s">
        <v>6194</v>
      </c>
    </row>
    <row r="1016" spans="1:5" ht="14.5" customHeight="1" x14ac:dyDescent="0.35">
      <c r="A1016" s="196" t="str">
        <f>"26.1199"</f>
        <v>26.1199</v>
      </c>
      <c r="B1016" s="196" t="s">
        <v>5760</v>
      </c>
      <c r="C1016" s="320" t="s">
        <v>4269</v>
      </c>
      <c r="D1016" s="321" t="s">
        <v>6195</v>
      </c>
      <c r="E1016" s="322" t="s">
        <v>6196</v>
      </c>
    </row>
    <row r="1017" spans="1:5" ht="14.5" customHeight="1" x14ac:dyDescent="0.35">
      <c r="A1017" s="196" t="str">
        <f>"26.12"</f>
        <v>26.12</v>
      </c>
      <c r="B1017" s="196" t="s">
        <v>5760</v>
      </c>
      <c r="C1017" s="320" t="s">
        <v>4269</v>
      </c>
      <c r="D1017" s="321" t="s">
        <v>6197</v>
      </c>
      <c r="E1017" s="322" t="s">
        <v>6198</v>
      </c>
    </row>
    <row r="1018" spans="1:5" ht="14.5" customHeight="1" x14ac:dyDescent="0.35">
      <c r="A1018" s="196" t="str">
        <f>"26.1201"</f>
        <v>26.1201</v>
      </c>
      <c r="B1018" s="196" t="s">
        <v>5760</v>
      </c>
      <c r="C1018" s="320" t="s">
        <v>4269</v>
      </c>
      <c r="D1018" s="321" t="s">
        <v>6197</v>
      </c>
      <c r="E1018" s="322" t="s">
        <v>6199</v>
      </c>
    </row>
    <row r="1019" spans="1:5" ht="14.5" customHeight="1" x14ac:dyDescent="0.35">
      <c r="A1019" s="196" t="str">
        <f>"26.13"</f>
        <v>26.13</v>
      </c>
      <c r="B1019" s="196" t="s">
        <v>5760</v>
      </c>
      <c r="C1019" s="320" t="s">
        <v>4269</v>
      </c>
      <c r="D1019" s="321" t="s">
        <v>6200</v>
      </c>
      <c r="E1019" s="322" t="s">
        <v>6201</v>
      </c>
    </row>
    <row r="1020" spans="1:5" ht="14.5" customHeight="1" x14ac:dyDescent="0.35">
      <c r="A1020" s="196" t="str">
        <f>"26.1301"</f>
        <v>26.1301</v>
      </c>
      <c r="B1020" s="196" t="s">
        <v>5760</v>
      </c>
      <c r="C1020" s="320" t="s">
        <v>4269</v>
      </c>
      <c r="D1020" s="321" t="s">
        <v>6202</v>
      </c>
      <c r="E1020" s="322" t="s">
        <v>6203</v>
      </c>
    </row>
    <row r="1021" spans="1:5" ht="14.5" customHeight="1" x14ac:dyDescent="0.35">
      <c r="A1021" s="196" t="str">
        <f>"26.1302"</f>
        <v>26.1302</v>
      </c>
      <c r="B1021" s="196" t="s">
        <v>5760</v>
      </c>
      <c r="C1021" s="320" t="s">
        <v>4269</v>
      </c>
      <c r="D1021" s="321" t="s">
        <v>6204</v>
      </c>
      <c r="E1021" s="322" t="s">
        <v>6205</v>
      </c>
    </row>
    <row r="1022" spans="1:5" ht="14.5" customHeight="1" x14ac:dyDescent="0.35">
      <c r="A1022" s="196" t="str">
        <f>"26.1303"</f>
        <v>26.1303</v>
      </c>
      <c r="B1022" s="196" t="s">
        <v>5760</v>
      </c>
      <c r="C1022" s="320" t="s">
        <v>4269</v>
      </c>
      <c r="D1022" s="321" t="s">
        <v>6206</v>
      </c>
      <c r="E1022" s="322" t="s">
        <v>6207</v>
      </c>
    </row>
    <row r="1023" spans="1:5" ht="14.5" customHeight="1" x14ac:dyDescent="0.35">
      <c r="A1023" s="196" t="str">
        <f>"26.1304"</f>
        <v>26.1304</v>
      </c>
      <c r="B1023" s="196" t="s">
        <v>5760</v>
      </c>
      <c r="C1023" s="320" t="s">
        <v>4269</v>
      </c>
      <c r="D1023" s="321" t="s">
        <v>6208</v>
      </c>
      <c r="E1023" s="322" t="s">
        <v>6209</v>
      </c>
    </row>
    <row r="1024" spans="1:5" ht="14.5" customHeight="1" x14ac:dyDescent="0.35">
      <c r="A1024" s="196" t="str">
        <f>"26.1305"</f>
        <v>26.1305</v>
      </c>
      <c r="B1024" s="196" t="s">
        <v>5760</v>
      </c>
      <c r="C1024" s="320" t="s">
        <v>4269</v>
      </c>
      <c r="D1024" s="321" t="s">
        <v>6210</v>
      </c>
      <c r="E1024" s="322" t="s">
        <v>6211</v>
      </c>
    </row>
    <row r="1025" spans="1:5" ht="14.5" customHeight="1" x14ac:dyDescent="0.35">
      <c r="A1025" s="196" t="str">
        <f>"26.1306"</f>
        <v>26.1306</v>
      </c>
      <c r="B1025" s="196" t="s">
        <v>5760</v>
      </c>
      <c r="C1025" s="320" t="s">
        <v>4269</v>
      </c>
      <c r="D1025" s="321" t="s">
        <v>6212</v>
      </c>
      <c r="E1025" s="322" t="s">
        <v>6213</v>
      </c>
    </row>
    <row r="1026" spans="1:5" ht="14.5" customHeight="1" x14ac:dyDescent="0.35">
      <c r="A1026" s="196" t="str">
        <f>"26.1307"</f>
        <v>26.1307</v>
      </c>
      <c r="B1026" s="196" t="s">
        <v>5760</v>
      </c>
      <c r="C1026" s="320" t="s">
        <v>4269</v>
      </c>
      <c r="D1026" s="321" t="s">
        <v>6214</v>
      </c>
      <c r="E1026" s="322" t="s">
        <v>6215</v>
      </c>
    </row>
    <row r="1027" spans="1:5" ht="14.5" customHeight="1" x14ac:dyDescent="0.35">
      <c r="A1027" s="196" t="str">
        <f>"26.1308"</f>
        <v>26.1308</v>
      </c>
      <c r="B1027" s="196" t="s">
        <v>5760</v>
      </c>
      <c r="C1027" s="320" t="s">
        <v>4269</v>
      </c>
      <c r="D1027" s="321" t="s">
        <v>6216</v>
      </c>
      <c r="E1027" s="322" t="s">
        <v>6217</v>
      </c>
    </row>
    <row r="1028" spans="1:5" ht="14.5" customHeight="1" x14ac:dyDescent="0.35">
      <c r="A1028" s="196" t="str">
        <f>"26.1309"</f>
        <v>26.1309</v>
      </c>
      <c r="B1028" s="196" t="s">
        <v>5760</v>
      </c>
      <c r="C1028" s="320" t="s">
        <v>4269</v>
      </c>
      <c r="D1028" s="321" t="s">
        <v>6218</v>
      </c>
      <c r="E1028" s="322" t="s">
        <v>6219</v>
      </c>
    </row>
    <row r="1029" spans="1:5" ht="14.5" customHeight="1" x14ac:dyDescent="0.35">
      <c r="A1029" s="196" t="str">
        <f>"26.1310"</f>
        <v>26.1310</v>
      </c>
      <c r="B1029" s="196" t="s">
        <v>5760</v>
      </c>
      <c r="C1029" s="320" t="s">
        <v>4269</v>
      </c>
      <c r="D1029" s="321" t="s">
        <v>6220</v>
      </c>
      <c r="E1029" s="322" t="s">
        <v>6221</v>
      </c>
    </row>
    <row r="1030" spans="1:5" s="327" customFormat="1" ht="14.5" customHeight="1" x14ac:dyDescent="0.35">
      <c r="A1030" s="323" t="str">
        <f>"26.1311"</f>
        <v>26.1311</v>
      </c>
      <c r="B1030" s="323" t="s">
        <v>4297</v>
      </c>
      <c r="C1030" s="324" t="s">
        <v>4269</v>
      </c>
      <c r="D1030" s="325" t="s">
        <v>6222</v>
      </c>
      <c r="E1030" s="326" t="s">
        <v>6223</v>
      </c>
    </row>
    <row r="1031" spans="1:5" ht="14.5" customHeight="1" x14ac:dyDescent="0.35">
      <c r="A1031" s="196" t="str">
        <f>"26.1399"</f>
        <v>26.1399</v>
      </c>
      <c r="B1031" s="196" t="s">
        <v>5760</v>
      </c>
      <c r="C1031" s="320" t="s">
        <v>4269</v>
      </c>
      <c r="D1031" s="321" t="s">
        <v>6224</v>
      </c>
      <c r="E1031" s="322" t="s">
        <v>6225</v>
      </c>
    </row>
    <row r="1032" spans="1:5" ht="14.5" customHeight="1" x14ac:dyDescent="0.35">
      <c r="A1032" s="196" t="str">
        <f>"26.14"</f>
        <v>26.14</v>
      </c>
      <c r="B1032" s="196" t="s">
        <v>5760</v>
      </c>
      <c r="C1032" s="320" t="s">
        <v>4269</v>
      </c>
      <c r="D1032" s="321" t="s">
        <v>6226</v>
      </c>
      <c r="E1032" s="322" t="s">
        <v>6227</v>
      </c>
    </row>
    <row r="1033" spans="1:5" ht="14.5" customHeight="1" x14ac:dyDescent="0.35">
      <c r="A1033" s="196" t="str">
        <f>"26.1401"</f>
        <v>26.1401</v>
      </c>
      <c r="B1033" s="196" t="s">
        <v>5760</v>
      </c>
      <c r="C1033" s="320" t="s">
        <v>4269</v>
      </c>
      <c r="D1033" s="321" t="s">
        <v>6226</v>
      </c>
      <c r="E1033" s="322" t="s">
        <v>6228</v>
      </c>
    </row>
    <row r="1034" spans="1:5" ht="14.5" customHeight="1" x14ac:dyDescent="0.35">
      <c r="A1034" s="196" t="str">
        <f>"26.15"</f>
        <v>26.15</v>
      </c>
      <c r="B1034" s="196" t="s">
        <v>5760</v>
      </c>
      <c r="C1034" s="320" t="s">
        <v>4269</v>
      </c>
      <c r="D1034" s="321" t="s">
        <v>6229</v>
      </c>
      <c r="E1034" s="322" t="s">
        <v>6230</v>
      </c>
    </row>
    <row r="1035" spans="1:5" ht="14.5" customHeight="1" x14ac:dyDescent="0.35">
      <c r="A1035" s="196" t="str">
        <f>"26.1501"</f>
        <v>26.1501</v>
      </c>
      <c r="B1035" s="196" t="s">
        <v>5760</v>
      </c>
      <c r="C1035" s="320" t="s">
        <v>4269</v>
      </c>
      <c r="D1035" s="321" t="s">
        <v>6231</v>
      </c>
      <c r="E1035" s="322" t="s">
        <v>6232</v>
      </c>
    </row>
    <row r="1036" spans="1:5" ht="14.5" customHeight="1" x14ac:dyDescent="0.35">
      <c r="A1036" s="196" t="str">
        <f>"26.1502"</f>
        <v>26.1502</v>
      </c>
      <c r="B1036" s="196" t="s">
        <v>5760</v>
      </c>
      <c r="C1036" s="320" t="s">
        <v>4269</v>
      </c>
      <c r="D1036" s="321" t="s">
        <v>6233</v>
      </c>
      <c r="E1036" s="322" t="s">
        <v>6234</v>
      </c>
    </row>
    <row r="1037" spans="1:5" ht="14.5" customHeight="1" x14ac:dyDescent="0.35">
      <c r="A1037" s="196" t="str">
        <f>"26.1503"</f>
        <v>26.1503</v>
      </c>
      <c r="B1037" s="196" t="s">
        <v>5760</v>
      </c>
      <c r="C1037" s="320" t="s">
        <v>4269</v>
      </c>
      <c r="D1037" s="321" t="s">
        <v>6235</v>
      </c>
      <c r="E1037" s="322" t="s">
        <v>6236</v>
      </c>
    </row>
    <row r="1038" spans="1:5" ht="14.5" customHeight="1" x14ac:dyDescent="0.35">
      <c r="A1038" s="196" t="str">
        <f>"26.1504"</f>
        <v>26.1504</v>
      </c>
      <c r="B1038" s="196" t="s">
        <v>5760</v>
      </c>
      <c r="C1038" s="320" t="s">
        <v>4269</v>
      </c>
      <c r="D1038" s="321" t="s">
        <v>6237</v>
      </c>
      <c r="E1038" s="322" t="s">
        <v>6238</v>
      </c>
    </row>
    <row r="1039" spans="1:5" ht="14.5" customHeight="1" x14ac:dyDescent="0.35">
      <c r="A1039" s="196" t="str">
        <f>"26.1599"</f>
        <v>26.1599</v>
      </c>
      <c r="B1039" s="196" t="s">
        <v>5760</v>
      </c>
      <c r="C1039" s="320" t="s">
        <v>4269</v>
      </c>
      <c r="D1039" s="321" t="s">
        <v>6239</v>
      </c>
      <c r="E1039" s="322" t="s">
        <v>6240</v>
      </c>
    </row>
    <row r="1040" spans="1:5" ht="14.5" customHeight="1" x14ac:dyDescent="0.35">
      <c r="A1040" s="196" t="str">
        <f>"26.99"</f>
        <v>26.99</v>
      </c>
      <c r="B1040" s="196" t="s">
        <v>5760</v>
      </c>
      <c r="C1040" s="320" t="s">
        <v>4269</v>
      </c>
      <c r="D1040" s="321" t="s">
        <v>6241</v>
      </c>
      <c r="E1040" s="322" t="s">
        <v>6242</v>
      </c>
    </row>
    <row r="1041" spans="1:5" ht="14.5" customHeight="1" x14ac:dyDescent="0.35">
      <c r="A1041" s="196" t="str">
        <f>"26.9999"</f>
        <v>26.9999</v>
      </c>
      <c r="B1041" s="196" t="s">
        <v>5760</v>
      </c>
      <c r="C1041" s="320" t="s">
        <v>4269</v>
      </c>
      <c r="D1041" s="321" t="s">
        <v>6241</v>
      </c>
      <c r="E1041" s="322" t="s">
        <v>6243</v>
      </c>
    </row>
    <row r="1042" spans="1:5" ht="14.5" customHeight="1" x14ac:dyDescent="0.35">
      <c r="A1042" s="196" t="str">
        <f>"27"</f>
        <v>27</v>
      </c>
      <c r="B1042" s="196" t="s">
        <v>5760</v>
      </c>
      <c r="C1042" s="320" t="s">
        <v>4269</v>
      </c>
      <c r="D1042" s="321" t="s">
        <v>6244</v>
      </c>
      <c r="E1042" s="322" t="s">
        <v>6245</v>
      </c>
    </row>
    <row r="1043" spans="1:5" ht="14.5" customHeight="1" x14ac:dyDescent="0.35">
      <c r="A1043" s="196" t="str">
        <f>"27.01"</f>
        <v>27.01</v>
      </c>
      <c r="B1043" s="196" t="s">
        <v>5760</v>
      </c>
      <c r="C1043" s="320" t="s">
        <v>4269</v>
      </c>
      <c r="D1043" s="321" t="s">
        <v>6246</v>
      </c>
      <c r="E1043" s="322" t="s">
        <v>6247</v>
      </c>
    </row>
    <row r="1044" spans="1:5" ht="14.5" customHeight="1" x14ac:dyDescent="0.35">
      <c r="A1044" s="196" t="str">
        <f>"27.0101"</f>
        <v>27.0101</v>
      </c>
      <c r="B1044" s="196" t="s">
        <v>5760</v>
      </c>
      <c r="C1044" s="320" t="s">
        <v>4269</v>
      </c>
      <c r="D1044" s="321" t="s">
        <v>6248</v>
      </c>
      <c r="E1044" s="322" t="s">
        <v>6249</v>
      </c>
    </row>
    <row r="1045" spans="1:5" ht="14.5" customHeight="1" x14ac:dyDescent="0.35">
      <c r="A1045" s="196" t="str">
        <f>"27.0102"</f>
        <v>27.0102</v>
      </c>
      <c r="B1045" s="196" t="s">
        <v>5760</v>
      </c>
      <c r="C1045" s="320" t="s">
        <v>4269</v>
      </c>
      <c r="D1045" s="321" t="s">
        <v>6250</v>
      </c>
      <c r="E1045" s="322" t="s">
        <v>6251</v>
      </c>
    </row>
    <row r="1046" spans="1:5" ht="14.5" customHeight="1" x14ac:dyDescent="0.35">
      <c r="A1046" s="196" t="str">
        <f>"27.0103"</f>
        <v>27.0103</v>
      </c>
      <c r="B1046" s="196" t="s">
        <v>5760</v>
      </c>
      <c r="C1046" s="320" t="s">
        <v>4269</v>
      </c>
      <c r="D1046" s="321" t="s">
        <v>6252</v>
      </c>
      <c r="E1046" s="322" t="s">
        <v>6253</v>
      </c>
    </row>
    <row r="1047" spans="1:5" ht="14.5" customHeight="1" x14ac:dyDescent="0.35">
      <c r="A1047" s="196" t="str">
        <f>"27.0104"</f>
        <v>27.0104</v>
      </c>
      <c r="B1047" s="196" t="s">
        <v>5760</v>
      </c>
      <c r="C1047" s="320" t="s">
        <v>4269</v>
      </c>
      <c r="D1047" s="321" t="s">
        <v>6254</v>
      </c>
      <c r="E1047" s="322" t="s">
        <v>6255</v>
      </c>
    </row>
    <row r="1048" spans="1:5" ht="14.5" customHeight="1" x14ac:dyDescent="0.35">
      <c r="A1048" s="196" t="str">
        <f>"27.0105"</f>
        <v>27.0105</v>
      </c>
      <c r="B1048" s="196" t="s">
        <v>5760</v>
      </c>
      <c r="C1048" s="320" t="s">
        <v>4269</v>
      </c>
      <c r="D1048" s="321" t="s">
        <v>6256</v>
      </c>
      <c r="E1048" s="322" t="s">
        <v>6257</v>
      </c>
    </row>
    <row r="1049" spans="1:5" ht="14.5" customHeight="1" x14ac:dyDescent="0.35">
      <c r="A1049" s="196" t="str">
        <f>"27.0199"</f>
        <v>27.0199</v>
      </c>
      <c r="B1049" s="196" t="s">
        <v>5760</v>
      </c>
      <c r="C1049" s="320" t="s">
        <v>4269</v>
      </c>
      <c r="D1049" s="321" t="s">
        <v>6258</v>
      </c>
      <c r="E1049" s="322" t="s">
        <v>6259</v>
      </c>
    </row>
    <row r="1050" spans="1:5" ht="14.5" customHeight="1" x14ac:dyDescent="0.35">
      <c r="A1050" s="196" t="str">
        <f>"27.03"</f>
        <v>27.03</v>
      </c>
      <c r="B1050" s="196" t="s">
        <v>5760</v>
      </c>
      <c r="C1050" s="320" t="s">
        <v>4269</v>
      </c>
      <c r="D1050" s="321" t="s">
        <v>6260</v>
      </c>
      <c r="E1050" s="322" t="s">
        <v>6261</v>
      </c>
    </row>
    <row r="1051" spans="1:5" ht="14.5" customHeight="1" x14ac:dyDescent="0.35">
      <c r="A1051" s="196" t="str">
        <f>"27.0301"</f>
        <v>27.0301</v>
      </c>
      <c r="B1051" s="196" t="s">
        <v>4265</v>
      </c>
      <c r="C1051" s="320" t="s">
        <v>4266</v>
      </c>
      <c r="D1051" s="321" t="s">
        <v>6262</v>
      </c>
      <c r="E1051" s="322" t="s">
        <v>6263</v>
      </c>
    </row>
    <row r="1052" spans="1:5" ht="14.5" customHeight="1" x14ac:dyDescent="0.35">
      <c r="A1052" s="196" t="str">
        <f>"27.0303"</f>
        <v>27.0303</v>
      </c>
      <c r="B1052" s="196" t="s">
        <v>5760</v>
      </c>
      <c r="C1052" s="320" t="s">
        <v>4269</v>
      </c>
      <c r="D1052" s="321" t="s">
        <v>6264</v>
      </c>
      <c r="E1052" s="322" t="s">
        <v>6265</v>
      </c>
    </row>
    <row r="1053" spans="1:5" ht="14.5" customHeight="1" x14ac:dyDescent="0.35">
      <c r="A1053" s="196" t="str">
        <f>"27.0304"</f>
        <v>27.0304</v>
      </c>
      <c r="B1053" s="196" t="s">
        <v>5760</v>
      </c>
      <c r="C1053" s="320" t="s">
        <v>4269</v>
      </c>
      <c r="D1053" s="321" t="s">
        <v>6266</v>
      </c>
      <c r="E1053" s="322" t="s">
        <v>6267</v>
      </c>
    </row>
    <row r="1054" spans="1:5" ht="14.5" customHeight="1" x14ac:dyDescent="0.35">
      <c r="A1054" s="196" t="str">
        <f>"27.0305"</f>
        <v>27.0305</v>
      </c>
      <c r="B1054" s="196" t="s">
        <v>5760</v>
      </c>
      <c r="C1054" s="320" t="s">
        <v>4269</v>
      </c>
      <c r="D1054" s="321" t="s">
        <v>6268</v>
      </c>
      <c r="E1054" s="322" t="s">
        <v>6269</v>
      </c>
    </row>
    <row r="1055" spans="1:5" ht="14.5" customHeight="1" x14ac:dyDescent="0.35">
      <c r="A1055" s="196" t="str">
        <f>"27.0306"</f>
        <v>27.0306</v>
      </c>
      <c r="B1055" s="196" t="s">
        <v>5760</v>
      </c>
      <c r="C1055" s="320" t="s">
        <v>4269</v>
      </c>
      <c r="D1055" s="321" t="s">
        <v>6270</v>
      </c>
      <c r="E1055" s="322" t="s">
        <v>6271</v>
      </c>
    </row>
    <row r="1056" spans="1:5" ht="14.5" customHeight="1" x14ac:dyDescent="0.35">
      <c r="A1056" s="196" t="str">
        <f>"27.0399"</f>
        <v>27.0399</v>
      </c>
      <c r="B1056" s="196" t="s">
        <v>5760</v>
      </c>
      <c r="C1056" s="320" t="s">
        <v>4269</v>
      </c>
      <c r="D1056" s="321" t="s">
        <v>6272</v>
      </c>
      <c r="E1056" s="322" t="s">
        <v>6273</v>
      </c>
    </row>
    <row r="1057" spans="1:5" ht="14.5" customHeight="1" x14ac:dyDescent="0.35">
      <c r="A1057" s="196" t="str">
        <f>"27.05"</f>
        <v>27.05</v>
      </c>
      <c r="B1057" s="196" t="s">
        <v>5760</v>
      </c>
      <c r="C1057" s="320" t="s">
        <v>4269</v>
      </c>
      <c r="D1057" s="321" t="s">
        <v>6274</v>
      </c>
      <c r="E1057" s="322" t="s">
        <v>6275</v>
      </c>
    </row>
    <row r="1058" spans="1:5" ht="14.5" customHeight="1" x14ac:dyDescent="0.35">
      <c r="A1058" s="196" t="str">
        <f>"27.0501"</f>
        <v>27.0501</v>
      </c>
      <c r="B1058" s="196" t="s">
        <v>5760</v>
      </c>
      <c r="C1058" s="320" t="s">
        <v>4269</v>
      </c>
      <c r="D1058" s="321" t="s">
        <v>6276</v>
      </c>
      <c r="E1058" s="322" t="s">
        <v>6277</v>
      </c>
    </row>
    <row r="1059" spans="1:5" ht="14.5" customHeight="1" x14ac:dyDescent="0.35">
      <c r="A1059" s="196" t="str">
        <f>"27.0502"</f>
        <v>27.0502</v>
      </c>
      <c r="B1059" s="196" t="s">
        <v>5760</v>
      </c>
      <c r="C1059" s="320" t="s">
        <v>4269</v>
      </c>
      <c r="D1059" s="321" t="s">
        <v>6278</v>
      </c>
      <c r="E1059" s="322" t="s">
        <v>6279</v>
      </c>
    </row>
    <row r="1060" spans="1:5" ht="14.5" customHeight="1" x14ac:dyDescent="0.35">
      <c r="A1060" s="196" t="str">
        <f>"27.0503"</f>
        <v>27.0503</v>
      </c>
      <c r="B1060" s="196" t="s">
        <v>5760</v>
      </c>
      <c r="C1060" s="320" t="s">
        <v>4269</v>
      </c>
      <c r="D1060" s="321" t="s">
        <v>6280</v>
      </c>
      <c r="E1060" s="322" t="s">
        <v>6281</v>
      </c>
    </row>
    <row r="1061" spans="1:5" ht="14.5" customHeight="1" x14ac:dyDescent="0.35">
      <c r="A1061" s="196" t="str">
        <f>"27.0599"</f>
        <v>27.0599</v>
      </c>
      <c r="B1061" s="196" t="s">
        <v>5760</v>
      </c>
      <c r="C1061" s="320" t="s">
        <v>4269</v>
      </c>
      <c r="D1061" s="321" t="s">
        <v>6282</v>
      </c>
      <c r="E1061" s="322" t="s">
        <v>6283</v>
      </c>
    </row>
    <row r="1062" spans="1:5" s="327" customFormat="1" ht="14.5" customHeight="1" x14ac:dyDescent="0.35">
      <c r="A1062" s="323" t="str">
        <f>"27.06"</f>
        <v>27.06</v>
      </c>
      <c r="B1062" s="323" t="s">
        <v>4297</v>
      </c>
      <c r="C1062" s="324" t="s">
        <v>4269</v>
      </c>
      <c r="D1062" s="325" t="s">
        <v>6284</v>
      </c>
      <c r="E1062" s="326" t="s">
        <v>6285</v>
      </c>
    </row>
    <row r="1063" spans="1:5" s="327" customFormat="1" ht="14.5" customHeight="1" x14ac:dyDescent="0.35">
      <c r="A1063" s="323" t="str">
        <f>"27.0601"</f>
        <v>27.0601</v>
      </c>
      <c r="B1063" s="323" t="s">
        <v>4297</v>
      </c>
      <c r="C1063" s="324" t="s">
        <v>4269</v>
      </c>
      <c r="D1063" s="325" t="s">
        <v>6286</v>
      </c>
      <c r="E1063" s="326" t="s">
        <v>6287</v>
      </c>
    </row>
    <row r="1064" spans="1:5" ht="14.5" customHeight="1" x14ac:dyDescent="0.35">
      <c r="A1064" s="196" t="str">
        <f>"27.99"</f>
        <v>27.99</v>
      </c>
      <c r="B1064" s="196" t="s">
        <v>5760</v>
      </c>
      <c r="C1064" s="320" t="s">
        <v>4269</v>
      </c>
      <c r="D1064" s="321" t="s">
        <v>6288</v>
      </c>
      <c r="E1064" s="322" t="s">
        <v>6289</v>
      </c>
    </row>
    <row r="1065" spans="1:5" ht="14.5" customHeight="1" x14ac:dyDescent="0.35">
      <c r="A1065" s="196" t="str">
        <f>"27.9999"</f>
        <v>27.9999</v>
      </c>
      <c r="B1065" s="196" t="s">
        <v>5760</v>
      </c>
      <c r="C1065" s="320" t="s">
        <v>4269</v>
      </c>
      <c r="D1065" s="321" t="s">
        <v>6288</v>
      </c>
      <c r="E1065" s="322" t="s">
        <v>6290</v>
      </c>
    </row>
    <row r="1066" spans="1:5" ht="14.5" customHeight="1" x14ac:dyDescent="0.35">
      <c r="A1066" s="196" t="str">
        <f>"28"</f>
        <v>28</v>
      </c>
      <c r="B1066" s="196" t="s">
        <v>5760</v>
      </c>
      <c r="C1066" s="320" t="s">
        <v>4269</v>
      </c>
      <c r="D1066" s="321" t="s">
        <v>6291</v>
      </c>
      <c r="E1066" s="322" t="s">
        <v>6292</v>
      </c>
    </row>
    <row r="1067" spans="1:5" ht="14.5" customHeight="1" x14ac:dyDescent="0.35">
      <c r="A1067" s="196" t="str">
        <f>"28.01"</f>
        <v>28.01</v>
      </c>
      <c r="B1067" s="196" t="s">
        <v>5760</v>
      </c>
      <c r="C1067" s="320" t="s">
        <v>4269</v>
      </c>
      <c r="D1067" s="321" t="s">
        <v>6293</v>
      </c>
      <c r="E1067" s="322" t="s">
        <v>6294</v>
      </c>
    </row>
    <row r="1068" spans="1:5" ht="14.5" customHeight="1" x14ac:dyDescent="0.35">
      <c r="A1068" s="196" t="str">
        <f>"28.0101"</f>
        <v>28.0101</v>
      </c>
      <c r="B1068" s="196" t="s">
        <v>5760</v>
      </c>
      <c r="C1068" s="320" t="s">
        <v>4269</v>
      </c>
      <c r="D1068" s="321" t="s">
        <v>6295</v>
      </c>
      <c r="E1068" s="322" t="s">
        <v>6296</v>
      </c>
    </row>
    <row r="1069" spans="1:5" ht="14.5" customHeight="1" x14ac:dyDescent="0.35">
      <c r="A1069" s="196" t="str">
        <f>"28.0199"</f>
        <v>28.0199</v>
      </c>
      <c r="B1069" s="196" t="s">
        <v>5760</v>
      </c>
      <c r="C1069" s="320" t="s">
        <v>4269</v>
      </c>
      <c r="D1069" s="321" t="s">
        <v>6297</v>
      </c>
      <c r="E1069" s="322" t="s">
        <v>6298</v>
      </c>
    </row>
    <row r="1070" spans="1:5" ht="14.5" customHeight="1" x14ac:dyDescent="0.35">
      <c r="A1070" s="196" t="str">
        <f>"28.03"</f>
        <v>28.03</v>
      </c>
      <c r="B1070" s="196" t="s">
        <v>5760</v>
      </c>
      <c r="C1070" s="320" t="s">
        <v>4269</v>
      </c>
      <c r="D1070" s="321" t="s">
        <v>6299</v>
      </c>
      <c r="E1070" s="322" t="s">
        <v>6300</v>
      </c>
    </row>
    <row r="1071" spans="1:5" ht="14.5" customHeight="1" x14ac:dyDescent="0.35">
      <c r="A1071" s="196" t="str">
        <f>"28.0301"</f>
        <v>28.0301</v>
      </c>
      <c r="B1071" s="196" t="s">
        <v>5760</v>
      </c>
      <c r="C1071" s="320" t="s">
        <v>4269</v>
      </c>
      <c r="D1071" s="321" t="s">
        <v>6301</v>
      </c>
      <c r="E1071" s="322" t="s">
        <v>6302</v>
      </c>
    </row>
    <row r="1072" spans="1:5" ht="14.5" customHeight="1" x14ac:dyDescent="0.35">
      <c r="A1072" s="196" t="str">
        <f>"28.0399"</f>
        <v>28.0399</v>
      </c>
      <c r="B1072" s="196" t="s">
        <v>5760</v>
      </c>
      <c r="C1072" s="320" t="s">
        <v>4269</v>
      </c>
      <c r="D1072" s="321" t="s">
        <v>6303</v>
      </c>
      <c r="E1072" s="322" t="s">
        <v>6304</v>
      </c>
    </row>
    <row r="1073" spans="1:5" ht="14.5" customHeight="1" x14ac:dyDescent="0.35">
      <c r="A1073" s="196" t="str">
        <f>"28.04"</f>
        <v>28.04</v>
      </c>
      <c r="B1073" s="196" t="s">
        <v>5760</v>
      </c>
      <c r="C1073" s="320" t="s">
        <v>4269</v>
      </c>
      <c r="D1073" s="321" t="s">
        <v>6305</v>
      </c>
      <c r="E1073" s="322" t="s">
        <v>6306</v>
      </c>
    </row>
    <row r="1074" spans="1:5" ht="14.5" customHeight="1" x14ac:dyDescent="0.35">
      <c r="A1074" s="196" t="str">
        <f>"28.0401"</f>
        <v>28.0401</v>
      </c>
      <c r="B1074" s="196" t="s">
        <v>5760</v>
      </c>
      <c r="C1074" s="320" t="s">
        <v>4269</v>
      </c>
      <c r="D1074" s="321" t="s">
        <v>6307</v>
      </c>
      <c r="E1074" s="322" t="s">
        <v>6308</v>
      </c>
    </row>
    <row r="1075" spans="1:5" ht="14.5" customHeight="1" x14ac:dyDescent="0.35">
      <c r="A1075" s="196" t="str">
        <f>"28.0499"</f>
        <v>28.0499</v>
      </c>
      <c r="B1075" s="196" t="s">
        <v>5760</v>
      </c>
      <c r="C1075" s="320" t="s">
        <v>4269</v>
      </c>
      <c r="D1075" s="321" t="s">
        <v>6309</v>
      </c>
      <c r="E1075" s="322" t="s">
        <v>6310</v>
      </c>
    </row>
    <row r="1076" spans="1:5" ht="14.5" customHeight="1" x14ac:dyDescent="0.35">
      <c r="A1076" s="196" t="str">
        <f>"28.05"</f>
        <v>28.05</v>
      </c>
      <c r="B1076" s="196" t="s">
        <v>5760</v>
      </c>
      <c r="C1076" s="320" t="s">
        <v>4269</v>
      </c>
      <c r="D1076" s="321" t="s">
        <v>6311</v>
      </c>
      <c r="E1076" s="322" t="s">
        <v>6312</v>
      </c>
    </row>
    <row r="1077" spans="1:5" ht="14.5" customHeight="1" x14ac:dyDescent="0.35">
      <c r="A1077" s="196" t="str">
        <f>"28.0501"</f>
        <v>28.0501</v>
      </c>
      <c r="B1077" s="196" t="s">
        <v>5760</v>
      </c>
      <c r="C1077" s="320" t="s">
        <v>4269</v>
      </c>
      <c r="D1077" s="321" t="s">
        <v>6313</v>
      </c>
      <c r="E1077" s="322" t="s">
        <v>6314</v>
      </c>
    </row>
    <row r="1078" spans="1:5" ht="14.5" customHeight="1" x14ac:dyDescent="0.35">
      <c r="A1078" s="196" t="str">
        <f>"28.0502"</f>
        <v>28.0502</v>
      </c>
      <c r="B1078" s="196" t="s">
        <v>5760</v>
      </c>
      <c r="C1078" s="320" t="s">
        <v>4269</v>
      </c>
      <c r="D1078" s="321" t="s">
        <v>6315</v>
      </c>
      <c r="E1078" s="322" t="s">
        <v>6316</v>
      </c>
    </row>
    <row r="1079" spans="1:5" ht="14.5" customHeight="1" x14ac:dyDescent="0.35">
      <c r="A1079" s="196" t="str">
        <f>"28.0503"</f>
        <v>28.0503</v>
      </c>
      <c r="B1079" s="196" t="s">
        <v>5760</v>
      </c>
      <c r="C1079" s="320" t="s">
        <v>4269</v>
      </c>
      <c r="D1079" s="321" t="s">
        <v>6317</v>
      </c>
      <c r="E1079" s="322" t="s">
        <v>6318</v>
      </c>
    </row>
    <row r="1080" spans="1:5" ht="14.5" customHeight="1" x14ac:dyDescent="0.35">
      <c r="A1080" s="196" t="str">
        <f>"28.0504"</f>
        <v>28.0504</v>
      </c>
      <c r="B1080" s="196" t="s">
        <v>5760</v>
      </c>
      <c r="C1080" s="320" t="s">
        <v>4269</v>
      </c>
      <c r="D1080" s="321" t="s">
        <v>6319</v>
      </c>
      <c r="E1080" s="322" t="s">
        <v>6320</v>
      </c>
    </row>
    <row r="1081" spans="1:5" ht="14.5" customHeight="1" x14ac:dyDescent="0.35">
      <c r="A1081" s="196" t="str">
        <f>"28.0505"</f>
        <v>28.0505</v>
      </c>
      <c r="B1081" s="196" t="s">
        <v>5760</v>
      </c>
      <c r="C1081" s="320" t="s">
        <v>4269</v>
      </c>
      <c r="D1081" s="321" t="s">
        <v>6321</v>
      </c>
      <c r="E1081" s="322" t="s">
        <v>6322</v>
      </c>
    </row>
    <row r="1082" spans="1:5" ht="14.5" customHeight="1" x14ac:dyDescent="0.35">
      <c r="A1082" s="196" t="str">
        <f>"28.0506"</f>
        <v>28.0506</v>
      </c>
      <c r="B1082" s="196" t="s">
        <v>5760</v>
      </c>
      <c r="C1082" s="320" t="s">
        <v>4269</v>
      </c>
      <c r="D1082" s="321" t="s">
        <v>6323</v>
      </c>
      <c r="E1082" s="322" t="s">
        <v>6324</v>
      </c>
    </row>
    <row r="1083" spans="1:5" ht="14.5" customHeight="1" x14ac:dyDescent="0.35">
      <c r="A1083" s="196" t="str">
        <f>"28.0599"</f>
        <v>28.0599</v>
      </c>
      <c r="B1083" s="196" t="s">
        <v>5760</v>
      </c>
      <c r="C1083" s="320" t="s">
        <v>4269</v>
      </c>
      <c r="D1083" s="321" t="s">
        <v>6325</v>
      </c>
      <c r="E1083" s="322" t="s">
        <v>6326</v>
      </c>
    </row>
    <row r="1084" spans="1:5" ht="14.5" customHeight="1" x14ac:dyDescent="0.35">
      <c r="A1084" s="196" t="str">
        <f>"28.06"</f>
        <v>28.06</v>
      </c>
      <c r="B1084" s="196" t="s">
        <v>5760</v>
      </c>
      <c r="C1084" s="320" t="s">
        <v>4269</v>
      </c>
      <c r="D1084" s="321" t="s">
        <v>6327</v>
      </c>
      <c r="E1084" s="322" t="s">
        <v>6328</v>
      </c>
    </row>
    <row r="1085" spans="1:5" ht="14.5" customHeight="1" x14ac:dyDescent="0.35">
      <c r="A1085" s="196" t="str">
        <f>"28.0601"</f>
        <v>28.0601</v>
      </c>
      <c r="B1085" s="196" t="s">
        <v>5760</v>
      </c>
      <c r="C1085" s="320" t="s">
        <v>4269</v>
      </c>
      <c r="D1085" s="321" t="s">
        <v>6329</v>
      </c>
      <c r="E1085" s="322" t="s">
        <v>6330</v>
      </c>
    </row>
    <row r="1086" spans="1:5" ht="14.5" customHeight="1" x14ac:dyDescent="0.35">
      <c r="A1086" s="196" t="str">
        <f>"28.0602"</f>
        <v>28.0602</v>
      </c>
      <c r="B1086" s="196" t="s">
        <v>5760</v>
      </c>
      <c r="C1086" s="320" t="s">
        <v>4269</v>
      </c>
      <c r="D1086" s="321" t="s">
        <v>6331</v>
      </c>
      <c r="E1086" s="322" t="s">
        <v>6332</v>
      </c>
    </row>
    <row r="1087" spans="1:5" ht="14.5" customHeight="1" x14ac:dyDescent="0.35">
      <c r="A1087" s="196" t="str">
        <f>"28.0603"</f>
        <v>28.0603</v>
      </c>
      <c r="B1087" s="196" t="s">
        <v>5760</v>
      </c>
      <c r="C1087" s="320" t="s">
        <v>4269</v>
      </c>
      <c r="D1087" s="321" t="s">
        <v>6333</v>
      </c>
      <c r="E1087" s="322" t="s">
        <v>6334</v>
      </c>
    </row>
    <row r="1088" spans="1:5" ht="14.5" customHeight="1" x14ac:dyDescent="0.35">
      <c r="A1088" s="196" t="str">
        <f>"28.0604"</f>
        <v>28.0604</v>
      </c>
      <c r="B1088" s="196" t="s">
        <v>5760</v>
      </c>
      <c r="C1088" s="320" t="s">
        <v>4269</v>
      </c>
      <c r="D1088" s="321" t="s">
        <v>6335</v>
      </c>
      <c r="E1088" s="322" t="s">
        <v>6336</v>
      </c>
    </row>
    <row r="1089" spans="1:5" ht="14.5" customHeight="1" x14ac:dyDescent="0.35">
      <c r="A1089" s="196" t="str">
        <f>"28.0605"</f>
        <v>28.0605</v>
      </c>
      <c r="B1089" s="196" t="s">
        <v>5760</v>
      </c>
      <c r="C1089" s="320" t="s">
        <v>4269</v>
      </c>
      <c r="D1089" s="321" t="s">
        <v>6337</v>
      </c>
      <c r="E1089" s="322" t="s">
        <v>6338</v>
      </c>
    </row>
    <row r="1090" spans="1:5" ht="14.5" customHeight="1" x14ac:dyDescent="0.35">
      <c r="A1090" s="196" t="str">
        <f>"28.0699"</f>
        <v>28.0699</v>
      </c>
      <c r="B1090" s="196" t="s">
        <v>5760</v>
      </c>
      <c r="C1090" s="320" t="s">
        <v>4269</v>
      </c>
      <c r="D1090" s="321" t="s">
        <v>6339</v>
      </c>
      <c r="E1090" s="322" t="s">
        <v>6340</v>
      </c>
    </row>
    <row r="1091" spans="1:5" ht="14.5" customHeight="1" x14ac:dyDescent="0.35">
      <c r="A1091" s="196" t="str">
        <f>"28.07"</f>
        <v>28.07</v>
      </c>
      <c r="B1091" s="196" t="s">
        <v>5760</v>
      </c>
      <c r="C1091" s="320" t="s">
        <v>4269</v>
      </c>
      <c r="D1091" s="321" t="s">
        <v>6341</v>
      </c>
      <c r="E1091" s="322" t="s">
        <v>6342</v>
      </c>
    </row>
    <row r="1092" spans="1:5" ht="14.5" customHeight="1" x14ac:dyDescent="0.35">
      <c r="A1092" s="196" t="str">
        <f>"28.0701"</f>
        <v>28.0701</v>
      </c>
      <c r="B1092" s="196" t="s">
        <v>5760</v>
      </c>
      <c r="C1092" s="320" t="s">
        <v>4269</v>
      </c>
      <c r="D1092" s="321" t="s">
        <v>6343</v>
      </c>
      <c r="E1092" s="322" t="s">
        <v>6344</v>
      </c>
    </row>
    <row r="1093" spans="1:5" ht="14.5" customHeight="1" x14ac:dyDescent="0.35">
      <c r="A1093" s="196" t="str">
        <f>"28.0702"</f>
        <v>28.0702</v>
      </c>
      <c r="B1093" s="196" t="s">
        <v>5760</v>
      </c>
      <c r="C1093" s="320" t="s">
        <v>4269</v>
      </c>
      <c r="D1093" s="321" t="s">
        <v>6345</v>
      </c>
      <c r="E1093" s="322" t="s">
        <v>6346</v>
      </c>
    </row>
    <row r="1094" spans="1:5" ht="14.5" customHeight="1" x14ac:dyDescent="0.35">
      <c r="A1094" s="196" t="str">
        <f>"28.0703"</f>
        <v>28.0703</v>
      </c>
      <c r="B1094" s="196" t="s">
        <v>5760</v>
      </c>
      <c r="C1094" s="320" t="s">
        <v>4269</v>
      </c>
      <c r="D1094" s="321" t="s">
        <v>6347</v>
      </c>
      <c r="E1094" s="322" t="s">
        <v>6348</v>
      </c>
    </row>
    <row r="1095" spans="1:5" ht="14.5" customHeight="1" x14ac:dyDescent="0.35">
      <c r="A1095" s="196" t="str">
        <f>"28.0799"</f>
        <v>28.0799</v>
      </c>
      <c r="B1095" s="196" t="s">
        <v>5760</v>
      </c>
      <c r="C1095" s="320" t="s">
        <v>4269</v>
      </c>
      <c r="D1095" s="321" t="s">
        <v>6349</v>
      </c>
      <c r="E1095" s="322" t="s">
        <v>6350</v>
      </c>
    </row>
    <row r="1096" spans="1:5" s="327" customFormat="1" ht="14.5" customHeight="1" x14ac:dyDescent="0.35">
      <c r="A1096" s="323" t="str">
        <f>"28.08"</f>
        <v>28.08</v>
      </c>
      <c r="B1096" s="323" t="s">
        <v>4297</v>
      </c>
      <c r="C1096" s="324" t="s">
        <v>4269</v>
      </c>
      <c r="D1096" s="325" t="s">
        <v>4328</v>
      </c>
      <c r="E1096" s="326" t="s">
        <v>6351</v>
      </c>
    </row>
    <row r="1097" spans="1:5" s="327" customFormat="1" ht="14.5" customHeight="1" x14ac:dyDescent="0.35">
      <c r="A1097" s="323" t="str">
        <f>"28.0801"</f>
        <v>28.0801</v>
      </c>
      <c r="B1097" s="323" t="s">
        <v>4297</v>
      </c>
      <c r="C1097" s="324" t="s">
        <v>4269</v>
      </c>
      <c r="D1097" s="325" t="s">
        <v>4328</v>
      </c>
      <c r="E1097" s="326" t="s">
        <v>4329</v>
      </c>
    </row>
    <row r="1098" spans="1:5" ht="14.5" customHeight="1" x14ac:dyDescent="0.35">
      <c r="A1098" s="196" t="str">
        <f>"28.99"</f>
        <v>28.99</v>
      </c>
      <c r="B1098" s="196" t="s">
        <v>5760</v>
      </c>
      <c r="C1098" s="320" t="s">
        <v>4269</v>
      </c>
      <c r="D1098" s="321" t="s">
        <v>6352</v>
      </c>
      <c r="E1098" s="322" t="s">
        <v>6353</v>
      </c>
    </row>
    <row r="1099" spans="1:5" ht="14.5" customHeight="1" x14ac:dyDescent="0.35">
      <c r="A1099" s="196" t="str">
        <f>"28.9999"</f>
        <v>28.9999</v>
      </c>
      <c r="B1099" s="196" t="s">
        <v>5760</v>
      </c>
      <c r="C1099" s="320" t="s">
        <v>4269</v>
      </c>
      <c r="D1099" s="321" t="s">
        <v>6352</v>
      </c>
      <c r="E1099" s="322" t="s">
        <v>6354</v>
      </c>
    </row>
    <row r="1100" spans="1:5" ht="14.5" customHeight="1" x14ac:dyDescent="0.35">
      <c r="A1100" s="196" t="str">
        <f>"29"</f>
        <v>29</v>
      </c>
      <c r="B1100" s="196" t="s">
        <v>5760</v>
      </c>
      <c r="C1100" s="320" t="s">
        <v>4269</v>
      </c>
      <c r="D1100" s="321" t="s">
        <v>6355</v>
      </c>
      <c r="E1100" s="322" t="s">
        <v>6356</v>
      </c>
    </row>
    <row r="1101" spans="1:5" ht="14.5" customHeight="1" x14ac:dyDescent="0.35">
      <c r="A1101" s="196" t="str">
        <f>"29.02"</f>
        <v>29.02</v>
      </c>
      <c r="B1101" s="196" t="s">
        <v>5760</v>
      </c>
      <c r="C1101" s="320" t="s">
        <v>4269</v>
      </c>
      <c r="D1101" s="321" t="s">
        <v>6357</v>
      </c>
      <c r="E1101" s="322" t="s">
        <v>6358</v>
      </c>
    </row>
    <row r="1102" spans="1:5" ht="14.5" customHeight="1" x14ac:dyDescent="0.35">
      <c r="A1102" s="196" t="str">
        <f>"29.0201"</f>
        <v>29.0201</v>
      </c>
      <c r="B1102" s="196" t="s">
        <v>5760</v>
      </c>
      <c r="C1102" s="320" t="s">
        <v>4269</v>
      </c>
      <c r="D1102" s="321" t="s">
        <v>6359</v>
      </c>
      <c r="E1102" s="322" t="s">
        <v>6360</v>
      </c>
    </row>
    <row r="1103" spans="1:5" ht="14.5" customHeight="1" x14ac:dyDescent="0.35">
      <c r="A1103" s="196" t="str">
        <f>"29.0202"</f>
        <v>29.0202</v>
      </c>
      <c r="B1103" s="196" t="s">
        <v>5760</v>
      </c>
      <c r="C1103" s="320" t="s">
        <v>4269</v>
      </c>
      <c r="D1103" s="321" t="s">
        <v>6361</v>
      </c>
      <c r="E1103" s="322" t="s">
        <v>6362</v>
      </c>
    </row>
    <row r="1104" spans="1:5" ht="14.5" customHeight="1" x14ac:dyDescent="0.35">
      <c r="A1104" s="196" t="str">
        <f>"29.0203"</f>
        <v>29.0203</v>
      </c>
      <c r="B1104" s="196" t="s">
        <v>5760</v>
      </c>
      <c r="C1104" s="320" t="s">
        <v>4269</v>
      </c>
      <c r="D1104" s="321" t="s">
        <v>6363</v>
      </c>
      <c r="E1104" s="322" t="s">
        <v>6364</v>
      </c>
    </row>
    <row r="1105" spans="1:5" ht="14.5" customHeight="1" x14ac:dyDescent="0.35">
      <c r="A1105" s="196" t="str">
        <f>"29.0204"</f>
        <v>29.0204</v>
      </c>
      <c r="B1105" s="196" t="s">
        <v>5760</v>
      </c>
      <c r="C1105" s="320" t="s">
        <v>4269</v>
      </c>
      <c r="D1105" s="321" t="s">
        <v>6365</v>
      </c>
      <c r="E1105" s="322" t="s">
        <v>6366</v>
      </c>
    </row>
    <row r="1106" spans="1:5" ht="14.5" customHeight="1" x14ac:dyDescent="0.35">
      <c r="A1106" s="196" t="str">
        <f>"29.0205"</f>
        <v>29.0205</v>
      </c>
      <c r="B1106" s="196" t="s">
        <v>5760</v>
      </c>
      <c r="C1106" s="320" t="s">
        <v>4269</v>
      </c>
      <c r="D1106" s="321" t="s">
        <v>6367</v>
      </c>
      <c r="E1106" s="322" t="s">
        <v>6368</v>
      </c>
    </row>
    <row r="1107" spans="1:5" ht="14.5" customHeight="1" x14ac:dyDescent="0.35">
      <c r="A1107" s="196" t="str">
        <f>"29.0206"</f>
        <v>29.0206</v>
      </c>
      <c r="B1107" s="196" t="s">
        <v>5760</v>
      </c>
      <c r="C1107" s="320" t="s">
        <v>4269</v>
      </c>
      <c r="D1107" s="321" t="s">
        <v>6369</v>
      </c>
      <c r="E1107" s="322" t="s">
        <v>6370</v>
      </c>
    </row>
    <row r="1108" spans="1:5" ht="14.5" customHeight="1" x14ac:dyDescent="0.35">
      <c r="A1108" s="196" t="str">
        <f>"29.0207"</f>
        <v>29.0207</v>
      </c>
      <c r="B1108" s="196" t="s">
        <v>5760</v>
      </c>
      <c r="C1108" s="320" t="s">
        <v>4269</v>
      </c>
      <c r="D1108" s="321" t="s">
        <v>6371</v>
      </c>
      <c r="E1108" s="322" t="s">
        <v>6372</v>
      </c>
    </row>
    <row r="1109" spans="1:5" ht="14.5" customHeight="1" x14ac:dyDescent="0.35">
      <c r="A1109" s="196" t="str">
        <f>"29.0299"</f>
        <v>29.0299</v>
      </c>
      <c r="B1109" s="196" t="s">
        <v>5760</v>
      </c>
      <c r="C1109" s="320" t="s">
        <v>4269</v>
      </c>
      <c r="D1109" s="321" t="s">
        <v>6373</v>
      </c>
      <c r="E1109" s="322" t="s">
        <v>6374</v>
      </c>
    </row>
    <row r="1110" spans="1:5" ht="14.5" customHeight="1" x14ac:dyDescent="0.35">
      <c r="A1110" s="196" t="str">
        <f>"29.03"</f>
        <v>29.03</v>
      </c>
      <c r="B1110" s="196" t="s">
        <v>5760</v>
      </c>
      <c r="C1110" s="320" t="s">
        <v>4269</v>
      </c>
      <c r="D1110" s="321" t="s">
        <v>6375</v>
      </c>
      <c r="E1110" s="322" t="s">
        <v>6376</v>
      </c>
    </row>
    <row r="1111" spans="1:5" ht="14.5" customHeight="1" x14ac:dyDescent="0.35">
      <c r="A1111" s="196" t="str">
        <f>"29.0301"</f>
        <v>29.0301</v>
      </c>
      <c r="B1111" s="196" t="s">
        <v>5760</v>
      </c>
      <c r="C1111" s="320" t="s">
        <v>4269</v>
      </c>
      <c r="D1111" s="321" t="s">
        <v>6377</v>
      </c>
      <c r="E1111" s="322" t="s">
        <v>6378</v>
      </c>
    </row>
    <row r="1112" spans="1:5" ht="14.5" customHeight="1" x14ac:dyDescent="0.35">
      <c r="A1112" s="196" t="str">
        <f>"29.0302"</f>
        <v>29.0302</v>
      </c>
      <c r="B1112" s="196" t="s">
        <v>5760</v>
      </c>
      <c r="C1112" s="320" t="s">
        <v>4269</v>
      </c>
      <c r="D1112" s="321" t="s">
        <v>6379</v>
      </c>
      <c r="E1112" s="322" t="s">
        <v>6380</v>
      </c>
    </row>
    <row r="1113" spans="1:5" ht="14.5" customHeight="1" x14ac:dyDescent="0.35">
      <c r="A1113" s="196" t="str">
        <f>"29.0303"</f>
        <v>29.0303</v>
      </c>
      <c r="B1113" s="196" t="s">
        <v>5760</v>
      </c>
      <c r="C1113" s="320" t="s">
        <v>4269</v>
      </c>
      <c r="D1113" s="321" t="s">
        <v>6381</v>
      </c>
      <c r="E1113" s="322" t="s">
        <v>6382</v>
      </c>
    </row>
    <row r="1114" spans="1:5" ht="14.5" customHeight="1" x14ac:dyDescent="0.35">
      <c r="A1114" s="196" t="str">
        <f>"29.0304"</f>
        <v>29.0304</v>
      </c>
      <c r="B1114" s="196" t="s">
        <v>5760</v>
      </c>
      <c r="C1114" s="320" t="s">
        <v>4269</v>
      </c>
      <c r="D1114" s="321" t="s">
        <v>6383</v>
      </c>
      <c r="E1114" s="322" t="s">
        <v>6384</v>
      </c>
    </row>
    <row r="1115" spans="1:5" ht="14.5" customHeight="1" x14ac:dyDescent="0.35">
      <c r="A1115" s="196" t="str">
        <f>"29.0305"</f>
        <v>29.0305</v>
      </c>
      <c r="B1115" s="196" t="s">
        <v>5760</v>
      </c>
      <c r="C1115" s="320" t="s">
        <v>4269</v>
      </c>
      <c r="D1115" s="321" t="s">
        <v>6385</v>
      </c>
      <c r="E1115" s="322" t="s">
        <v>6386</v>
      </c>
    </row>
    <row r="1116" spans="1:5" ht="14.5" customHeight="1" x14ac:dyDescent="0.35">
      <c r="A1116" s="196" t="str">
        <f>"29.0306"</f>
        <v>29.0306</v>
      </c>
      <c r="B1116" s="196" t="s">
        <v>5760</v>
      </c>
      <c r="C1116" s="320" t="s">
        <v>4269</v>
      </c>
      <c r="D1116" s="321" t="s">
        <v>6387</v>
      </c>
      <c r="E1116" s="322" t="s">
        <v>6388</v>
      </c>
    </row>
    <row r="1117" spans="1:5" ht="14.5" customHeight="1" x14ac:dyDescent="0.35">
      <c r="A1117" s="196" t="str">
        <f>"29.0307"</f>
        <v>29.0307</v>
      </c>
      <c r="B1117" s="196" t="s">
        <v>5760</v>
      </c>
      <c r="C1117" s="320" t="s">
        <v>4269</v>
      </c>
      <c r="D1117" s="321" t="s">
        <v>6389</v>
      </c>
      <c r="E1117" s="322" t="s">
        <v>6390</v>
      </c>
    </row>
    <row r="1118" spans="1:5" ht="14.5" customHeight="1" x14ac:dyDescent="0.35">
      <c r="A1118" s="196" t="str">
        <f>"29.0399"</f>
        <v>29.0399</v>
      </c>
      <c r="B1118" s="196" t="s">
        <v>5760</v>
      </c>
      <c r="C1118" s="320" t="s">
        <v>4269</v>
      </c>
      <c r="D1118" s="321" t="s">
        <v>6391</v>
      </c>
      <c r="E1118" s="322" t="s">
        <v>6392</v>
      </c>
    </row>
    <row r="1119" spans="1:5" ht="14.5" customHeight="1" x14ac:dyDescent="0.35">
      <c r="A1119" s="196" t="str">
        <f>"29.04"</f>
        <v>29.04</v>
      </c>
      <c r="B1119" s="196" t="s">
        <v>5760</v>
      </c>
      <c r="C1119" s="320" t="s">
        <v>4269</v>
      </c>
      <c r="D1119" s="321" t="s">
        <v>6393</v>
      </c>
      <c r="E1119" s="322" t="s">
        <v>6394</v>
      </c>
    </row>
    <row r="1120" spans="1:5" ht="14.5" customHeight="1" x14ac:dyDescent="0.35">
      <c r="A1120" s="196" t="str">
        <f>"29.0401"</f>
        <v>29.0401</v>
      </c>
      <c r="B1120" s="196" t="s">
        <v>5760</v>
      </c>
      <c r="C1120" s="320" t="s">
        <v>4269</v>
      </c>
      <c r="D1120" s="321" t="s">
        <v>6395</v>
      </c>
      <c r="E1120" s="322" t="s">
        <v>6396</v>
      </c>
    </row>
    <row r="1121" spans="1:5" ht="14.5" customHeight="1" x14ac:dyDescent="0.35">
      <c r="A1121" s="196" t="str">
        <f>"29.0402"</f>
        <v>29.0402</v>
      </c>
      <c r="B1121" s="196" t="s">
        <v>5760</v>
      </c>
      <c r="C1121" s="320" t="s">
        <v>4269</v>
      </c>
      <c r="D1121" s="321" t="s">
        <v>6397</v>
      </c>
      <c r="E1121" s="322" t="s">
        <v>6398</v>
      </c>
    </row>
    <row r="1122" spans="1:5" ht="14.5" customHeight="1" x14ac:dyDescent="0.35">
      <c r="A1122" s="196" t="str">
        <f>"29.0403"</f>
        <v>29.0403</v>
      </c>
      <c r="B1122" s="196" t="s">
        <v>5760</v>
      </c>
      <c r="C1122" s="320" t="s">
        <v>4269</v>
      </c>
      <c r="D1122" s="321" t="s">
        <v>6399</v>
      </c>
      <c r="E1122" s="322" t="s">
        <v>6400</v>
      </c>
    </row>
    <row r="1123" spans="1:5" ht="14.5" customHeight="1" x14ac:dyDescent="0.35">
      <c r="A1123" s="196" t="str">
        <f>"29.0404"</f>
        <v>29.0404</v>
      </c>
      <c r="B1123" s="196" t="s">
        <v>5760</v>
      </c>
      <c r="C1123" s="320" t="s">
        <v>4269</v>
      </c>
      <c r="D1123" s="321" t="s">
        <v>6401</v>
      </c>
      <c r="E1123" s="322" t="s">
        <v>6402</v>
      </c>
    </row>
    <row r="1124" spans="1:5" ht="14.5" customHeight="1" x14ac:dyDescent="0.35">
      <c r="A1124" s="196" t="str">
        <f>"29.0405"</f>
        <v>29.0405</v>
      </c>
      <c r="B1124" s="196" t="s">
        <v>5760</v>
      </c>
      <c r="C1124" s="320" t="s">
        <v>4269</v>
      </c>
      <c r="D1124" s="321" t="s">
        <v>6403</v>
      </c>
      <c r="E1124" s="322" t="s">
        <v>6404</v>
      </c>
    </row>
    <row r="1125" spans="1:5" ht="14.5" customHeight="1" x14ac:dyDescent="0.35">
      <c r="A1125" s="196" t="str">
        <f>"29.0406"</f>
        <v>29.0406</v>
      </c>
      <c r="B1125" s="196" t="s">
        <v>5760</v>
      </c>
      <c r="C1125" s="320" t="s">
        <v>4269</v>
      </c>
      <c r="D1125" s="321" t="s">
        <v>6405</v>
      </c>
      <c r="E1125" s="322" t="s">
        <v>6406</v>
      </c>
    </row>
    <row r="1126" spans="1:5" ht="14.5" customHeight="1" x14ac:dyDescent="0.35">
      <c r="A1126" s="196" t="str">
        <f>"29.0407"</f>
        <v>29.0407</v>
      </c>
      <c r="B1126" s="196" t="s">
        <v>5760</v>
      </c>
      <c r="C1126" s="320" t="s">
        <v>4269</v>
      </c>
      <c r="D1126" s="321" t="s">
        <v>6407</v>
      </c>
      <c r="E1126" s="322" t="s">
        <v>6408</v>
      </c>
    </row>
    <row r="1127" spans="1:5" ht="14.5" customHeight="1" x14ac:dyDescent="0.35">
      <c r="A1127" s="196" t="str">
        <f>"29.0408"</f>
        <v>29.0408</v>
      </c>
      <c r="B1127" s="196" t="s">
        <v>5760</v>
      </c>
      <c r="C1127" s="320" t="s">
        <v>4269</v>
      </c>
      <c r="D1127" s="321" t="s">
        <v>6409</v>
      </c>
      <c r="E1127" s="322" t="s">
        <v>6410</v>
      </c>
    </row>
    <row r="1128" spans="1:5" ht="14.5" customHeight="1" x14ac:dyDescent="0.35">
      <c r="A1128" s="196" t="str">
        <f>"29.0409"</f>
        <v>29.0409</v>
      </c>
      <c r="B1128" s="196" t="s">
        <v>5760</v>
      </c>
      <c r="C1128" s="320" t="s">
        <v>4269</v>
      </c>
      <c r="D1128" s="321" t="s">
        <v>6411</v>
      </c>
      <c r="E1128" s="322" t="s">
        <v>6412</v>
      </c>
    </row>
    <row r="1129" spans="1:5" ht="14.5" customHeight="1" x14ac:dyDescent="0.35">
      <c r="A1129" s="196" t="str">
        <f>"29.0499"</f>
        <v>29.0499</v>
      </c>
      <c r="B1129" s="196" t="s">
        <v>5760</v>
      </c>
      <c r="C1129" s="320" t="s">
        <v>4269</v>
      </c>
      <c r="D1129" s="321" t="s">
        <v>6413</v>
      </c>
      <c r="E1129" s="322" t="s">
        <v>6414</v>
      </c>
    </row>
    <row r="1130" spans="1:5" s="327" customFormat="1" ht="14.5" customHeight="1" x14ac:dyDescent="0.35">
      <c r="A1130" s="323" t="str">
        <f>"29.05"</f>
        <v>29.05</v>
      </c>
      <c r="B1130" s="323" t="s">
        <v>4297</v>
      </c>
      <c r="C1130" s="324" t="s">
        <v>4269</v>
      </c>
      <c r="D1130" s="325" t="s">
        <v>4328</v>
      </c>
      <c r="E1130" s="326" t="s">
        <v>6415</v>
      </c>
    </row>
    <row r="1131" spans="1:5" s="327" customFormat="1" ht="14.5" customHeight="1" x14ac:dyDescent="0.35">
      <c r="A1131" s="323" t="str">
        <f>"29.0501"</f>
        <v>29.0501</v>
      </c>
      <c r="B1131" s="323" t="s">
        <v>4297</v>
      </c>
      <c r="C1131" s="324" t="s">
        <v>4269</v>
      </c>
      <c r="D1131" s="325" t="s">
        <v>4328</v>
      </c>
      <c r="E1131" s="326" t="s">
        <v>4329</v>
      </c>
    </row>
    <row r="1132" spans="1:5" s="327" customFormat="1" ht="14.5" customHeight="1" x14ac:dyDescent="0.35">
      <c r="A1132" s="323" t="str">
        <f>"29.06"</f>
        <v>29.06</v>
      </c>
      <c r="B1132" s="323" t="s">
        <v>4297</v>
      </c>
      <c r="C1132" s="324" t="s">
        <v>4269</v>
      </c>
      <c r="D1132" s="325" t="s">
        <v>6416</v>
      </c>
      <c r="E1132" s="326" t="s">
        <v>6417</v>
      </c>
    </row>
    <row r="1133" spans="1:5" s="327" customFormat="1" ht="14.5" customHeight="1" x14ac:dyDescent="0.35">
      <c r="A1133" s="323" t="str">
        <f>"29.0601"</f>
        <v>29.0601</v>
      </c>
      <c r="B1133" s="323" t="s">
        <v>4297</v>
      </c>
      <c r="C1133" s="324" t="s">
        <v>4269</v>
      </c>
      <c r="D1133" s="325" t="s">
        <v>6416</v>
      </c>
      <c r="E1133" s="326" t="s">
        <v>6418</v>
      </c>
    </row>
    <row r="1134" spans="1:5" ht="14.5" customHeight="1" x14ac:dyDescent="0.35">
      <c r="A1134" s="196" t="str">
        <f>"29.99"</f>
        <v>29.99</v>
      </c>
      <c r="B1134" s="196" t="s">
        <v>5760</v>
      </c>
      <c r="C1134" s="320" t="s">
        <v>4269</v>
      </c>
      <c r="D1134" s="321" t="s">
        <v>6419</v>
      </c>
      <c r="E1134" s="322" t="s">
        <v>6420</v>
      </c>
    </row>
    <row r="1135" spans="1:5" ht="14.5" customHeight="1" x14ac:dyDescent="0.35">
      <c r="A1135" s="196" t="str">
        <f>"29.9999"</f>
        <v>29.9999</v>
      </c>
      <c r="B1135" s="196" t="s">
        <v>5760</v>
      </c>
      <c r="C1135" s="320" t="s">
        <v>4269</v>
      </c>
      <c r="D1135" s="321" t="s">
        <v>6419</v>
      </c>
      <c r="E1135" s="322" t="s">
        <v>6421</v>
      </c>
    </row>
    <row r="1136" spans="1:5" ht="14.5" customHeight="1" x14ac:dyDescent="0.35">
      <c r="A1136" s="196" t="str">
        <f>"30"</f>
        <v>30</v>
      </c>
      <c r="B1136" s="196" t="s">
        <v>5760</v>
      </c>
      <c r="C1136" s="320" t="s">
        <v>4269</v>
      </c>
      <c r="D1136" s="321" t="s">
        <v>6422</v>
      </c>
      <c r="E1136" s="322" t="s">
        <v>6423</v>
      </c>
    </row>
    <row r="1137" spans="1:5" ht="14.5" customHeight="1" x14ac:dyDescent="0.35">
      <c r="A1137" s="196" t="str">
        <f>"30.00"</f>
        <v>30.00</v>
      </c>
      <c r="B1137" s="196" t="s">
        <v>5760</v>
      </c>
      <c r="C1137" s="320" t="s">
        <v>4269</v>
      </c>
      <c r="D1137" s="321" t="s">
        <v>6424</v>
      </c>
      <c r="E1137" s="322" t="s">
        <v>6425</v>
      </c>
    </row>
    <row r="1138" spans="1:5" ht="14.5" customHeight="1" x14ac:dyDescent="0.35">
      <c r="A1138" s="196" t="str">
        <f>"30.0000"</f>
        <v>30.0000</v>
      </c>
      <c r="B1138" s="196" t="s">
        <v>5760</v>
      </c>
      <c r="C1138" s="320" t="s">
        <v>4269</v>
      </c>
      <c r="D1138" s="321" t="s">
        <v>6424</v>
      </c>
      <c r="E1138" s="322" t="s">
        <v>6426</v>
      </c>
    </row>
    <row r="1139" spans="1:5" s="327" customFormat="1" ht="14.5" customHeight="1" x14ac:dyDescent="0.35">
      <c r="A1139" s="323" t="str">
        <f>"30.0001"</f>
        <v>30.0001</v>
      </c>
      <c r="B1139" s="323" t="s">
        <v>4297</v>
      </c>
      <c r="C1139" s="324" t="s">
        <v>4269</v>
      </c>
      <c r="D1139" s="325" t="s">
        <v>6427</v>
      </c>
      <c r="E1139" s="326" t="s">
        <v>6428</v>
      </c>
    </row>
    <row r="1140" spans="1:5" ht="14.5" customHeight="1" x14ac:dyDescent="0.35">
      <c r="A1140" s="196" t="str">
        <f>"30.01"</f>
        <v>30.01</v>
      </c>
      <c r="B1140" s="196" t="s">
        <v>5760</v>
      </c>
      <c r="C1140" s="320" t="s">
        <v>4269</v>
      </c>
      <c r="D1140" s="321" t="s">
        <v>6429</v>
      </c>
      <c r="E1140" s="322" t="s">
        <v>6430</v>
      </c>
    </row>
    <row r="1141" spans="1:5" ht="14.5" customHeight="1" x14ac:dyDescent="0.35">
      <c r="A1141" s="196" t="str">
        <f>"30.0101"</f>
        <v>30.0101</v>
      </c>
      <c r="B1141" s="196" t="s">
        <v>5760</v>
      </c>
      <c r="C1141" s="320" t="s">
        <v>4269</v>
      </c>
      <c r="D1141" s="321" t="s">
        <v>6429</v>
      </c>
      <c r="E1141" s="322" t="s">
        <v>6431</v>
      </c>
    </row>
    <row r="1142" spans="1:5" ht="14.5" customHeight="1" x14ac:dyDescent="0.35">
      <c r="A1142" s="196" t="str">
        <f>"30.05"</f>
        <v>30.05</v>
      </c>
      <c r="B1142" s="196" t="s">
        <v>5760</v>
      </c>
      <c r="C1142" s="320" t="s">
        <v>4269</v>
      </c>
      <c r="D1142" s="321" t="s">
        <v>6432</v>
      </c>
      <c r="E1142" s="322" t="s">
        <v>6433</v>
      </c>
    </row>
    <row r="1143" spans="1:5" ht="14.5" customHeight="1" x14ac:dyDescent="0.35">
      <c r="A1143" s="196" t="str">
        <f>"30.0501"</f>
        <v>30.0501</v>
      </c>
      <c r="B1143" s="196" t="s">
        <v>5760</v>
      </c>
      <c r="C1143" s="320" t="s">
        <v>4269</v>
      </c>
      <c r="D1143" s="321" t="s">
        <v>6432</v>
      </c>
      <c r="E1143" s="322" t="s">
        <v>6434</v>
      </c>
    </row>
    <row r="1144" spans="1:5" ht="14.5" customHeight="1" x14ac:dyDescent="0.35">
      <c r="A1144" s="196" t="str">
        <f>"30.06"</f>
        <v>30.06</v>
      </c>
      <c r="B1144" s="196" t="s">
        <v>5760</v>
      </c>
      <c r="C1144" s="320" t="s">
        <v>4269</v>
      </c>
      <c r="D1144" s="321" t="s">
        <v>6435</v>
      </c>
      <c r="E1144" s="322" t="s">
        <v>6436</v>
      </c>
    </row>
    <row r="1145" spans="1:5" ht="14.5" customHeight="1" x14ac:dyDescent="0.35">
      <c r="A1145" s="196" t="str">
        <f>"30.0601"</f>
        <v>30.0601</v>
      </c>
      <c r="B1145" s="196" t="s">
        <v>5760</v>
      </c>
      <c r="C1145" s="320" t="s">
        <v>4269</v>
      </c>
      <c r="D1145" s="321" t="s">
        <v>6435</v>
      </c>
      <c r="E1145" s="322" t="s">
        <v>6437</v>
      </c>
    </row>
    <row r="1146" spans="1:5" ht="14.5" customHeight="1" x14ac:dyDescent="0.35">
      <c r="A1146" s="196" t="str">
        <f>"30.08"</f>
        <v>30.08</v>
      </c>
      <c r="B1146" s="196" t="s">
        <v>5760</v>
      </c>
      <c r="C1146" s="320" t="s">
        <v>4269</v>
      </c>
      <c r="D1146" s="321" t="s">
        <v>6438</v>
      </c>
      <c r="E1146" s="322" t="s">
        <v>6439</v>
      </c>
    </row>
    <row r="1147" spans="1:5" ht="14.5" customHeight="1" x14ac:dyDescent="0.35">
      <c r="A1147" s="196" t="str">
        <f>"30.0801"</f>
        <v>30.0801</v>
      </c>
      <c r="B1147" s="196" t="s">
        <v>5760</v>
      </c>
      <c r="C1147" s="320" t="s">
        <v>4269</v>
      </c>
      <c r="D1147" s="321" t="s">
        <v>6438</v>
      </c>
      <c r="E1147" s="322" t="s">
        <v>6440</v>
      </c>
    </row>
    <row r="1148" spans="1:5" ht="14.5" customHeight="1" x14ac:dyDescent="0.35">
      <c r="A1148" s="196" t="str">
        <f>"30.10"</f>
        <v>30.10</v>
      </c>
      <c r="B1148" s="196" t="s">
        <v>5760</v>
      </c>
      <c r="C1148" s="320" t="s">
        <v>4269</v>
      </c>
      <c r="D1148" s="321" t="s">
        <v>6441</v>
      </c>
      <c r="E1148" s="322" t="s">
        <v>6442</v>
      </c>
    </row>
    <row r="1149" spans="1:5" ht="14.5" customHeight="1" x14ac:dyDescent="0.35">
      <c r="A1149" s="196" t="str">
        <f>"30.1001"</f>
        <v>30.1001</v>
      </c>
      <c r="B1149" s="196" t="s">
        <v>5760</v>
      </c>
      <c r="C1149" s="320" t="s">
        <v>4269</v>
      </c>
      <c r="D1149" s="321" t="s">
        <v>6441</v>
      </c>
      <c r="E1149" s="322" t="s">
        <v>6443</v>
      </c>
    </row>
    <row r="1150" spans="1:5" ht="14.5" customHeight="1" x14ac:dyDescent="0.35">
      <c r="A1150" s="196" t="str">
        <f>"30.11"</f>
        <v>30.11</v>
      </c>
      <c r="B1150" s="196" t="s">
        <v>5760</v>
      </c>
      <c r="C1150" s="320" t="s">
        <v>4269</v>
      </c>
      <c r="D1150" s="321" t="s">
        <v>6444</v>
      </c>
      <c r="E1150" s="322" t="s">
        <v>6445</v>
      </c>
    </row>
    <row r="1151" spans="1:5" ht="14.5" customHeight="1" x14ac:dyDescent="0.35">
      <c r="A1151" s="196" t="str">
        <f>"30.1101"</f>
        <v>30.1101</v>
      </c>
      <c r="B1151" s="196" t="s">
        <v>5760</v>
      </c>
      <c r="C1151" s="320" t="s">
        <v>4269</v>
      </c>
      <c r="D1151" s="321" t="s">
        <v>6444</v>
      </c>
      <c r="E1151" s="322" t="s">
        <v>6446</v>
      </c>
    </row>
    <row r="1152" spans="1:5" ht="14.5" customHeight="1" x14ac:dyDescent="0.35">
      <c r="A1152" s="196" t="str">
        <f>"30.12"</f>
        <v>30.12</v>
      </c>
      <c r="B1152" s="196" t="s">
        <v>5760</v>
      </c>
      <c r="C1152" s="320" t="s">
        <v>4269</v>
      </c>
      <c r="D1152" s="321" t="s">
        <v>6447</v>
      </c>
      <c r="E1152" s="322" t="s">
        <v>6448</v>
      </c>
    </row>
    <row r="1153" spans="1:5" ht="14.5" customHeight="1" x14ac:dyDescent="0.35">
      <c r="A1153" s="196" t="str">
        <f>"30.1201"</f>
        <v>30.1201</v>
      </c>
      <c r="B1153" s="196" t="s">
        <v>4265</v>
      </c>
      <c r="C1153" s="320" t="s">
        <v>4266</v>
      </c>
      <c r="D1153" s="321" t="s">
        <v>6449</v>
      </c>
      <c r="E1153" s="322" t="s">
        <v>6450</v>
      </c>
    </row>
    <row r="1154" spans="1:5" ht="14.5" customHeight="1" x14ac:dyDescent="0.35">
      <c r="A1154" s="196" t="str">
        <f>"30.1202"</f>
        <v>30.1202</v>
      </c>
      <c r="B1154" s="196" t="s">
        <v>5760</v>
      </c>
      <c r="C1154" s="320" t="s">
        <v>4269</v>
      </c>
      <c r="D1154" s="321" t="s">
        <v>6451</v>
      </c>
      <c r="E1154" s="322" t="s">
        <v>6452</v>
      </c>
    </row>
    <row r="1155" spans="1:5" ht="14.5" customHeight="1" x14ac:dyDescent="0.35">
      <c r="A1155" s="196" t="str">
        <f>"30.1299"</f>
        <v>30.1299</v>
      </c>
      <c r="B1155" s="196" t="s">
        <v>5760</v>
      </c>
      <c r="C1155" s="320" t="s">
        <v>4269</v>
      </c>
      <c r="D1155" s="321" t="s">
        <v>6453</v>
      </c>
      <c r="E1155" s="322" t="s">
        <v>6454</v>
      </c>
    </row>
    <row r="1156" spans="1:5" ht="14.5" customHeight="1" x14ac:dyDescent="0.35">
      <c r="A1156" s="196" t="str">
        <f>"30.13"</f>
        <v>30.13</v>
      </c>
      <c r="B1156" s="196" t="s">
        <v>5760</v>
      </c>
      <c r="C1156" s="320" t="s">
        <v>4269</v>
      </c>
      <c r="D1156" s="321" t="s">
        <v>6455</v>
      </c>
      <c r="E1156" s="322" t="s">
        <v>6456</v>
      </c>
    </row>
    <row r="1157" spans="1:5" ht="14.5" customHeight="1" x14ac:dyDescent="0.35">
      <c r="A1157" s="196" t="str">
        <f>"30.1301"</f>
        <v>30.1301</v>
      </c>
      <c r="B1157" s="196" t="s">
        <v>5760</v>
      </c>
      <c r="C1157" s="320" t="s">
        <v>4269</v>
      </c>
      <c r="D1157" s="321" t="s">
        <v>6455</v>
      </c>
      <c r="E1157" s="322" t="s">
        <v>6457</v>
      </c>
    </row>
    <row r="1158" spans="1:5" ht="14.5" customHeight="1" x14ac:dyDescent="0.35">
      <c r="A1158" s="196" t="str">
        <f>"30.14"</f>
        <v>30.14</v>
      </c>
      <c r="B1158" s="196" t="s">
        <v>5760</v>
      </c>
      <c r="C1158" s="320" t="s">
        <v>4269</v>
      </c>
      <c r="D1158" s="321" t="s">
        <v>6458</v>
      </c>
      <c r="E1158" s="322" t="s">
        <v>6459</v>
      </c>
    </row>
    <row r="1159" spans="1:5" ht="14.5" customHeight="1" x14ac:dyDescent="0.35">
      <c r="A1159" s="196" t="str">
        <f>"30.1401"</f>
        <v>30.1401</v>
      </c>
      <c r="B1159" s="196" t="s">
        <v>5760</v>
      </c>
      <c r="C1159" s="320" t="s">
        <v>4269</v>
      </c>
      <c r="D1159" s="321" t="s">
        <v>6458</v>
      </c>
      <c r="E1159" s="322" t="s">
        <v>6460</v>
      </c>
    </row>
    <row r="1160" spans="1:5" ht="14.5" customHeight="1" x14ac:dyDescent="0.35">
      <c r="A1160" s="196" t="str">
        <f>"30.15"</f>
        <v>30.15</v>
      </c>
      <c r="B1160" s="196" t="s">
        <v>5760</v>
      </c>
      <c r="C1160" s="320" t="s">
        <v>4269</v>
      </c>
      <c r="D1160" s="321" t="s">
        <v>6461</v>
      </c>
      <c r="E1160" s="322" t="s">
        <v>6462</v>
      </c>
    </row>
    <row r="1161" spans="1:5" ht="14.5" customHeight="1" x14ac:dyDescent="0.35">
      <c r="A1161" s="196" t="str">
        <f>"30.1501"</f>
        <v>30.1501</v>
      </c>
      <c r="B1161" s="196" t="s">
        <v>5760</v>
      </c>
      <c r="C1161" s="320" t="s">
        <v>4269</v>
      </c>
      <c r="D1161" s="321" t="s">
        <v>6461</v>
      </c>
      <c r="E1161" s="322" t="s">
        <v>6463</v>
      </c>
    </row>
    <row r="1162" spans="1:5" ht="14.5" customHeight="1" x14ac:dyDescent="0.35">
      <c r="A1162" s="196" t="str">
        <f>"30.16"</f>
        <v>30.16</v>
      </c>
      <c r="B1162" s="196" t="s">
        <v>5760</v>
      </c>
      <c r="C1162" s="320" t="s">
        <v>4269</v>
      </c>
      <c r="D1162" s="321" t="s">
        <v>6464</v>
      </c>
      <c r="E1162" s="322" t="s">
        <v>6465</v>
      </c>
    </row>
    <row r="1163" spans="1:5" ht="14.5" customHeight="1" x14ac:dyDescent="0.35">
      <c r="A1163" s="196" t="str">
        <f>"30.1601"</f>
        <v>30.1601</v>
      </c>
      <c r="B1163" s="196" t="s">
        <v>5760</v>
      </c>
      <c r="C1163" s="320" t="s">
        <v>4269</v>
      </c>
      <c r="D1163" s="321" t="s">
        <v>6464</v>
      </c>
      <c r="E1163" s="322" t="s">
        <v>6466</v>
      </c>
    </row>
    <row r="1164" spans="1:5" ht="14.5" customHeight="1" x14ac:dyDescent="0.35">
      <c r="A1164" s="196" t="str">
        <f>"30.17"</f>
        <v>30.17</v>
      </c>
      <c r="B1164" s="196" t="s">
        <v>5760</v>
      </c>
      <c r="C1164" s="320" t="s">
        <v>4269</v>
      </c>
      <c r="D1164" s="321" t="s">
        <v>6467</v>
      </c>
      <c r="E1164" s="322" t="s">
        <v>6468</v>
      </c>
    </row>
    <row r="1165" spans="1:5" ht="14.5" customHeight="1" x14ac:dyDescent="0.35">
      <c r="A1165" s="196" t="str">
        <f>"30.1701"</f>
        <v>30.1701</v>
      </c>
      <c r="B1165" s="196" t="s">
        <v>5760</v>
      </c>
      <c r="C1165" s="320" t="s">
        <v>4269</v>
      </c>
      <c r="D1165" s="321" t="s">
        <v>6467</v>
      </c>
      <c r="E1165" s="322" t="s">
        <v>6469</v>
      </c>
    </row>
    <row r="1166" spans="1:5" ht="14.5" customHeight="1" x14ac:dyDescent="0.35">
      <c r="A1166" s="196" t="str">
        <f>"30.18"</f>
        <v>30.18</v>
      </c>
      <c r="B1166" s="196" t="s">
        <v>5760</v>
      </c>
      <c r="C1166" s="320" t="s">
        <v>4269</v>
      </c>
      <c r="D1166" s="321" t="s">
        <v>6470</v>
      </c>
      <c r="E1166" s="322" t="s">
        <v>6471</v>
      </c>
    </row>
    <row r="1167" spans="1:5" ht="14.5" customHeight="1" x14ac:dyDescent="0.35">
      <c r="A1167" s="196" t="str">
        <f>"30.1801"</f>
        <v>30.1801</v>
      </c>
      <c r="B1167" s="196" t="s">
        <v>5760</v>
      </c>
      <c r="C1167" s="320" t="s">
        <v>4269</v>
      </c>
      <c r="D1167" s="321" t="s">
        <v>6470</v>
      </c>
      <c r="E1167" s="322" t="s">
        <v>6472</v>
      </c>
    </row>
    <row r="1168" spans="1:5" ht="14.5" customHeight="1" x14ac:dyDescent="0.35">
      <c r="A1168" s="196" t="str">
        <f>"30.19"</f>
        <v>30.19</v>
      </c>
      <c r="B1168" s="196" t="s">
        <v>5760</v>
      </c>
      <c r="C1168" s="320" t="s">
        <v>4269</v>
      </c>
      <c r="D1168" s="321" t="s">
        <v>6473</v>
      </c>
      <c r="E1168" s="322" t="s">
        <v>6474</v>
      </c>
    </row>
    <row r="1169" spans="1:5" ht="14.5" customHeight="1" x14ac:dyDescent="0.35">
      <c r="A1169" s="196" t="str">
        <f>"30.1901"</f>
        <v>30.1901</v>
      </c>
      <c r="B1169" s="196" t="s">
        <v>5760</v>
      </c>
      <c r="C1169" s="320" t="s">
        <v>4269</v>
      </c>
      <c r="D1169" s="321" t="s">
        <v>6473</v>
      </c>
      <c r="E1169" s="322" t="s">
        <v>6475</v>
      </c>
    </row>
    <row r="1170" spans="1:5" ht="14.5" customHeight="1" x14ac:dyDescent="0.35">
      <c r="A1170" s="196" t="str">
        <f>"30.20"</f>
        <v>30.20</v>
      </c>
      <c r="B1170" s="196" t="s">
        <v>4265</v>
      </c>
      <c r="C1170" s="320" t="s">
        <v>4266</v>
      </c>
      <c r="D1170" s="321" t="s">
        <v>6476</v>
      </c>
      <c r="E1170" s="322" t="s">
        <v>6477</v>
      </c>
    </row>
    <row r="1171" spans="1:5" ht="14.5" customHeight="1" x14ac:dyDescent="0.35">
      <c r="A1171" s="196" t="str">
        <f>"30.2001"</f>
        <v>30.2001</v>
      </c>
      <c r="B1171" s="196" t="s">
        <v>4265</v>
      </c>
      <c r="C1171" s="320" t="s">
        <v>4266</v>
      </c>
      <c r="D1171" s="321" t="s">
        <v>6476</v>
      </c>
      <c r="E1171" s="322" t="s">
        <v>6478</v>
      </c>
    </row>
    <row r="1172" spans="1:5" ht="14.5" customHeight="1" x14ac:dyDescent="0.35">
      <c r="A1172" s="196" t="str">
        <f>"30.21"</f>
        <v>30.21</v>
      </c>
      <c r="B1172" s="196" t="s">
        <v>5760</v>
      </c>
      <c r="C1172" s="320" t="s">
        <v>4269</v>
      </c>
      <c r="D1172" s="321" t="s">
        <v>6479</v>
      </c>
      <c r="E1172" s="322" t="s">
        <v>6480</v>
      </c>
    </row>
    <row r="1173" spans="1:5" ht="14.5" customHeight="1" x14ac:dyDescent="0.35">
      <c r="A1173" s="196" t="str">
        <f>"30.2101"</f>
        <v>30.2101</v>
      </c>
      <c r="B1173" s="196" t="s">
        <v>5760</v>
      </c>
      <c r="C1173" s="320" t="s">
        <v>4269</v>
      </c>
      <c r="D1173" s="321" t="s">
        <v>6479</v>
      </c>
      <c r="E1173" s="322" t="s">
        <v>6481</v>
      </c>
    </row>
    <row r="1174" spans="1:5" ht="14.5" customHeight="1" x14ac:dyDescent="0.35">
      <c r="A1174" s="196" t="str">
        <f>"30.22"</f>
        <v>30.22</v>
      </c>
      <c r="B1174" s="196" t="s">
        <v>5760</v>
      </c>
      <c r="C1174" s="320" t="s">
        <v>4269</v>
      </c>
      <c r="D1174" s="321" t="s">
        <v>6482</v>
      </c>
      <c r="E1174" s="322" t="s">
        <v>6483</v>
      </c>
    </row>
    <row r="1175" spans="1:5" ht="14.5" customHeight="1" x14ac:dyDescent="0.35">
      <c r="A1175" s="196" t="str">
        <f>"30.2201"</f>
        <v>30.2201</v>
      </c>
      <c r="B1175" s="196" t="s">
        <v>5760</v>
      </c>
      <c r="C1175" s="320" t="s">
        <v>4269</v>
      </c>
      <c r="D1175" s="321" t="s">
        <v>6484</v>
      </c>
      <c r="E1175" s="322" t="s">
        <v>6485</v>
      </c>
    </row>
    <row r="1176" spans="1:5" ht="14.5" customHeight="1" x14ac:dyDescent="0.35">
      <c r="A1176" s="196" t="str">
        <f>"30.2202"</f>
        <v>30.2202</v>
      </c>
      <c r="B1176" s="196" t="s">
        <v>4265</v>
      </c>
      <c r="C1176" s="320" t="s">
        <v>4266</v>
      </c>
      <c r="D1176" s="321" t="s">
        <v>6486</v>
      </c>
      <c r="E1176" s="322" t="s">
        <v>6487</v>
      </c>
    </row>
    <row r="1177" spans="1:5" s="327" customFormat="1" ht="14.5" customHeight="1" x14ac:dyDescent="0.35">
      <c r="A1177" s="323" t="str">
        <f>"30.2299"</f>
        <v>30.2299</v>
      </c>
      <c r="B1177" s="323" t="s">
        <v>4297</v>
      </c>
      <c r="C1177" s="324" t="s">
        <v>4269</v>
      </c>
      <c r="D1177" s="325" t="s">
        <v>6488</v>
      </c>
      <c r="E1177" s="326" t="s">
        <v>6489</v>
      </c>
    </row>
    <row r="1178" spans="1:5" ht="14.5" customHeight="1" x14ac:dyDescent="0.35">
      <c r="A1178" s="196" t="str">
        <f>"30.23"</f>
        <v>30.23</v>
      </c>
      <c r="B1178" s="196" t="s">
        <v>5760</v>
      </c>
      <c r="C1178" s="320" t="s">
        <v>4269</v>
      </c>
      <c r="D1178" s="321" t="s">
        <v>6490</v>
      </c>
      <c r="E1178" s="322" t="s">
        <v>6491</v>
      </c>
    </row>
    <row r="1179" spans="1:5" ht="14.5" customHeight="1" x14ac:dyDescent="0.35">
      <c r="A1179" s="196" t="str">
        <f>"30.2301"</f>
        <v>30.2301</v>
      </c>
      <c r="B1179" s="196" t="s">
        <v>5760</v>
      </c>
      <c r="C1179" s="320" t="s">
        <v>4269</v>
      </c>
      <c r="D1179" s="321" t="s">
        <v>6490</v>
      </c>
      <c r="E1179" s="322" t="s">
        <v>6492</v>
      </c>
    </row>
    <row r="1180" spans="1:5" ht="14.5" customHeight="1" x14ac:dyDescent="0.35">
      <c r="A1180" s="196" t="str">
        <f>"30.25"</f>
        <v>30.25</v>
      </c>
      <c r="B1180" s="196" t="s">
        <v>5760</v>
      </c>
      <c r="C1180" s="320" t="s">
        <v>4269</v>
      </c>
      <c r="D1180" s="321" t="s">
        <v>6493</v>
      </c>
      <c r="E1180" s="322" t="s">
        <v>6494</v>
      </c>
    </row>
    <row r="1181" spans="1:5" ht="14.5" customHeight="1" x14ac:dyDescent="0.35">
      <c r="A1181" s="196" t="str">
        <f>"30.2501"</f>
        <v>30.2501</v>
      </c>
      <c r="B1181" s="196" t="s">
        <v>4265</v>
      </c>
      <c r="C1181" s="320" t="s">
        <v>4266</v>
      </c>
      <c r="D1181" s="321" t="s">
        <v>6495</v>
      </c>
      <c r="E1181" s="322" t="s">
        <v>6496</v>
      </c>
    </row>
    <row r="1182" spans="1:5" s="327" customFormat="1" ht="14.5" customHeight="1" x14ac:dyDescent="0.35">
      <c r="A1182" s="323" t="str">
        <f>"30.2502"</f>
        <v>30.2502</v>
      </c>
      <c r="B1182" s="323" t="s">
        <v>4297</v>
      </c>
      <c r="C1182" s="324" t="s">
        <v>4269</v>
      </c>
      <c r="D1182" s="325" t="s">
        <v>6497</v>
      </c>
      <c r="E1182" s="326" t="s">
        <v>6498</v>
      </c>
    </row>
    <row r="1183" spans="1:5" s="327" customFormat="1" ht="14.5" customHeight="1" x14ac:dyDescent="0.35">
      <c r="A1183" s="323" t="str">
        <f>"30.2599"</f>
        <v>30.2599</v>
      </c>
      <c r="B1183" s="323" t="s">
        <v>4297</v>
      </c>
      <c r="C1183" s="324" t="s">
        <v>4269</v>
      </c>
      <c r="D1183" s="325" t="s">
        <v>6499</v>
      </c>
      <c r="E1183" s="326" t="s">
        <v>6500</v>
      </c>
    </row>
    <row r="1184" spans="1:5" ht="14.5" customHeight="1" x14ac:dyDescent="0.35">
      <c r="A1184" s="196" t="str">
        <f>"30.26"</f>
        <v>30.26</v>
      </c>
      <c r="B1184" s="196" t="s">
        <v>5760</v>
      </c>
      <c r="C1184" s="320" t="s">
        <v>4269</v>
      </c>
      <c r="D1184" s="321" t="s">
        <v>6501</v>
      </c>
      <c r="E1184" s="322" t="s">
        <v>6502</v>
      </c>
    </row>
    <row r="1185" spans="1:5" ht="14.5" customHeight="1" x14ac:dyDescent="0.35">
      <c r="A1185" s="196" t="str">
        <f>"30.2601"</f>
        <v>30.2601</v>
      </c>
      <c r="B1185" s="196" t="s">
        <v>5760</v>
      </c>
      <c r="C1185" s="320" t="s">
        <v>4269</v>
      </c>
      <c r="D1185" s="321" t="s">
        <v>6501</v>
      </c>
      <c r="E1185" s="322" t="s">
        <v>6503</v>
      </c>
    </row>
    <row r="1186" spans="1:5" ht="14.5" customHeight="1" x14ac:dyDescent="0.35">
      <c r="A1186" s="196" t="str">
        <f>"30.27"</f>
        <v>30.27</v>
      </c>
      <c r="B1186" s="196" t="s">
        <v>5760</v>
      </c>
      <c r="C1186" s="320" t="s">
        <v>4269</v>
      </c>
      <c r="D1186" s="321" t="s">
        <v>6504</v>
      </c>
      <c r="E1186" s="322" t="s">
        <v>6505</v>
      </c>
    </row>
    <row r="1187" spans="1:5" ht="14.5" customHeight="1" x14ac:dyDescent="0.35">
      <c r="A1187" s="196" t="str">
        <f>"30.2701"</f>
        <v>30.2701</v>
      </c>
      <c r="B1187" s="196" t="s">
        <v>5760</v>
      </c>
      <c r="C1187" s="320" t="s">
        <v>4269</v>
      </c>
      <c r="D1187" s="321" t="s">
        <v>6504</v>
      </c>
      <c r="E1187" s="322" t="s">
        <v>6506</v>
      </c>
    </row>
    <row r="1188" spans="1:5" ht="14.5" customHeight="1" x14ac:dyDescent="0.35">
      <c r="A1188" s="196" t="str">
        <f>"30.28"</f>
        <v>30.28</v>
      </c>
      <c r="B1188" s="196" t="s">
        <v>5760</v>
      </c>
      <c r="C1188" s="320" t="s">
        <v>4269</v>
      </c>
      <c r="D1188" s="321" t="s">
        <v>6507</v>
      </c>
      <c r="E1188" s="322" t="s">
        <v>6508</v>
      </c>
    </row>
    <row r="1189" spans="1:5" ht="14.5" customHeight="1" x14ac:dyDescent="0.35">
      <c r="A1189" s="196" t="str">
        <f>"30.2801"</f>
        <v>30.2801</v>
      </c>
      <c r="B1189" s="196" t="s">
        <v>5760</v>
      </c>
      <c r="C1189" s="320" t="s">
        <v>4269</v>
      </c>
      <c r="D1189" s="321" t="s">
        <v>6507</v>
      </c>
      <c r="E1189" s="322" t="s">
        <v>6509</v>
      </c>
    </row>
    <row r="1190" spans="1:5" ht="14.5" customHeight="1" x14ac:dyDescent="0.35">
      <c r="A1190" s="196" t="str">
        <f>"30.29"</f>
        <v>30.29</v>
      </c>
      <c r="B1190" s="196" t="s">
        <v>5760</v>
      </c>
      <c r="C1190" s="320" t="s">
        <v>4269</v>
      </c>
      <c r="D1190" s="321" t="s">
        <v>6510</v>
      </c>
      <c r="E1190" s="322" t="s">
        <v>6511</v>
      </c>
    </row>
    <row r="1191" spans="1:5" ht="14.5" customHeight="1" x14ac:dyDescent="0.35">
      <c r="A1191" s="196" t="str">
        <f>"30.2901"</f>
        <v>30.2901</v>
      </c>
      <c r="B1191" s="196" t="s">
        <v>5760</v>
      </c>
      <c r="C1191" s="320" t="s">
        <v>4269</v>
      </c>
      <c r="D1191" s="321" t="s">
        <v>6510</v>
      </c>
      <c r="E1191" s="322" t="s">
        <v>6512</v>
      </c>
    </row>
    <row r="1192" spans="1:5" ht="14.5" customHeight="1" x14ac:dyDescent="0.35">
      <c r="A1192" s="196" t="str">
        <f>"30.30"</f>
        <v>30.30</v>
      </c>
      <c r="B1192" s="196" t="s">
        <v>5760</v>
      </c>
      <c r="C1192" s="320" t="s">
        <v>4269</v>
      </c>
      <c r="D1192" s="321" t="s">
        <v>6513</v>
      </c>
      <c r="E1192" s="322" t="s">
        <v>6514</v>
      </c>
    </row>
    <row r="1193" spans="1:5" ht="14.5" customHeight="1" x14ac:dyDescent="0.35">
      <c r="A1193" s="196" t="str">
        <f>"30.3001"</f>
        <v>30.3001</v>
      </c>
      <c r="B1193" s="196" t="s">
        <v>5760</v>
      </c>
      <c r="C1193" s="320" t="s">
        <v>4269</v>
      </c>
      <c r="D1193" s="321" t="s">
        <v>6513</v>
      </c>
      <c r="E1193" s="322" t="s">
        <v>6515</v>
      </c>
    </row>
    <row r="1194" spans="1:5" ht="14.5" customHeight="1" x14ac:dyDescent="0.35">
      <c r="A1194" s="196" t="str">
        <f>"30.31"</f>
        <v>30.31</v>
      </c>
      <c r="B1194" s="196" t="s">
        <v>5760</v>
      </c>
      <c r="C1194" s="320" t="s">
        <v>4269</v>
      </c>
      <c r="D1194" s="321" t="s">
        <v>6516</v>
      </c>
      <c r="E1194" s="322" t="s">
        <v>6517</v>
      </c>
    </row>
    <row r="1195" spans="1:5" ht="14.5" customHeight="1" x14ac:dyDescent="0.35">
      <c r="A1195" s="196" t="str">
        <f>"30.3101"</f>
        <v>30.3101</v>
      </c>
      <c r="B1195" s="196" t="s">
        <v>4265</v>
      </c>
      <c r="C1195" s="320" t="s">
        <v>4266</v>
      </c>
      <c r="D1195" s="321" t="s">
        <v>6516</v>
      </c>
      <c r="E1195" s="322" t="s">
        <v>6518</v>
      </c>
    </row>
    <row r="1196" spans="1:5" ht="14.5" customHeight="1" x14ac:dyDescent="0.35">
      <c r="A1196" s="196" t="str">
        <f>"30.32"</f>
        <v>30.32</v>
      </c>
      <c r="B1196" s="196" t="s">
        <v>5760</v>
      </c>
      <c r="C1196" s="320" t="s">
        <v>4269</v>
      </c>
      <c r="D1196" s="321" t="s">
        <v>6519</v>
      </c>
      <c r="E1196" s="322" t="s">
        <v>6520</v>
      </c>
    </row>
    <row r="1197" spans="1:5" ht="14.5" customHeight="1" x14ac:dyDescent="0.35">
      <c r="A1197" s="196" t="str">
        <f>"30.3201"</f>
        <v>30.3201</v>
      </c>
      <c r="B1197" s="196" t="s">
        <v>5760</v>
      </c>
      <c r="C1197" s="320" t="s">
        <v>4269</v>
      </c>
      <c r="D1197" s="321" t="s">
        <v>6519</v>
      </c>
      <c r="E1197" s="322" t="s">
        <v>6521</v>
      </c>
    </row>
    <row r="1198" spans="1:5" ht="14.5" customHeight="1" x14ac:dyDescent="0.35">
      <c r="A1198" s="196" t="str">
        <f>"30.33"</f>
        <v>30.33</v>
      </c>
      <c r="B1198" s="196" t="s">
        <v>5760</v>
      </c>
      <c r="C1198" s="320" t="s">
        <v>4269</v>
      </c>
      <c r="D1198" s="321" t="s">
        <v>6522</v>
      </c>
      <c r="E1198" s="322" t="s">
        <v>6523</v>
      </c>
    </row>
    <row r="1199" spans="1:5" ht="14.5" customHeight="1" x14ac:dyDescent="0.35">
      <c r="A1199" s="196" t="str">
        <f>"30.3301"</f>
        <v>30.3301</v>
      </c>
      <c r="B1199" s="196" t="s">
        <v>5760</v>
      </c>
      <c r="C1199" s="320" t="s">
        <v>4269</v>
      </c>
      <c r="D1199" s="321" t="s">
        <v>6522</v>
      </c>
      <c r="E1199" s="322" t="s">
        <v>6524</v>
      </c>
    </row>
    <row r="1200" spans="1:5" s="327" customFormat="1" ht="14.5" customHeight="1" x14ac:dyDescent="0.35">
      <c r="A1200" s="323" t="str">
        <f>"30.34"</f>
        <v>30.34</v>
      </c>
      <c r="B1200" s="323" t="s">
        <v>4297</v>
      </c>
      <c r="C1200" s="324" t="s">
        <v>4269</v>
      </c>
      <c r="D1200" s="325" t="s">
        <v>6525</v>
      </c>
      <c r="E1200" s="326" t="s">
        <v>6526</v>
      </c>
    </row>
    <row r="1201" spans="1:5" s="327" customFormat="1" ht="14.5" customHeight="1" x14ac:dyDescent="0.35">
      <c r="A1201" s="323" t="str">
        <f>"30.3401"</f>
        <v>30.3401</v>
      </c>
      <c r="B1201" s="323" t="s">
        <v>4297</v>
      </c>
      <c r="C1201" s="324" t="s">
        <v>4269</v>
      </c>
      <c r="D1201" s="325" t="s">
        <v>6525</v>
      </c>
      <c r="E1201" s="326" t="s">
        <v>6527</v>
      </c>
    </row>
    <row r="1202" spans="1:5" s="327" customFormat="1" ht="14.5" customHeight="1" x14ac:dyDescent="0.35">
      <c r="A1202" s="323" t="str">
        <f>"30.35"</f>
        <v>30.35</v>
      </c>
      <c r="B1202" s="323" t="s">
        <v>4297</v>
      </c>
      <c r="C1202" s="324" t="s">
        <v>4269</v>
      </c>
      <c r="D1202" s="325" t="s">
        <v>6528</v>
      </c>
      <c r="E1202" s="326" t="s">
        <v>6529</v>
      </c>
    </row>
    <row r="1203" spans="1:5" s="327" customFormat="1" ht="14.5" customHeight="1" x14ac:dyDescent="0.35">
      <c r="A1203" s="323" t="str">
        <f>"30.3501"</f>
        <v>30.3501</v>
      </c>
      <c r="B1203" s="323" t="s">
        <v>4297</v>
      </c>
      <c r="C1203" s="324" t="s">
        <v>4269</v>
      </c>
      <c r="D1203" s="325" t="s">
        <v>6528</v>
      </c>
      <c r="E1203" s="326" t="s">
        <v>6530</v>
      </c>
    </row>
    <row r="1204" spans="1:5" s="327" customFormat="1" ht="14.5" customHeight="1" x14ac:dyDescent="0.35">
      <c r="A1204" s="323" t="str">
        <f>"30.36"</f>
        <v>30.36</v>
      </c>
      <c r="B1204" s="323" t="s">
        <v>4297</v>
      </c>
      <c r="C1204" s="324" t="s">
        <v>4269</v>
      </c>
      <c r="D1204" s="325" t="s">
        <v>6531</v>
      </c>
      <c r="E1204" s="326" t="s">
        <v>6532</v>
      </c>
    </row>
    <row r="1205" spans="1:5" s="327" customFormat="1" ht="14.5" customHeight="1" x14ac:dyDescent="0.35">
      <c r="A1205" s="323" t="str">
        <f>"30.3601"</f>
        <v>30.3601</v>
      </c>
      <c r="B1205" s="323" t="s">
        <v>4297</v>
      </c>
      <c r="C1205" s="324" t="s">
        <v>4269</v>
      </c>
      <c r="D1205" s="325" t="s">
        <v>6531</v>
      </c>
      <c r="E1205" s="326" t="s">
        <v>6533</v>
      </c>
    </row>
    <row r="1206" spans="1:5" s="327" customFormat="1" ht="14.5" customHeight="1" x14ac:dyDescent="0.35">
      <c r="A1206" s="323" t="str">
        <f>"30.37"</f>
        <v>30.37</v>
      </c>
      <c r="B1206" s="323" t="s">
        <v>4297</v>
      </c>
      <c r="C1206" s="324" t="s">
        <v>4269</v>
      </c>
      <c r="D1206" s="325" t="s">
        <v>6534</v>
      </c>
      <c r="E1206" s="326" t="s">
        <v>6535</v>
      </c>
    </row>
    <row r="1207" spans="1:5" s="327" customFormat="1" ht="14.5" customHeight="1" x14ac:dyDescent="0.35">
      <c r="A1207" s="323" t="str">
        <f>"30.3701"</f>
        <v>30.3701</v>
      </c>
      <c r="B1207" s="323" t="s">
        <v>4297</v>
      </c>
      <c r="C1207" s="324" t="s">
        <v>4269</v>
      </c>
      <c r="D1207" s="325" t="s">
        <v>6534</v>
      </c>
      <c r="E1207" s="326" t="s">
        <v>6536</v>
      </c>
    </row>
    <row r="1208" spans="1:5" s="327" customFormat="1" ht="14.5" customHeight="1" x14ac:dyDescent="0.35">
      <c r="A1208" s="323" t="str">
        <f>"30.38"</f>
        <v>30.38</v>
      </c>
      <c r="B1208" s="323" t="s">
        <v>4297</v>
      </c>
      <c r="C1208" s="324" t="s">
        <v>4269</v>
      </c>
      <c r="D1208" s="325" t="s">
        <v>6537</v>
      </c>
      <c r="E1208" s="326" t="s">
        <v>6538</v>
      </c>
    </row>
    <row r="1209" spans="1:5" s="327" customFormat="1" ht="14.5" customHeight="1" x14ac:dyDescent="0.35">
      <c r="A1209" s="323" t="str">
        <f>"30.3801"</f>
        <v>30.3801</v>
      </c>
      <c r="B1209" s="323" t="s">
        <v>4297</v>
      </c>
      <c r="C1209" s="324" t="s">
        <v>4269</v>
      </c>
      <c r="D1209" s="325" t="s">
        <v>6537</v>
      </c>
      <c r="E1209" s="326" t="s">
        <v>6539</v>
      </c>
    </row>
    <row r="1210" spans="1:5" s="327" customFormat="1" ht="14.5" customHeight="1" x14ac:dyDescent="0.35">
      <c r="A1210" s="323" t="str">
        <f>"30.39"</f>
        <v>30.39</v>
      </c>
      <c r="B1210" s="323" t="s">
        <v>4297</v>
      </c>
      <c r="C1210" s="324" t="s">
        <v>4269</v>
      </c>
      <c r="D1210" s="325" t="s">
        <v>6540</v>
      </c>
      <c r="E1210" s="326" t="s">
        <v>6541</v>
      </c>
    </row>
    <row r="1211" spans="1:5" s="327" customFormat="1" ht="14.5" customHeight="1" x14ac:dyDescent="0.35">
      <c r="A1211" s="323" t="str">
        <f>"30.3901"</f>
        <v>30.3901</v>
      </c>
      <c r="B1211" s="323" t="s">
        <v>4297</v>
      </c>
      <c r="C1211" s="324" t="s">
        <v>4269</v>
      </c>
      <c r="D1211" s="325" t="s">
        <v>6540</v>
      </c>
      <c r="E1211" s="326" t="s">
        <v>6542</v>
      </c>
    </row>
    <row r="1212" spans="1:5" s="327" customFormat="1" ht="14.5" customHeight="1" x14ac:dyDescent="0.35">
      <c r="A1212" s="323" t="str">
        <f>"30.40"</f>
        <v>30.40</v>
      </c>
      <c r="B1212" s="323" t="s">
        <v>4297</v>
      </c>
      <c r="C1212" s="324" t="s">
        <v>4269</v>
      </c>
      <c r="D1212" s="325" t="s">
        <v>6543</v>
      </c>
      <c r="E1212" s="326" t="s">
        <v>6544</v>
      </c>
    </row>
    <row r="1213" spans="1:5" s="327" customFormat="1" ht="14.5" customHeight="1" x14ac:dyDescent="0.35">
      <c r="A1213" s="323" t="str">
        <f>"30.4001"</f>
        <v>30.4001</v>
      </c>
      <c r="B1213" s="323" t="s">
        <v>4297</v>
      </c>
      <c r="C1213" s="324" t="s">
        <v>4269</v>
      </c>
      <c r="D1213" s="325" t="s">
        <v>6543</v>
      </c>
      <c r="E1213" s="326" t="s">
        <v>6545</v>
      </c>
    </row>
    <row r="1214" spans="1:5" s="327" customFormat="1" ht="14.5" customHeight="1" x14ac:dyDescent="0.35">
      <c r="A1214" s="323" t="str">
        <f>"30.41"</f>
        <v>30.41</v>
      </c>
      <c r="B1214" s="323" t="s">
        <v>4297</v>
      </c>
      <c r="C1214" s="324" t="s">
        <v>4269</v>
      </c>
      <c r="D1214" s="325" t="s">
        <v>6546</v>
      </c>
      <c r="E1214" s="326" t="s">
        <v>6547</v>
      </c>
    </row>
    <row r="1215" spans="1:5" s="327" customFormat="1" ht="14.5" customHeight="1" x14ac:dyDescent="0.35">
      <c r="A1215" s="323" t="str">
        <f>"30.4101"</f>
        <v>30.4101</v>
      </c>
      <c r="B1215" s="323" t="s">
        <v>4297</v>
      </c>
      <c r="C1215" s="324" t="s">
        <v>4269</v>
      </c>
      <c r="D1215" s="325" t="s">
        <v>6546</v>
      </c>
      <c r="E1215" s="326" t="s">
        <v>6548</v>
      </c>
    </row>
    <row r="1216" spans="1:5" s="327" customFormat="1" ht="14.5" customHeight="1" x14ac:dyDescent="0.35">
      <c r="A1216" s="323" t="str">
        <f>"30.42"</f>
        <v>30.42</v>
      </c>
      <c r="B1216" s="323" t="s">
        <v>4297</v>
      </c>
      <c r="C1216" s="324" t="s">
        <v>4269</v>
      </c>
      <c r="D1216" s="325" t="s">
        <v>6549</v>
      </c>
      <c r="E1216" s="326" t="s">
        <v>6550</v>
      </c>
    </row>
    <row r="1217" spans="1:5" s="327" customFormat="1" ht="14.5" customHeight="1" x14ac:dyDescent="0.35">
      <c r="A1217" s="323" t="str">
        <f>"30.4201"</f>
        <v>30.4201</v>
      </c>
      <c r="B1217" s="323" t="s">
        <v>4297</v>
      </c>
      <c r="C1217" s="324" t="s">
        <v>4269</v>
      </c>
      <c r="D1217" s="325" t="s">
        <v>6549</v>
      </c>
      <c r="E1217" s="326" t="s">
        <v>6551</v>
      </c>
    </row>
    <row r="1218" spans="1:5" s="327" customFormat="1" ht="14.5" customHeight="1" x14ac:dyDescent="0.35">
      <c r="A1218" s="323" t="str">
        <f>"30.43"</f>
        <v>30.43</v>
      </c>
      <c r="B1218" s="323" t="s">
        <v>4297</v>
      </c>
      <c r="C1218" s="324" t="s">
        <v>4269</v>
      </c>
      <c r="D1218" s="325" t="s">
        <v>6552</v>
      </c>
      <c r="E1218" s="326" t="s">
        <v>6553</v>
      </c>
    </row>
    <row r="1219" spans="1:5" s="327" customFormat="1" ht="14.5" customHeight="1" x14ac:dyDescent="0.35">
      <c r="A1219" s="323" t="str">
        <f>"30.4301"</f>
        <v>30.4301</v>
      </c>
      <c r="B1219" s="323" t="s">
        <v>4297</v>
      </c>
      <c r="C1219" s="324" t="s">
        <v>4269</v>
      </c>
      <c r="D1219" s="325" t="s">
        <v>6552</v>
      </c>
      <c r="E1219" s="326" t="s">
        <v>6554</v>
      </c>
    </row>
    <row r="1220" spans="1:5" s="327" customFormat="1" ht="14.5" customHeight="1" x14ac:dyDescent="0.35">
      <c r="A1220" s="323" t="str">
        <f>"30.44"</f>
        <v>30.44</v>
      </c>
      <c r="B1220" s="323" t="s">
        <v>4297</v>
      </c>
      <c r="C1220" s="324" t="s">
        <v>4269</v>
      </c>
      <c r="D1220" s="325" t="s">
        <v>6555</v>
      </c>
      <c r="E1220" s="326" t="s">
        <v>6556</v>
      </c>
    </row>
    <row r="1221" spans="1:5" s="327" customFormat="1" ht="14.5" customHeight="1" x14ac:dyDescent="0.35">
      <c r="A1221" s="323" t="str">
        <f>"30.4401"</f>
        <v>30.4401</v>
      </c>
      <c r="B1221" s="323" t="s">
        <v>4297</v>
      </c>
      <c r="C1221" s="324" t="s">
        <v>4269</v>
      </c>
      <c r="D1221" s="325" t="s">
        <v>6555</v>
      </c>
      <c r="E1221" s="326" t="s">
        <v>6557</v>
      </c>
    </row>
    <row r="1222" spans="1:5" s="327" customFormat="1" ht="14.5" customHeight="1" x14ac:dyDescent="0.35">
      <c r="A1222" s="323" t="str">
        <f>"30.45"</f>
        <v>30.45</v>
      </c>
      <c r="B1222" s="323" t="s">
        <v>4297</v>
      </c>
      <c r="C1222" s="324" t="s">
        <v>4269</v>
      </c>
      <c r="D1222" s="325" t="s">
        <v>6558</v>
      </c>
      <c r="E1222" s="326" t="s">
        <v>6559</v>
      </c>
    </row>
    <row r="1223" spans="1:5" s="327" customFormat="1" ht="14.5" customHeight="1" x14ac:dyDescent="0.35">
      <c r="A1223" s="323" t="str">
        <f>"30.4501"</f>
        <v>30.4501</v>
      </c>
      <c r="B1223" s="323" t="s">
        <v>4297</v>
      </c>
      <c r="C1223" s="324" t="s">
        <v>4269</v>
      </c>
      <c r="D1223" s="325" t="s">
        <v>6558</v>
      </c>
      <c r="E1223" s="326" t="s">
        <v>6560</v>
      </c>
    </row>
    <row r="1224" spans="1:5" s="327" customFormat="1" ht="14.5" customHeight="1" x14ac:dyDescent="0.35">
      <c r="A1224" s="323" t="str">
        <f>"30.46"</f>
        <v>30.46</v>
      </c>
      <c r="B1224" s="323" t="s">
        <v>4297</v>
      </c>
      <c r="C1224" s="324" t="s">
        <v>4269</v>
      </c>
      <c r="D1224" s="325" t="s">
        <v>6561</v>
      </c>
      <c r="E1224" s="326" t="s">
        <v>6562</v>
      </c>
    </row>
    <row r="1225" spans="1:5" s="327" customFormat="1" ht="14.5" customHeight="1" x14ac:dyDescent="0.35">
      <c r="A1225" s="323" t="str">
        <f>"30.4601"</f>
        <v>30.4601</v>
      </c>
      <c r="B1225" s="323" t="s">
        <v>4297</v>
      </c>
      <c r="C1225" s="324" t="s">
        <v>4269</v>
      </c>
      <c r="D1225" s="325" t="s">
        <v>6561</v>
      </c>
      <c r="E1225" s="326" t="s">
        <v>6563</v>
      </c>
    </row>
    <row r="1226" spans="1:5" s="327" customFormat="1" ht="14.5" customHeight="1" x14ac:dyDescent="0.35">
      <c r="A1226" s="323" t="str">
        <f>"30.47"</f>
        <v>30.47</v>
      </c>
      <c r="B1226" s="323" t="s">
        <v>4297</v>
      </c>
      <c r="C1226" s="324" t="s">
        <v>4269</v>
      </c>
      <c r="D1226" s="325" t="s">
        <v>6564</v>
      </c>
      <c r="E1226" s="326" t="s">
        <v>6565</v>
      </c>
    </row>
    <row r="1227" spans="1:5" s="327" customFormat="1" ht="14.5" customHeight="1" x14ac:dyDescent="0.35">
      <c r="A1227" s="323" t="str">
        <f>"30.4701"</f>
        <v>30.4701</v>
      </c>
      <c r="B1227" s="323" t="s">
        <v>4297</v>
      </c>
      <c r="C1227" s="324" t="s">
        <v>4269</v>
      </c>
      <c r="D1227" s="325" t="s">
        <v>6564</v>
      </c>
      <c r="E1227" s="326" t="s">
        <v>6566</v>
      </c>
    </row>
    <row r="1228" spans="1:5" s="327" customFormat="1" ht="14.5" customHeight="1" x14ac:dyDescent="0.35">
      <c r="A1228" s="323" t="str">
        <f>"30.48"</f>
        <v>30.48</v>
      </c>
      <c r="B1228" s="323" t="s">
        <v>4297</v>
      </c>
      <c r="C1228" s="324" t="s">
        <v>4269</v>
      </c>
      <c r="D1228" s="325" t="s">
        <v>6567</v>
      </c>
      <c r="E1228" s="326" t="s">
        <v>6568</v>
      </c>
    </row>
    <row r="1229" spans="1:5" s="327" customFormat="1" ht="14.5" customHeight="1" x14ac:dyDescent="0.35">
      <c r="A1229" s="323" t="str">
        <f>"30.4801"</f>
        <v>30.4801</v>
      </c>
      <c r="B1229" s="323" t="s">
        <v>4297</v>
      </c>
      <c r="C1229" s="324" t="s">
        <v>4269</v>
      </c>
      <c r="D1229" s="325" t="s">
        <v>6567</v>
      </c>
      <c r="E1229" s="326" t="s">
        <v>6569</v>
      </c>
    </row>
    <row r="1230" spans="1:5" s="327" customFormat="1" ht="14.5" customHeight="1" x14ac:dyDescent="0.35">
      <c r="A1230" s="323" t="str">
        <f>"30.49"</f>
        <v>30.49</v>
      </c>
      <c r="B1230" s="323" t="s">
        <v>4297</v>
      </c>
      <c r="C1230" s="324" t="s">
        <v>4269</v>
      </c>
      <c r="D1230" s="325" t="s">
        <v>6570</v>
      </c>
      <c r="E1230" s="326" t="s">
        <v>6571</v>
      </c>
    </row>
    <row r="1231" spans="1:5" s="327" customFormat="1" ht="14.5" customHeight="1" x14ac:dyDescent="0.35">
      <c r="A1231" s="323" t="str">
        <f>"30.4901"</f>
        <v>30.4901</v>
      </c>
      <c r="B1231" s="323" t="s">
        <v>4297</v>
      </c>
      <c r="C1231" s="324" t="s">
        <v>4269</v>
      </c>
      <c r="D1231" s="325" t="s">
        <v>6570</v>
      </c>
      <c r="E1231" s="326" t="s">
        <v>6572</v>
      </c>
    </row>
    <row r="1232" spans="1:5" s="327" customFormat="1" ht="14.5" customHeight="1" x14ac:dyDescent="0.35">
      <c r="A1232" s="323" t="str">
        <f>"30.50"</f>
        <v>30.50</v>
      </c>
      <c r="B1232" s="323" t="s">
        <v>4297</v>
      </c>
      <c r="C1232" s="324" t="s">
        <v>4269</v>
      </c>
      <c r="D1232" s="325" t="s">
        <v>6573</v>
      </c>
      <c r="E1232" s="326" t="s">
        <v>6574</v>
      </c>
    </row>
    <row r="1233" spans="1:5" s="327" customFormat="1" ht="14.5" customHeight="1" x14ac:dyDescent="0.35">
      <c r="A1233" s="323" t="str">
        <f>"30.5001"</f>
        <v>30.5001</v>
      </c>
      <c r="B1233" s="323" t="s">
        <v>4297</v>
      </c>
      <c r="C1233" s="324" t="s">
        <v>4269</v>
      </c>
      <c r="D1233" s="325" t="s">
        <v>6573</v>
      </c>
      <c r="E1233" s="326" t="s">
        <v>6575</v>
      </c>
    </row>
    <row r="1234" spans="1:5" s="327" customFormat="1" ht="14.5" customHeight="1" x14ac:dyDescent="0.35">
      <c r="A1234" s="323" t="str">
        <f>"30.51"</f>
        <v>30.51</v>
      </c>
      <c r="B1234" s="323" t="s">
        <v>4297</v>
      </c>
      <c r="C1234" s="324" t="s">
        <v>4269</v>
      </c>
      <c r="D1234" s="325" t="s">
        <v>6576</v>
      </c>
      <c r="E1234" s="326" t="s">
        <v>6577</v>
      </c>
    </row>
    <row r="1235" spans="1:5" s="327" customFormat="1" ht="14.5" customHeight="1" x14ac:dyDescent="0.35">
      <c r="A1235" s="323" t="str">
        <f>"30.5101"</f>
        <v>30.5101</v>
      </c>
      <c r="B1235" s="323" t="s">
        <v>4297</v>
      </c>
      <c r="C1235" s="324" t="s">
        <v>4269</v>
      </c>
      <c r="D1235" s="325" t="s">
        <v>6576</v>
      </c>
      <c r="E1235" s="326" t="s">
        <v>6578</v>
      </c>
    </row>
    <row r="1236" spans="1:5" s="327" customFormat="1" ht="14.5" customHeight="1" x14ac:dyDescent="0.35">
      <c r="A1236" s="323" t="str">
        <f>"30.52"</f>
        <v>30.52</v>
      </c>
      <c r="B1236" s="323" t="s">
        <v>4297</v>
      </c>
      <c r="C1236" s="324" t="s">
        <v>4269</v>
      </c>
      <c r="D1236" s="325" t="s">
        <v>6579</v>
      </c>
      <c r="E1236" s="326" t="s">
        <v>6580</v>
      </c>
    </row>
    <row r="1237" spans="1:5" s="327" customFormat="1" ht="14.5" customHeight="1" x14ac:dyDescent="0.35">
      <c r="A1237" s="323" t="str">
        <f>"30.5201"</f>
        <v>30.5201</v>
      </c>
      <c r="B1237" s="323" t="s">
        <v>4297</v>
      </c>
      <c r="C1237" s="324" t="s">
        <v>4269</v>
      </c>
      <c r="D1237" s="325" t="s">
        <v>6581</v>
      </c>
      <c r="E1237" s="326" t="s">
        <v>6582</v>
      </c>
    </row>
    <row r="1238" spans="1:5" s="327" customFormat="1" ht="14.5" customHeight="1" x14ac:dyDescent="0.35">
      <c r="A1238" s="323" t="str">
        <f>"30.5202"</f>
        <v>30.5202</v>
      </c>
      <c r="B1238" s="323" t="s">
        <v>4297</v>
      </c>
      <c r="C1238" s="324" t="s">
        <v>4269</v>
      </c>
      <c r="D1238" s="325" t="s">
        <v>6583</v>
      </c>
      <c r="E1238" s="326" t="s">
        <v>6584</v>
      </c>
    </row>
    <row r="1239" spans="1:5" s="327" customFormat="1" ht="14.5" customHeight="1" x14ac:dyDescent="0.35">
      <c r="A1239" s="323" t="str">
        <f>"30.5203"</f>
        <v>30.5203</v>
      </c>
      <c r="B1239" s="323" t="s">
        <v>4297</v>
      </c>
      <c r="C1239" s="324" t="s">
        <v>4269</v>
      </c>
      <c r="D1239" s="325" t="s">
        <v>6585</v>
      </c>
      <c r="E1239" s="326" t="s">
        <v>6586</v>
      </c>
    </row>
    <row r="1240" spans="1:5" s="327" customFormat="1" ht="14.5" customHeight="1" x14ac:dyDescent="0.35">
      <c r="A1240" s="323" t="str">
        <f>"30.5299"</f>
        <v>30.5299</v>
      </c>
      <c r="B1240" s="323" t="s">
        <v>4297</v>
      </c>
      <c r="C1240" s="324" t="s">
        <v>4269</v>
      </c>
      <c r="D1240" s="325" t="s">
        <v>6587</v>
      </c>
      <c r="E1240" s="326" t="s">
        <v>6588</v>
      </c>
    </row>
    <row r="1241" spans="1:5" s="327" customFormat="1" ht="14.5" customHeight="1" x14ac:dyDescent="0.35">
      <c r="A1241" s="323" t="str">
        <f>"30.53"</f>
        <v>30.53</v>
      </c>
      <c r="B1241" s="323" t="s">
        <v>4297</v>
      </c>
      <c r="C1241" s="324" t="s">
        <v>4269</v>
      </c>
      <c r="D1241" s="325" t="s">
        <v>6589</v>
      </c>
      <c r="E1241" s="326" t="s">
        <v>6590</v>
      </c>
    </row>
    <row r="1242" spans="1:5" s="327" customFormat="1" ht="14.5" customHeight="1" x14ac:dyDescent="0.35">
      <c r="A1242" s="323" t="str">
        <f>"30.5301"</f>
        <v>30.5301</v>
      </c>
      <c r="B1242" s="323" t="s">
        <v>4297</v>
      </c>
      <c r="C1242" s="324" t="s">
        <v>4269</v>
      </c>
      <c r="D1242" s="325" t="s">
        <v>6589</v>
      </c>
      <c r="E1242" s="326" t="s">
        <v>6591</v>
      </c>
    </row>
    <row r="1243" spans="1:5" s="327" customFormat="1" ht="14.5" customHeight="1" x14ac:dyDescent="0.35">
      <c r="A1243" s="323" t="str">
        <f>"30.70"</f>
        <v>30.70</v>
      </c>
      <c r="B1243" s="323" t="s">
        <v>4297</v>
      </c>
      <c r="C1243" s="324" t="s">
        <v>4269</v>
      </c>
      <c r="D1243" s="325" t="s">
        <v>6592</v>
      </c>
      <c r="E1243" s="326" t="s">
        <v>6593</v>
      </c>
    </row>
    <row r="1244" spans="1:5" s="327" customFormat="1" ht="14.5" customHeight="1" x14ac:dyDescent="0.35">
      <c r="A1244" s="323" t="str">
        <f>"30.7001"</f>
        <v>30.7001</v>
      </c>
      <c r="B1244" s="323" t="s">
        <v>4297</v>
      </c>
      <c r="C1244" s="324" t="s">
        <v>4269</v>
      </c>
      <c r="D1244" s="325" t="s">
        <v>6594</v>
      </c>
      <c r="E1244" s="326" t="s">
        <v>6595</v>
      </c>
    </row>
    <row r="1245" spans="1:5" s="327" customFormat="1" ht="14.5" customHeight="1" x14ac:dyDescent="0.35">
      <c r="A1245" s="323" t="str">
        <f>"30.7099"</f>
        <v>30.7099</v>
      </c>
      <c r="B1245" s="323" t="s">
        <v>4297</v>
      </c>
      <c r="C1245" s="324" t="s">
        <v>4269</v>
      </c>
      <c r="D1245" s="325" t="s">
        <v>6596</v>
      </c>
      <c r="E1245" s="326" t="s">
        <v>6597</v>
      </c>
    </row>
    <row r="1246" spans="1:5" s="327" customFormat="1" ht="14.5" customHeight="1" x14ac:dyDescent="0.35">
      <c r="A1246" s="323" t="str">
        <f>"30.71"</f>
        <v>30.71</v>
      </c>
      <c r="B1246" s="323" t="s">
        <v>4297</v>
      </c>
      <c r="C1246" s="324" t="s">
        <v>4269</v>
      </c>
      <c r="D1246" s="325" t="s">
        <v>6598</v>
      </c>
      <c r="E1246" s="326" t="s">
        <v>6599</v>
      </c>
    </row>
    <row r="1247" spans="1:5" s="327" customFormat="1" ht="14.5" customHeight="1" x14ac:dyDescent="0.35">
      <c r="A1247" s="323" t="str">
        <f>"30.7101"</f>
        <v>30.7101</v>
      </c>
      <c r="B1247" s="323" t="s">
        <v>4297</v>
      </c>
      <c r="C1247" s="324" t="s">
        <v>4269</v>
      </c>
      <c r="D1247" s="325" t="s">
        <v>6600</v>
      </c>
      <c r="E1247" s="326" t="s">
        <v>6601</v>
      </c>
    </row>
    <row r="1248" spans="1:5" s="327" customFormat="1" ht="14.5" customHeight="1" x14ac:dyDescent="0.35">
      <c r="A1248" s="323" t="str">
        <f>"30.7102"</f>
        <v>30.7102</v>
      </c>
      <c r="B1248" s="323" t="s">
        <v>4297</v>
      </c>
      <c r="C1248" s="324" t="s">
        <v>4269</v>
      </c>
      <c r="D1248" s="325" t="s">
        <v>6602</v>
      </c>
      <c r="E1248" s="326" t="s">
        <v>6603</v>
      </c>
    </row>
    <row r="1249" spans="1:5" s="327" customFormat="1" ht="14.5" customHeight="1" x14ac:dyDescent="0.35">
      <c r="A1249" s="323" t="str">
        <f>"30.7103"</f>
        <v>30.7103</v>
      </c>
      <c r="B1249" s="323" t="s">
        <v>4297</v>
      </c>
      <c r="C1249" s="324" t="s">
        <v>4269</v>
      </c>
      <c r="D1249" s="325" t="s">
        <v>6604</v>
      </c>
      <c r="E1249" s="326" t="s">
        <v>6605</v>
      </c>
    </row>
    <row r="1250" spans="1:5" s="327" customFormat="1" ht="14.5" customHeight="1" x14ac:dyDescent="0.35">
      <c r="A1250" s="323" t="str">
        <f>"30.7104"</f>
        <v>30.7104</v>
      </c>
      <c r="B1250" s="323" t="s">
        <v>4297</v>
      </c>
      <c r="C1250" s="324" t="s">
        <v>4269</v>
      </c>
      <c r="D1250" s="325" t="s">
        <v>6606</v>
      </c>
      <c r="E1250" s="326" t="s">
        <v>6607</v>
      </c>
    </row>
    <row r="1251" spans="1:5" s="327" customFormat="1" ht="14.5" customHeight="1" x14ac:dyDescent="0.35">
      <c r="A1251" s="323" t="str">
        <f>"30.7199"</f>
        <v>30.7199</v>
      </c>
      <c r="B1251" s="323" t="s">
        <v>4297</v>
      </c>
      <c r="C1251" s="324" t="s">
        <v>4269</v>
      </c>
      <c r="D1251" s="325" t="s">
        <v>6608</v>
      </c>
      <c r="E1251" s="326" t="s">
        <v>6609</v>
      </c>
    </row>
    <row r="1252" spans="1:5" ht="14.5" customHeight="1" x14ac:dyDescent="0.35">
      <c r="A1252" s="196" t="str">
        <f>"30.99"</f>
        <v>30.99</v>
      </c>
      <c r="B1252" s="196" t="s">
        <v>5760</v>
      </c>
      <c r="C1252" s="320" t="s">
        <v>4269</v>
      </c>
      <c r="D1252" s="321" t="s">
        <v>6610</v>
      </c>
      <c r="E1252" s="322" t="s">
        <v>6611</v>
      </c>
    </row>
    <row r="1253" spans="1:5" ht="14.5" customHeight="1" x14ac:dyDescent="0.35">
      <c r="A1253" s="196" t="str">
        <f>"30.9999"</f>
        <v>30.9999</v>
      </c>
      <c r="B1253" s="196" t="s">
        <v>5760</v>
      </c>
      <c r="C1253" s="320" t="s">
        <v>4269</v>
      </c>
      <c r="D1253" s="321" t="s">
        <v>6612</v>
      </c>
      <c r="E1253" s="322" t="s">
        <v>6613</v>
      </c>
    </row>
    <row r="1254" spans="1:5" ht="14.5" customHeight="1" x14ac:dyDescent="0.35">
      <c r="A1254" s="196" t="str">
        <f>"31"</f>
        <v>31</v>
      </c>
      <c r="B1254" s="196" t="s">
        <v>4265</v>
      </c>
      <c r="C1254" s="320" t="s">
        <v>4266</v>
      </c>
      <c r="D1254" s="321" t="s">
        <v>6614</v>
      </c>
      <c r="E1254" s="322" t="s">
        <v>6615</v>
      </c>
    </row>
    <row r="1255" spans="1:5" ht="14.5" customHeight="1" x14ac:dyDescent="0.35">
      <c r="A1255" s="196" t="str">
        <f>"31.01"</f>
        <v>31.01</v>
      </c>
      <c r="B1255" s="196" t="s">
        <v>5760</v>
      </c>
      <c r="C1255" s="320" t="s">
        <v>4269</v>
      </c>
      <c r="D1255" s="321" t="s">
        <v>6616</v>
      </c>
      <c r="E1255" s="322" t="s">
        <v>6617</v>
      </c>
    </row>
    <row r="1256" spans="1:5" ht="14.5" customHeight="1" x14ac:dyDescent="0.35">
      <c r="A1256" s="196" t="str">
        <f>"31.0101"</f>
        <v>31.0101</v>
      </c>
      <c r="B1256" s="196" t="s">
        <v>5760</v>
      </c>
      <c r="C1256" s="320" t="s">
        <v>4269</v>
      </c>
      <c r="D1256" s="321" t="s">
        <v>6616</v>
      </c>
      <c r="E1256" s="322" t="s">
        <v>6618</v>
      </c>
    </row>
    <row r="1257" spans="1:5" ht="14.5" customHeight="1" x14ac:dyDescent="0.35">
      <c r="A1257" s="196" t="str">
        <f>"31.03"</f>
        <v>31.03</v>
      </c>
      <c r="B1257" s="196" t="s">
        <v>5760</v>
      </c>
      <c r="C1257" s="320" t="s">
        <v>4269</v>
      </c>
      <c r="D1257" s="321" t="s">
        <v>6619</v>
      </c>
      <c r="E1257" s="322" t="s">
        <v>6620</v>
      </c>
    </row>
    <row r="1258" spans="1:5" ht="14.5" customHeight="1" x14ac:dyDescent="0.35">
      <c r="A1258" s="196" t="str">
        <f>"31.0301"</f>
        <v>31.0301</v>
      </c>
      <c r="B1258" s="196" t="s">
        <v>5760</v>
      </c>
      <c r="C1258" s="320" t="s">
        <v>4269</v>
      </c>
      <c r="D1258" s="321" t="s">
        <v>6621</v>
      </c>
      <c r="E1258" s="322" t="s">
        <v>6622</v>
      </c>
    </row>
    <row r="1259" spans="1:5" ht="14.5" customHeight="1" x14ac:dyDescent="0.35">
      <c r="A1259" s="196" t="str">
        <f>"31.0302"</f>
        <v>31.0302</v>
      </c>
      <c r="B1259" s="196" t="s">
        <v>5760</v>
      </c>
      <c r="C1259" s="320" t="s">
        <v>4269</v>
      </c>
      <c r="D1259" s="321" t="s">
        <v>6623</v>
      </c>
      <c r="E1259" s="322" t="s">
        <v>6624</v>
      </c>
    </row>
    <row r="1260" spans="1:5" ht="14.5" customHeight="1" x14ac:dyDescent="0.35">
      <c r="A1260" s="196" t="str">
        <f>"31.0399"</f>
        <v>31.0399</v>
      </c>
      <c r="B1260" s="196" t="s">
        <v>5760</v>
      </c>
      <c r="C1260" s="320" t="s">
        <v>4269</v>
      </c>
      <c r="D1260" s="321" t="s">
        <v>6625</v>
      </c>
      <c r="E1260" s="322" t="s">
        <v>6626</v>
      </c>
    </row>
    <row r="1261" spans="1:5" ht="14.5" customHeight="1" x14ac:dyDescent="0.35">
      <c r="A1261" s="196" t="str">
        <f>"31.05"</f>
        <v>31.05</v>
      </c>
      <c r="B1261" s="196" t="s">
        <v>4265</v>
      </c>
      <c r="C1261" s="320" t="s">
        <v>4266</v>
      </c>
      <c r="D1261" s="321" t="s">
        <v>6627</v>
      </c>
      <c r="E1261" s="322" t="s">
        <v>6628</v>
      </c>
    </row>
    <row r="1262" spans="1:5" ht="14.5" customHeight="1" x14ac:dyDescent="0.35">
      <c r="A1262" s="196" t="str">
        <f>"31.0501"</f>
        <v>31.0501</v>
      </c>
      <c r="B1262" s="196" t="s">
        <v>4265</v>
      </c>
      <c r="C1262" s="320" t="s">
        <v>4266</v>
      </c>
      <c r="D1262" s="321" t="s">
        <v>6629</v>
      </c>
      <c r="E1262" s="322" t="s">
        <v>6630</v>
      </c>
    </row>
    <row r="1263" spans="1:5" ht="14.5" customHeight="1" x14ac:dyDescent="0.35">
      <c r="A1263" s="196" t="str">
        <f>"31.0504"</f>
        <v>31.0504</v>
      </c>
      <c r="B1263" s="196" t="s">
        <v>5760</v>
      </c>
      <c r="C1263" s="320" t="s">
        <v>4269</v>
      </c>
      <c r="D1263" s="321" t="s">
        <v>6631</v>
      </c>
      <c r="E1263" s="322" t="s">
        <v>6632</v>
      </c>
    </row>
    <row r="1264" spans="1:5" ht="14.5" customHeight="1" x14ac:dyDescent="0.35">
      <c r="A1264" s="196" t="str">
        <f>"31.0505"</f>
        <v>31.0505</v>
      </c>
      <c r="B1264" s="196" t="s">
        <v>4265</v>
      </c>
      <c r="C1264" s="320" t="s">
        <v>4266</v>
      </c>
      <c r="D1264" s="321" t="s">
        <v>6633</v>
      </c>
      <c r="E1264" s="322" t="s">
        <v>6634</v>
      </c>
    </row>
    <row r="1265" spans="1:5" ht="14.5" customHeight="1" x14ac:dyDescent="0.35">
      <c r="A1265" s="196" t="str">
        <f>"31.0507"</f>
        <v>31.0507</v>
      </c>
      <c r="B1265" s="196" t="s">
        <v>5760</v>
      </c>
      <c r="C1265" s="320" t="s">
        <v>4269</v>
      </c>
      <c r="D1265" s="321" t="s">
        <v>6635</v>
      </c>
      <c r="E1265" s="322" t="s">
        <v>6636</v>
      </c>
    </row>
    <row r="1266" spans="1:5" ht="14.5" customHeight="1" x14ac:dyDescent="0.35">
      <c r="A1266" s="196" t="str">
        <f>"31.0508"</f>
        <v>31.0508</v>
      </c>
      <c r="B1266" s="196" t="s">
        <v>5760</v>
      </c>
      <c r="C1266" s="320" t="s">
        <v>4269</v>
      </c>
      <c r="D1266" s="321" t="s">
        <v>6637</v>
      </c>
      <c r="E1266" s="322" t="s">
        <v>6638</v>
      </c>
    </row>
    <row r="1267" spans="1:5" ht="14.5" customHeight="1" x14ac:dyDescent="0.35">
      <c r="A1267" s="196" t="str">
        <f>"31.0599"</f>
        <v>31.0599</v>
      </c>
      <c r="B1267" s="196" t="s">
        <v>4265</v>
      </c>
      <c r="C1267" s="320" t="s">
        <v>4266</v>
      </c>
      <c r="D1267" s="321" t="s">
        <v>6639</v>
      </c>
      <c r="E1267" s="322" t="s">
        <v>6640</v>
      </c>
    </row>
    <row r="1268" spans="1:5" ht="14.5" customHeight="1" x14ac:dyDescent="0.35">
      <c r="A1268" s="196" t="str">
        <f>"31.06"</f>
        <v>31.06</v>
      </c>
      <c r="B1268" s="196" t="s">
        <v>5760</v>
      </c>
      <c r="C1268" s="320" t="s">
        <v>4269</v>
      </c>
      <c r="D1268" s="321" t="s">
        <v>6641</v>
      </c>
      <c r="E1268" s="322" t="s">
        <v>6642</v>
      </c>
    </row>
    <row r="1269" spans="1:5" ht="14.5" customHeight="1" x14ac:dyDescent="0.35">
      <c r="A1269" s="196" t="str">
        <f>"31.0601"</f>
        <v>31.0601</v>
      </c>
      <c r="B1269" s="196" t="s">
        <v>5760</v>
      </c>
      <c r="C1269" s="320" t="s">
        <v>4269</v>
      </c>
      <c r="D1269" s="321" t="s">
        <v>6641</v>
      </c>
      <c r="E1269" s="322" t="s">
        <v>6643</v>
      </c>
    </row>
    <row r="1270" spans="1:5" ht="14.5" customHeight="1" x14ac:dyDescent="0.35">
      <c r="A1270" s="196" t="str">
        <f>"31.99"</f>
        <v>31.99</v>
      </c>
      <c r="B1270" s="196" t="s">
        <v>4265</v>
      </c>
      <c r="C1270" s="320" t="s">
        <v>4266</v>
      </c>
      <c r="D1270" s="321" t="s">
        <v>6644</v>
      </c>
      <c r="E1270" s="322" t="s">
        <v>6645</v>
      </c>
    </row>
    <row r="1271" spans="1:5" ht="14.5" customHeight="1" x14ac:dyDescent="0.35">
      <c r="A1271" s="196" t="str">
        <f>"31.9999"</f>
        <v>31.9999</v>
      </c>
      <c r="B1271" s="196" t="s">
        <v>4265</v>
      </c>
      <c r="C1271" s="320" t="s">
        <v>4266</v>
      </c>
      <c r="D1271" s="321" t="s">
        <v>6644</v>
      </c>
      <c r="E1271" s="322" t="s">
        <v>6646</v>
      </c>
    </row>
    <row r="1272" spans="1:5" ht="14.5" customHeight="1" x14ac:dyDescent="0.35">
      <c r="A1272" s="196" t="str">
        <f>"32"</f>
        <v>32</v>
      </c>
      <c r="B1272" s="196" t="s">
        <v>5760</v>
      </c>
      <c r="C1272" s="320" t="s">
        <v>4269</v>
      </c>
      <c r="D1272" s="321" t="s">
        <v>6647</v>
      </c>
      <c r="E1272" s="322" t="s">
        <v>6648</v>
      </c>
    </row>
    <row r="1273" spans="1:5" ht="14.5" customHeight="1" x14ac:dyDescent="0.35">
      <c r="A1273" s="196" t="str">
        <f>"32.01"</f>
        <v>32.01</v>
      </c>
      <c r="B1273" s="196" t="s">
        <v>5760</v>
      </c>
      <c r="C1273" s="320" t="s">
        <v>4269</v>
      </c>
      <c r="D1273" s="321" t="s">
        <v>6649</v>
      </c>
      <c r="E1273" s="322" t="s">
        <v>6650</v>
      </c>
    </row>
    <row r="1274" spans="1:5" ht="14.5" customHeight="1" x14ac:dyDescent="0.35">
      <c r="A1274" s="196" t="str">
        <f>"32.0101"</f>
        <v>32.0101</v>
      </c>
      <c r="B1274" s="196" t="s">
        <v>5760</v>
      </c>
      <c r="C1274" s="320" t="s">
        <v>4269</v>
      </c>
      <c r="D1274" s="321" t="s">
        <v>6651</v>
      </c>
      <c r="E1274" s="322" t="s">
        <v>6652</v>
      </c>
    </row>
    <row r="1275" spans="1:5" ht="14.5" customHeight="1" x14ac:dyDescent="0.35">
      <c r="A1275" s="196" t="str">
        <f>"32.0104"</f>
        <v>32.0104</v>
      </c>
      <c r="B1275" s="196" t="s">
        <v>5760</v>
      </c>
      <c r="C1275" s="320" t="s">
        <v>4269</v>
      </c>
      <c r="D1275" s="321" t="s">
        <v>6653</v>
      </c>
      <c r="E1275" s="322" t="s">
        <v>6654</v>
      </c>
    </row>
    <row r="1276" spans="1:5" ht="14.5" customHeight="1" x14ac:dyDescent="0.35">
      <c r="A1276" s="196" t="str">
        <f>"32.0105"</f>
        <v>32.0105</v>
      </c>
      <c r="B1276" s="196" t="s">
        <v>5760</v>
      </c>
      <c r="C1276" s="320" t="s">
        <v>4269</v>
      </c>
      <c r="D1276" s="321" t="s">
        <v>6655</v>
      </c>
      <c r="E1276" s="322" t="s">
        <v>6656</v>
      </c>
    </row>
    <row r="1277" spans="1:5" ht="14.5" customHeight="1" x14ac:dyDescent="0.35">
      <c r="A1277" s="196" t="str">
        <f>"32.0107"</f>
        <v>32.0107</v>
      </c>
      <c r="B1277" s="196" t="s">
        <v>5760</v>
      </c>
      <c r="C1277" s="320" t="s">
        <v>4269</v>
      </c>
      <c r="D1277" s="321" t="s">
        <v>6657</v>
      </c>
      <c r="E1277" s="322" t="s">
        <v>6658</v>
      </c>
    </row>
    <row r="1278" spans="1:5" ht="14.5" customHeight="1" x14ac:dyDescent="0.35">
      <c r="A1278" s="196" t="str">
        <f>"32.0108"</f>
        <v>32.0108</v>
      </c>
      <c r="B1278" s="196" t="s">
        <v>5760</v>
      </c>
      <c r="C1278" s="320" t="s">
        <v>4269</v>
      </c>
      <c r="D1278" s="321" t="s">
        <v>6659</v>
      </c>
      <c r="E1278" s="322" t="s">
        <v>6660</v>
      </c>
    </row>
    <row r="1279" spans="1:5" ht="14.5" customHeight="1" x14ac:dyDescent="0.35">
      <c r="A1279" s="196" t="str">
        <f>"32.0109"</f>
        <v>32.0109</v>
      </c>
      <c r="B1279" s="196" t="s">
        <v>5760</v>
      </c>
      <c r="C1279" s="320" t="s">
        <v>4269</v>
      </c>
      <c r="D1279" s="321" t="s">
        <v>5783</v>
      </c>
      <c r="E1279" s="322" t="s">
        <v>6661</v>
      </c>
    </row>
    <row r="1280" spans="1:5" ht="14.5" customHeight="1" x14ac:dyDescent="0.35">
      <c r="A1280" s="196" t="str">
        <f>"32.0110"</f>
        <v>32.0110</v>
      </c>
      <c r="B1280" s="196" t="s">
        <v>5760</v>
      </c>
      <c r="C1280" s="320" t="s">
        <v>4269</v>
      </c>
      <c r="D1280" s="321" t="s">
        <v>6662</v>
      </c>
      <c r="E1280" s="322" t="s">
        <v>6663</v>
      </c>
    </row>
    <row r="1281" spans="1:5" ht="14.5" customHeight="1" x14ac:dyDescent="0.35">
      <c r="A1281" s="196" t="str">
        <f>"32.0111"</f>
        <v>32.0111</v>
      </c>
      <c r="B1281" s="196" t="s">
        <v>5760</v>
      </c>
      <c r="C1281" s="320" t="s">
        <v>4269</v>
      </c>
      <c r="D1281" s="321" t="s">
        <v>6664</v>
      </c>
      <c r="E1281" s="322" t="s">
        <v>6665</v>
      </c>
    </row>
    <row r="1282" spans="1:5" s="327" customFormat="1" ht="14.5" customHeight="1" x14ac:dyDescent="0.35">
      <c r="A1282" s="323" t="str">
        <f>"32.0112"</f>
        <v>32.0112</v>
      </c>
      <c r="B1282" s="323" t="s">
        <v>4297</v>
      </c>
      <c r="C1282" s="324" t="s">
        <v>4269</v>
      </c>
      <c r="D1282" s="325" t="s">
        <v>6666</v>
      </c>
      <c r="E1282" s="326" t="s">
        <v>6667</v>
      </c>
    </row>
    <row r="1283" spans="1:5" ht="14.5" customHeight="1" x14ac:dyDescent="0.35">
      <c r="A1283" s="196" t="str">
        <f>"32.0199"</f>
        <v>32.0199</v>
      </c>
      <c r="B1283" s="196" t="s">
        <v>5760</v>
      </c>
      <c r="C1283" s="320" t="s">
        <v>4269</v>
      </c>
      <c r="D1283" s="321" t="s">
        <v>6668</v>
      </c>
      <c r="E1283" s="322" t="s">
        <v>6669</v>
      </c>
    </row>
    <row r="1284" spans="1:5" s="327" customFormat="1" ht="14.5" customHeight="1" x14ac:dyDescent="0.35">
      <c r="A1284" s="323" t="str">
        <f>"32.02"</f>
        <v>32.02</v>
      </c>
      <c r="B1284" s="323" t="s">
        <v>4297</v>
      </c>
      <c r="C1284" s="324" t="s">
        <v>4269</v>
      </c>
      <c r="D1284" s="325" t="s">
        <v>6670</v>
      </c>
      <c r="E1284" s="326" t="s">
        <v>6671</v>
      </c>
    </row>
    <row r="1285" spans="1:5" s="327" customFormat="1" ht="14.5" customHeight="1" x14ac:dyDescent="0.35">
      <c r="A1285" s="323" t="str">
        <f>"32.0201"</f>
        <v>32.0201</v>
      </c>
      <c r="B1285" s="323" t="s">
        <v>4297</v>
      </c>
      <c r="C1285" s="324" t="s">
        <v>4269</v>
      </c>
      <c r="D1285" s="325" t="s">
        <v>6672</v>
      </c>
      <c r="E1285" s="326" t="s">
        <v>6673</v>
      </c>
    </row>
    <row r="1286" spans="1:5" s="327" customFormat="1" ht="14.5" customHeight="1" x14ac:dyDescent="0.35">
      <c r="A1286" s="323" t="str">
        <f>"32.0202"</f>
        <v>32.0202</v>
      </c>
      <c r="B1286" s="323" t="s">
        <v>4297</v>
      </c>
      <c r="C1286" s="324" t="s">
        <v>4269</v>
      </c>
      <c r="D1286" s="325" t="s">
        <v>6674</v>
      </c>
      <c r="E1286" s="326" t="s">
        <v>6675</v>
      </c>
    </row>
    <row r="1287" spans="1:5" s="327" customFormat="1" ht="14.5" customHeight="1" x14ac:dyDescent="0.35">
      <c r="A1287" s="323" t="str">
        <f>"32.0203"</f>
        <v>32.0203</v>
      </c>
      <c r="B1287" s="323" t="s">
        <v>4297</v>
      </c>
      <c r="C1287" s="324" t="s">
        <v>4269</v>
      </c>
      <c r="D1287" s="325" t="s">
        <v>6676</v>
      </c>
      <c r="E1287" s="326" t="s">
        <v>6677</v>
      </c>
    </row>
    <row r="1288" spans="1:5" s="327" customFormat="1" ht="14.5" customHeight="1" x14ac:dyDescent="0.35">
      <c r="A1288" s="323" t="str">
        <f>"32.0204"</f>
        <v>32.0204</v>
      </c>
      <c r="B1288" s="323" t="s">
        <v>4297</v>
      </c>
      <c r="C1288" s="324" t="s">
        <v>4269</v>
      </c>
      <c r="D1288" s="325" t="s">
        <v>6678</v>
      </c>
      <c r="E1288" s="326" t="s">
        <v>6679</v>
      </c>
    </row>
    <row r="1289" spans="1:5" s="327" customFormat="1" ht="14.5" customHeight="1" x14ac:dyDescent="0.35">
      <c r="A1289" s="323" t="str">
        <f>"32.0205"</f>
        <v>32.0205</v>
      </c>
      <c r="B1289" s="323" t="s">
        <v>4297</v>
      </c>
      <c r="C1289" s="324" t="s">
        <v>4269</v>
      </c>
      <c r="D1289" s="325" t="s">
        <v>6680</v>
      </c>
      <c r="E1289" s="326" t="s">
        <v>6681</v>
      </c>
    </row>
    <row r="1290" spans="1:5" s="327" customFormat="1" ht="14.5" customHeight="1" x14ac:dyDescent="0.35">
      <c r="A1290" s="323" t="str">
        <f>"32.0299"</f>
        <v>32.0299</v>
      </c>
      <c r="B1290" s="323" t="s">
        <v>4297</v>
      </c>
      <c r="C1290" s="324" t="s">
        <v>4269</v>
      </c>
      <c r="D1290" s="325" t="s">
        <v>6682</v>
      </c>
      <c r="E1290" s="326" t="s">
        <v>6683</v>
      </c>
    </row>
    <row r="1291" spans="1:5" ht="14.5" customHeight="1" x14ac:dyDescent="0.35">
      <c r="A1291" s="196" t="str">
        <f>"33"</f>
        <v>33</v>
      </c>
      <c r="B1291" s="196" t="s">
        <v>5760</v>
      </c>
      <c r="C1291" s="320" t="s">
        <v>4269</v>
      </c>
      <c r="D1291" s="321" t="s">
        <v>6684</v>
      </c>
      <c r="E1291" s="322" t="s">
        <v>6685</v>
      </c>
    </row>
    <row r="1292" spans="1:5" ht="14.5" customHeight="1" x14ac:dyDescent="0.35">
      <c r="A1292" s="196" t="str">
        <f>"33.01"</f>
        <v>33.01</v>
      </c>
      <c r="B1292" s="196" t="s">
        <v>5760</v>
      </c>
      <c r="C1292" s="320" t="s">
        <v>4269</v>
      </c>
      <c r="D1292" s="321" t="s">
        <v>6686</v>
      </c>
      <c r="E1292" s="322" t="s">
        <v>6687</v>
      </c>
    </row>
    <row r="1293" spans="1:5" ht="14.5" customHeight="1" x14ac:dyDescent="0.35">
      <c r="A1293" s="196" t="str">
        <f>"33.0101"</f>
        <v>33.0101</v>
      </c>
      <c r="B1293" s="196" t="s">
        <v>5760</v>
      </c>
      <c r="C1293" s="320" t="s">
        <v>4269</v>
      </c>
      <c r="D1293" s="321" t="s">
        <v>6688</v>
      </c>
      <c r="E1293" s="322" t="s">
        <v>6689</v>
      </c>
    </row>
    <row r="1294" spans="1:5" ht="14.5" customHeight="1" x14ac:dyDescent="0.35">
      <c r="A1294" s="196" t="str">
        <f>"33.0102"</f>
        <v>33.0102</v>
      </c>
      <c r="B1294" s="196" t="s">
        <v>5760</v>
      </c>
      <c r="C1294" s="320" t="s">
        <v>4269</v>
      </c>
      <c r="D1294" s="321" t="s">
        <v>6690</v>
      </c>
      <c r="E1294" s="322" t="s">
        <v>6691</v>
      </c>
    </row>
    <row r="1295" spans="1:5" ht="14.5" customHeight="1" x14ac:dyDescent="0.35">
      <c r="A1295" s="196" t="str">
        <f>"33.0103"</f>
        <v>33.0103</v>
      </c>
      <c r="B1295" s="196" t="s">
        <v>5760</v>
      </c>
      <c r="C1295" s="320" t="s">
        <v>4269</v>
      </c>
      <c r="D1295" s="321" t="s">
        <v>6692</v>
      </c>
      <c r="E1295" s="322" t="s">
        <v>6693</v>
      </c>
    </row>
    <row r="1296" spans="1:5" ht="14.5" customHeight="1" x14ac:dyDescent="0.35">
      <c r="A1296" s="196" t="str">
        <f>"33.0104"</f>
        <v>33.0104</v>
      </c>
      <c r="B1296" s="196" t="s">
        <v>5760</v>
      </c>
      <c r="C1296" s="320" t="s">
        <v>4269</v>
      </c>
      <c r="D1296" s="321" t="s">
        <v>6694</v>
      </c>
      <c r="E1296" s="322" t="s">
        <v>6695</v>
      </c>
    </row>
    <row r="1297" spans="1:5" ht="14.5" customHeight="1" x14ac:dyDescent="0.35">
      <c r="A1297" s="196" t="str">
        <f>"33.0105"</f>
        <v>33.0105</v>
      </c>
      <c r="B1297" s="196" t="s">
        <v>5760</v>
      </c>
      <c r="C1297" s="320" t="s">
        <v>4269</v>
      </c>
      <c r="D1297" s="321" t="s">
        <v>6696</v>
      </c>
      <c r="E1297" s="322" t="s">
        <v>6697</v>
      </c>
    </row>
    <row r="1298" spans="1:5" s="327" customFormat="1" ht="14.5" customHeight="1" x14ac:dyDescent="0.35">
      <c r="A1298" s="323" t="str">
        <f>"33.0106"</f>
        <v>33.0106</v>
      </c>
      <c r="B1298" s="323" t="s">
        <v>4297</v>
      </c>
      <c r="C1298" s="324" t="s">
        <v>4269</v>
      </c>
      <c r="D1298" s="325" t="s">
        <v>6698</v>
      </c>
      <c r="E1298" s="326" t="s">
        <v>6699</v>
      </c>
    </row>
    <row r="1299" spans="1:5" ht="14.5" customHeight="1" x14ac:dyDescent="0.35">
      <c r="A1299" s="196" t="str">
        <f>"33.0199"</f>
        <v>33.0199</v>
      </c>
      <c r="B1299" s="196" t="s">
        <v>5760</v>
      </c>
      <c r="C1299" s="320" t="s">
        <v>4269</v>
      </c>
      <c r="D1299" s="321" t="s">
        <v>6700</v>
      </c>
      <c r="E1299" s="322" t="s">
        <v>6701</v>
      </c>
    </row>
    <row r="1300" spans="1:5" ht="14.5" customHeight="1" x14ac:dyDescent="0.35">
      <c r="A1300" s="196" t="str">
        <f>"34"</f>
        <v>34</v>
      </c>
      <c r="B1300" s="196" t="s">
        <v>4265</v>
      </c>
      <c r="C1300" s="320" t="s">
        <v>4266</v>
      </c>
      <c r="D1300" s="321" t="s">
        <v>6702</v>
      </c>
      <c r="E1300" s="322" t="s">
        <v>6703</v>
      </c>
    </row>
    <row r="1301" spans="1:5" ht="14.5" customHeight="1" x14ac:dyDescent="0.35">
      <c r="A1301" s="196" t="str">
        <f>"34.01"</f>
        <v>34.01</v>
      </c>
      <c r="B1301" s="196" t="s">
        <v>5760</v>
      </c>
      <c r="C1301" s="320" t="s">
        <v>4269</v>
      </c>
      <c r="D1301" s="321" t="s">
        <v>6704</v>
      </c>
      <c r="E1301" s="322" t="s">
        <v>6705</v>
      </c>
    </row>
    <row r="1302" spans="1:5" ht="14.5" customHeight="1" x14ac:dyDescent="0.35">
      <c r="A1302" s="196" t="str">
        <f>"34.0102"</f>
        <v>34.0102</v>
      </c>
      <c r="B1302" s="196" t="s">
        <v>5760</v>
      </c>
      <c r="C1302" s="320" t="s">
        <v>4269</v>
      </c>
      <c r="D1302" s="321" t="s">
        <v>6706</v>
      </c>
      <c r="E1302" s="322" t="s">
        <v>6707</v>
      </c>
    </row>
    <row r="1303" spans="1:5" ht="14.5" customHeight="1" x14ac:dyDescent="0.35">
      <c r="A1303" s="196" t="str">
        <f>"34.0103"</f>
        <v>34.0103</v>
      </c>
      <c r="B1303" s="196" t="s">
        <v>5760</v>
      </c>
      <c r="C1303" s="320" t="s">
        <v>4269</v>
      </c>
      <c r="D1303" s="321" t="s">
        <v>6708</v>
      </c>
      <c r="E1303" s="322" t="s">
        <v>6709</v>
      </c>
    </row>
    <row r="1304" spans="1:5" ht="14.5" customHeight="1" x14ac:dyDescent="0.35">
      <c r="A1304" s="196" t="str">
        <f>"34.0104"</f>
        <v>34.0104</v>
      </c>
      <c r="B1304" s="196" t="s">
        <v>5760</v>
      </c>
      <c r="C1304" s="320" t="s">
        <v>4269</v>
      </c>
      <c r="D1304" s="321" t="s">
        <v>6710</v>
      </c>
      <c r="E1304" s="322" t="s">
        <v>6711</v>
      </c>
    </row>
    <row r="1305" spans="1:5" s="327" customFormat="1" ht="14.5" customHeight="1" x14ac:dyDescent="0.35">
      <c r="A1305" s="323" t="str">
        <f>"34.0105"</f>
        <v>34.0105</v>
      </c>
      <c r="B1305" s="323" t="s">
        <v>4297</v>
      </c>
      <c r="C1305" s="324" t="s">
        <v>4269</v>
      </c>
      <c r="D1305" s="325" t="s">
        <v>6712</v>
      </c>
      <c r="E1305" s="326" t="s">
        <v>6713</v>
      </c>
    </row>
    <row r="1306" spans="1:5" ht="14.5" customHeight="1" x14ac:dyDescent="0.35">
      <c r="A1306" s="196" t="str">
        <f>"34.0199"</f>
        <v>34.0199</v>
      </c>
      <c r="B1306" s="196" t="s">
        <v>5760</v>
      </c>
      <c r="C1306" s="320" t="s">
        <v>4269</v>
      </c>
      <c r="D1306" s="321" t="s">
        <v>6714</v>
      </c>
      <c r="E1306" s="322" t="s">
        <v>6715</v>
      </c>
    </row>
    <row r="1307" spans="1:5" ht="14.5" customHeight="1" x14ac:dyDescent="0.35">
      <c r="A1307" s="196" t="str">
        <f>"35"</f>
        <v>35</v>
      </c>
      <c r="B1307" s="196" t="s">
        <v>5760</v>
      </c>
      <c r="C1307" s="320" t="s">
        <v>4269</v>
      </c>
      <c r="D1307" s="321" t="s">
        <v>6716</v>
      </c>
      <c r="E1307" s="322" t="s">
        <v>6717</v>
      </c>
    </row>
    <row r="1308" spans="1:5" ht="14.5" customHeight="1" x14ac:dyDescent="0.35">
      <c r="A1308" s="196" t="str">
        <f>"35.01"</f>
        <v>35.01</v>
      </c>
      <c r="B1308" s="196" t="s">
        <v>5760</v>
      </c>
      <c r="C1308" s="320" t="s">
        <v>4269</v>
      </c>
      <c r="D1308" s="321" t="s">
        <v>6718</v>
      </c>
      <c r="E1308" s="322" t="s">
        <v>6719</v>
      </c>
    </row>
    <row r="1309" spans="1:5" ht="14.5" customHeight="1" x14ac:dyDescent="0.35">
      <c r="A1309" s="196" t="str">
        <f>"35.0101"</f>
        <v>35.0101</v>
      </c>
      <c r="B1309" s="196" t="s">
        <v>5760</v>
      </c>
      <c r="C1309" s="320" t="s">
        <v>4269</v>
      </c>
      <c r="D1309" s="321" t="s">
        <v>6720</v>
      </c>
      <c r="E1309" s="322" t="s">
        <v>6721</v>
      </c>
    </row>
    <row r="1310" spans="1:5" ht="14.5" customHeight="1" x14ac:dyDescent="0.35">
      <c r="A1310" s="196" t="str">
        <f>"35.0102"</f>
        <v>35.0102</v>
      </c>
      <c r="B1310" s="196" t="s">
        <v>5760</v>
      </c>
      <c r="C1310" s="320" t="s">
        <v>4269</v>
      </c>
      <c r="D1310" s="321" t="s">
        <v>6722</v>
      </c>
      <c r="E1310" s="322" t="s">
        <v>6723</v>
      </c>
    </row>
    <row r="1311" spans="1:5" ht="14.5" customHeight="1" x14ac:dyDescent="0.35">
      <c r="A1311" s="196" t="str">
        <f>"35.0103"</f>
        <v>35.0103</v>
      </c>
      <c r="B1311" s="196" t="s">
        <v>5760</v>
      </c>
      <c r="C1311" s="320" t="s">
        <v>4269</v>
      </c>
      <c r="D1311" s="321" t="s">
        <v>6724</v>
      </c>
      <c r="E1311" s="322" t="s">
        <v>6725</v>
      </c>
    </row>
    <row r="1312" spans="1:5" s="327" customFormat="1" ht="14.5" customHeight="1" x14ac:dyDescent="0.35">
      <c r="A1312" s="323" t="str">
        <f>"35.0105"</f>
        <v>35.0105</v>
      </c>
      <c r="B1312" s="323" t="s">
        <v>4297</v>
      </c>
      <c r="C1312" s="324" t="s">
        <v>4269</v>
      </c>
      <c r="D1312" s="325" t="s">
        <v>6726</v>
      </c>
      <c r="E1312" s="326" t="s">
        <v>6727</v>
      </c>
    </row>
    <row r="1313" spans="1:5" ht="14.5" customHeight="1" x14ac:dyDescent="0.35">
      <c r="A1313" s="196" t="str">
        <f>"35.0199"</f>
        <v>35.0199</v>
      </c>
      <c r="B1313" s="196" t="s">
        <v>5760</v>
      </c>
      <c r="C1313" s="320" t="s">
        <v>4269</v>
      </c>
      <c r="D1313" s="321" t="s">
        <v>6728</v>
      </c>
      <c r="E1313" s="322" t="s">
        <v>6729</v>
      </c>
    </row>
    <row r="1314" spans="1:5" ht="14.5" customHeight="1" x14ac:dyDescent="0.35">
      <c r="A1314" s="196" t="str">
        <f>"36"</f>
        <v>36</v>
      </c>
      <c r="B1314" s="196" t="s">
        <v>5760</v>
      </c>
      <c r="C1314" s="320" t="s">
        <v>4269</v>
      </c>
      <c r="D1314" s="321" t="s">
        <v>6730</v>
      </c>
      <c r="E1314" s="322" t="s">
        <v>6731</v>
      </c>
    </row>
    <row r="1315" spans="1:5" ht="14.5" customHeight="1" x14ac:dyDescent="0.35">
      <c r="A1315" s="196" t="str">
        <f>"36.01"</f>
        <v>36.01</v>
      </c>
      <c r="B1315" s="196" t="s">
        <v>5760</v>
      </c>
      <c r="C1315" s="320" t="s">
        <v>4269</v>
      </c>
      <c r="D1315" s="321" t="s">
        <v>6732</v>
      </c>
      <c r="E1315" s="322" t="s">
        <v>6733</v>
      </c>
    </row>
    <row r="1316" spans="1:5" ht="14.5" customHeight="1" x14ac:dyDescent="0.35">
      <c r="A1316" s="196" t="str">
        <f>"36.0101"</f>
        <v>36.0101</v>
      </c>
      <c r="B1316" s="196" t="s">
        <v>5760</v>
      </c>
      <c r="C1316" s="320" t="s">
        <v>4269</v>
      </c>
      <c r="D1316" s="321" t="s">
        <v>6734</v>
      </c>
      <c r="E1316" s="322" t="s">
        <v>6735</v>
      </c>
    </row>
    <row r="1317" spans="1:5" ht="14.5" customHeight="1" x14ac:dyDescent="0.35">
      <c r="A1317" s="196" t="str">
        <f>"36.0102"</f>
        <v>36.0102</v>
      </c>
      <c r="B1317" s="196" t="s">
        <v>5760</v>
      </c>
      <c r="C1317" s="320" t="s">
        <v>4269</v>
      </c>
      <c r="D1317" s="321" t="s">
        <v>6736</v>
      </c>
      <c r="E1317" s="322" t="s">
        <v>6737</v>
      </c>
    </row>
    <row r="1318" spans="1:5" ht="14.5" customHeight="1" x14ac:dyDescent="0.35">
      <c r="A1318" s="196" t="str">
        <f>"36.0103"</f>
        <v>36.0103</v>
      </c>
      <c r="B1318" s="196" t="s">
        <v>5760</v>
      </c>
      <c r="C1318" s="320" t="s">
        <v>4269</v>
      </c>
      <c r="D1318" s="321" t="s">
        <v>6738</v>
      </c>
      <c r="E1318" s="322" t="s">
        <v>6739</v>
      </c>
    </row>
    <row r="1319" spans="1:5" ht="14.5" customHeight="1" x14ac:dyDescent="0.35">
      <c r="A1319" s="196" t="str">
        <f>"36.0105"</f>
        <v>36.0105</v>
      </c>
      <c r="B1319" s="196" t="s">
        <v>5760</v>
      </c>
      <c r="C1319" s="320" t="s">
        <v>4269</v>
      </c>
      <c r="D1319" s="321" t="s">
        <v>6740</v>
      </c>
      <c r="E1319" s="322" t="s">
        <v>6741</v>
      </c>
    </row>
    <row r="1320" spans="1:5" ht="14.5" customHeight="1" x14ac:dyDescent="0.35">
      <c r="A1320" s="196" t="str">
        <f>"36.0106"</f>
        <v>36.0106</v>
      </c>
      <c r="B1320" s="196" t="s">
        <v>5760</v>
      </c>
      <c r="C1320" s="320" t="s">
        <v>4269</v>
      </c>
      <c r="D1320" s="321" t="s">
        <v>6742</v>
      </c>
      <c r="E1320" s="322" t="s">
        <v>6743</v>
      </c>
    </row>
    <row r="1321" spans="1:5" ht="14.5" customHeight="1" x14ac:dyDescent="0.35">
      <c r="A1321" s="196" t="str">
        <f>"36.0107"</f>
        <v>36.0107</v>
      </c>
      <c r="B1321" s="196" t="s">
        <v>5760</v>
      </c>
      <c r="C1321" s="320" t="s">
        <v>4269</v>
      </c>
      <c r="D1321" s="321" t="s">
        <v>6744</v>
      </c>
      <c r="E1321" s="322" t="s">
        <v>6745</v>
      </c>
    </row>
    <row r="1322" spans="1:5" ht="14.5" customHeight="1" x14ac:dyDescent="0.35">
      <c r="A1322" s="196" t="str">
        <f>"36.0108"</f>
        <v>36.0108</v>
      </c>
      <c r="B1322" s="196" t="s">
        <v>5760</v>
      </c>
      <c r="C1322" s="320" t="s">
        <v>4269</v>
      </c>
      <c r="D1322" s="321" t="s">
        <v>6746</v>
      </c>
      <c r="E1322" s="322" t="s">
        <v>6747</v>
      </c>
    </row>
    <row r="1323" spans="1:5" ht="14.5" customHeight="1" x14ac:dyDescent="0.35">
      <c r="A1323" s="196" t="str">
        <f>"36.0109"</f>
        <v>36.0109</v>
      </c>
      <c r="B1323" s="196" t="s">
        <v>5760</v>
      </c>
      <c r="C1323" s="320" t="s">
        <v>4269</v>
      </c>
      <c r="D1323" s="321" t="s">
        <v>6748</v>
      </c>
      <c r="E1323" s="322" t="s">
        <v>6749</v>
      </c>
    </row>
    <row r="1324" spans="1:5" ht="14.5" customHeight="1" x14ac:dyDescent="0.35">
      <c r="A1324" s="196" t="str">
        <f>"36.0110"</f>
        <v>36.0110</v>
      </c>
      <c r="B1324" s="196" t="s">
        <v>5760</v>
      </c>
      <c r="C1324" s="320" t="s">
        <v>4269</v>
      </c>
      <c r="D1324" s="321" t="s">
        <v>6750</v>
      </c>
      <c r="E1324" s="322" t="s">
        <v>6751</v>
      </c>
    </row>
    <row r="1325" spans="1:5" ht="14.5" customHeight="1" x14ac:dyDescent="0.35">
      <c r="A1325" s="196" t="str">
        <f>"36.0111"</f>
        <v>36.0111</v>
      </c>
      <c r="B1325" s="196" t="s">
        <v>5760</v>
      </c>
      <c r="C1325" s="320" t="s">
        <v>4269</v>
      </c>
      <c r="D1325" s="321" t="s">
        <v>6752</v>
      </c>
      <c r="E1325" s="322" t="s">
        <v>6753</v>
      </c>
    </row>
    <row r="1326" spans="1:5" ht="14.5" customHeight="1" x14ac:dyDescent="0.35">
      <c r="A1326" s="196" t="str">
        <f>"36.0112"</f>
        <v>36.0112</v>
      </c>
      <c r="B1326" s="196" t="s">
        <v>5760</v>
      </c>
      <c r="C1326" s="320" t="s">
        <v>4269</v>
      </c>
      <c r="D1326" s="321" t="s">
        <v>6754</v>
      </c>
      <c r="E1326" s="322" t="s">
        <v>6755</v>
      </c>
    </row>
    <row r="1327" spans="1:5" ht="14.5" customHeight="1" x14ac:dyDescent="0.35">
      <c r="A1327" s="196" t="str">
        <f>"36.0113"</f>
        <v>36.0113</v>
      </c>
      <c r="B1327" s="196" t="s">
        <v>5760</v>
      </c>
      <c r="C1327" s="320" t="s">
        <v>4269</v>
      </c>
      <c r="D1327" s="321" t="s">
        <v>6756</v>
      </c>
      <c r="E1327" s="322" t="s">
        <v>6757</v>
      </c>
    </row>
    <row r="1328" spans="1:5" ht="14.5" customHeight="1" x14ac:dyDescent="0.35">
      <c r="A1328" s="196" t="str">
        <f>"36.0114"</f>
        <v>36.0114</v>
      </c>
      <c r="B1328" s="196" t="s">
        <v>5760</v>
      </c>
      <c r="C1328" s="320" t="s">
        <v>4269</v>
      </c>
      <c r="D1328" s="321" t="s">
        <v>6758</v>
      </c>
      <c r="E1328" s="322" t="s">
        <v>6759</v>
      </c>
    </row>
    <row r="1329" spans="1:5" ht="14.5" customHeight="1" x14ac:dyDescent="0.35">
      <c r="A1329" s="196" t="str">
        <f>"36.0115"</f>
        <v>36.0115</v>
      </c>
      <c r="B1329" s="196" t="s">
        <v>5760</v>
      </c>
      <c r="C1329" s="320" t="s">
        <v>4269</v>
      </c>
      <c r="D1329" s="321" t="s">
        <v>6760</v>
      </c>
      <c r="E1329" s="322" t="s">
        <v>6761</v>
      </c>
    </row>
    <row r="1330" spans="1:5" ht="14.5" customHeight="1" x14ac:dyDescent="0.35">
      <c r="A1330" s="196" t="str">
        <f>"36.0116"</f>
        <v>36.0116</v>
      </c>
      <c r="B1330" s="196" t="s">
        <v>5760</v>
      </c>
      <c r="C1330" s="320" t="s">
        <v>4269</v>
      </c>
      <c r="D1330" s="321" t="s">
        <v>6762</v>
      </c>
      <c r="E1330" s="322" t="s">
        <v>6763</v>
      </c>
    </row>
    <row r="1331" spans="1:5" ht="14.5" customHeight="1" x14ac:dyDescent="0.35">
      <c r="A1331" s="196" t="str">
        <f>"36.0117"</f>
        <v>36.0117</v>
      </c>
      <c r="B1331" s="196" t="s">
        <v>5760</v>
      </c>
      <c r="C1331" s="320" t="s">
        <v>4269</v>
      </c>
      <c r="D1331" s="321" t="s">
        <v>6764</v>
      </c>
      <c r="E1331" s="322" t="s">
        <v>6765</v>
      </c>
    </row>
    <row r="1332" spans="1:5" ht="14.5" customHeight="1" x14ac:dyDescent="0.35">
      <c r="A1332" s="196" t="str">
        <f>"36.0118"</f>
        <v>36.0118</v>
      </c>
      <c r="B1332" s="196" t="s">
        <v>5760</v>
      </c>
      <c r="C1332" s="320" t="s">
        <v>4269</v>
      </c>
      <c r="D1332" s="321" t="s">
        <v>6766</v>
      </c>
      <c r="E1332" s="322" t="s">
        <v>6767</v>
      </c>
    </row>
    <row r="1333" spans="1:5" s="332" customFormat="1" ht="14.5" customHeight="1" x14ac:dyDescent="0.35">
      <c r="A1333" s="328" t="str">
        <f>"36.0119"</f>
        <v>36.0119</v>
      </c>
      <c r="B1333" s="328" t="s">
        <v>4318</v>
      </c>
      <c r="C1333" s="329" t="s">
        <v>4269</v>
      </c>
      <c r="D1333" s="330" t="s">
        <v>6768</v>
      </c>
      <c r="E1333" s="331" t="s">
        <v>6769</v>
      </c>
    </row>
    <row r="1334" spans="1:5" s="327" customFormat="1" ht="14.5" customHeight="1" x14ac:dyDescent="0.35">
      <c r="A1334" s="323" t="str">
        <f>"36.0120"</f>
        <v>36.0120</v>
      </c>
      <c r="B1334" s="323" t="s">
        <v>4297</v>
      </c>
      <c r="C1334" s="324" t="s">
        <v>4269</v>
      </c>
      <c r="D1334" s="325" t="s">
        <v>6770</v>
      </c>
      <c r="E1334" s="326" t="s">
        <v>6771</v>
      </c>
    </row>
    <row r="1335" spans="1:5" s="327" customFormat="1" ht="14.5" customHeight="1" x14ac:dyDescent="0.35">
      <c r="A1335" s="323" t="str">
        <f>"36.0121"</f>
        <v>36.0121</v>
      </c>
      <c r="B1335" s="323" t="s">
        <v>4297</v>
      </c>
      <c r="C1335" s="324" t="s">
        <v>4269</v>
      </c>
      <c r="D1335" s="325" t="s">
        <v>6772</v>
      </c>
      <c r="E1335" s="326" t="s">
        <v>6773</v>
      </c>
    </row>
    <row r="1336" spans="1:5" s="327" customFormat="1" ht="14.5" customHeight="1" x14ac:dyDescent="0.35">
      <c r="A1336" s="323" t="str">
        <f>"36.0122"</f>
        <v>36.0122</v>
      </c>
      <c r="B1336" s="323" t="s">
        <v>4297</v>
      </c>
      <c r="C1336" s="324" t="s">
        <v>4269</v>
      </c>
      <c r="D1336" s="325" t="s">
        <v>6774</v>
      </c>
      <c r="E1336" s="326" t="s">
        <v>6775</v>
      </c>
    </row>
    <row r="1337" spans="1:5" s="327" customFormat="1" ht="14.5" customHeight="1" x14ac:dyDescent="0.35">
      <c r="A1337" s="323" t="str">
        <f>"36.0123"</f>
        <v>36.0123</v>
      </c>
      <c r="B1337" s="323" t="s">
        <v>4297</v>
      </c>
      <c r="C1337" s="324" t="s">
        <v>4269</v>
      </c>
      <c r="D1337" s="325" t="s">
        <v>6776</v>
      </c>
      <c r="E1337" s="326" t="s">
        <v>6777</v>
      </c>
    </row>
    <row r="1338" spans="1:5" ht="14.5" customHeight="1" x14ac:dyDescent="0.35">
      <c r="A1338" s="196" t="str">
        <f>"36.0199"</f>
        <v>36.0199</v>
      </c>
      <c r="B1338" s="196" t="s">
        <v>5760</v>
      </c>
      <c r="C1338" s="320" t="s">
        <v>4269</v>
      </c>
      <c r="D1338" s="321" t="s">
        <v>6778</v>
      </c>
      <c r="E1338" s="322" t="s">
        <v>6779</v>
      </c>
    </row>
    <row r="1339" spans="1:5" s="327" customFormat="1" ht="14.5" customHeight="1" x14ac:dyDescent="0.35">
      <c r="A1339" s="323" t="str">
        <f>"36.02"</f>
        <v>36.02</v>
      </c>
      <c r="B1339" s="323" t="s">
        <v>4297</v>
      </c>
      <c r="C1339" s="324" t="s">
        <v>4269</v>
      </c>
      <c r="D1339" s="325" t="s">
        <v>6780</v>
      </c>
      <c r="E1339" s="326" t="s">
        <v>6781</v>
      </c>
    </row>
    <row r="1340" spans="1:5" s="327" customFormat="1" ht="14.5" customHeight="1" x14ac:dyDescent="0.35">
      <c r="A1340" s="323" t="str">
        <f>"36.0202"</f>
        <v>36.0202</v>
      </c>
      <c r="B1340" s="323" t="s">
        <v>4403</v>
      </c>
      <c r="C1340" s="324" t="s">
        <v>4269</v>
      </c>
      <c r="D1340" s="325" t="s">
        <v>6768</v>
      </c>
      <c r="E1340" s="326" t="s">
        <v>6782</v>
      </c>
    </row>
    <row r="1341" spans="1:5" s="327" customFormat="1" ht="14.5" customHeight="1" x14ac:dyDescent="0.35">
      <c r="A1341" s="323" t="str">
        <f>"36.0203"</f>
        <v>36.0203</v>
      </c>
      <c r="B1341" s="323" t="s">
        <v>4297</v>
      </c>
      <c r="C1341" s="324" t="s">
        <v>4269</v>
      </c>
      <c r="D1341" s="325" t="s">
        <v>6783</v>
      </c>
      <c r="E1341" s="326" t="s">
        <v>6784</v>
      </c>
    </row>
    <row r="1342" spans="1:5" s="327" customFormat="1" ht="14.5" customHeight="1" x14ac:dyDescent="0.35">
      <c r="A1342" s="323" t="str">
        <f>"36.0204"</f>
        <v>36.0204</v>
      </c>
      <c r="B1342" s="323" t="s">
        <v>4297</v>
      </c>
      <c r="C1342" s="324" t="s">
        <v>4269</v>
      </c>
      <c r="D1342" s="325" t="s">
        <v>6785</v>
      </c>
      <c r="E1342" s="326" t="s">
        <v>6786</v>
      </c>
    </row>
    <row r="1343" spans="1:5" s="327" customFormat="1" ht="14.5" customHeight="1" x14ac:dyDescent="0.35">
      <c r="A1343" s="323" t="str">
        <f>"36.0205"</f>
        <v>36.0205</v>
      </c>
      <c r="B1343" s="323" t="s">
        <v>4297</v>
      </c>
      <c r="C1343" s="324" t="s">
        <v>4269</v>
      </c>
      <c r="D1343" s="325" t="s">
        <v>6787</v>
      </c>
      <c r="E1343" s="326" t="s">
        <v>6788</v>
      </c>
    </row>
    <row r="1344" spans="1:5" s="327" customFormat="1" ht="14.5" customHeight="1" x14ac:dyDescent="0.35">
      <c r="A1344" s="323" t="str">
        <f>"36.0206"</f>
        <v>36.0206</v>
      </c>
      <c r="B1344" s="323" t="s">
        <v>4297</v>
      </c>
      <c r="C1344" s="324" t="s">
        <v>4269</v>
      </c>
      <c r="D1344" s="325" t="s">
        <v>6789</v>
      </c>
      <c r="E1344" s="326" t="s">
        <v>6790</v>
      </c>
    </row>
    <row r="1345" spans="1:5" s="327" customFormat="1" ht="14.5" customHeight="1" x14ac:dyDescent="0.35">
      <c r="A1345" s="323" t="str">
        <f>"36.0207"</f>
        <v>36.0207</v>
      </c>
      <c r="B1345" s="323" t="s">
        <v>4297</v>
      </c>
      <c r="C1345" s="324" t="s">
        <v>4269</v>
      </c>
      <c r="D1345" s="325" t="s">
        <v>6791</v>
      </c>
      <c r="E1345" s="326" t="s">
        <v>6792</v>
      </c>
    </row>
    <row r="1346" spans="1:5" s="327" customFormat="1" ht="14.5" customHeight="1" x14ac:dyDescent="0.35">
      <c r="A1346" s="323" t="str">
        <f>"36.0299"</f>
        <v>36.0299</v>
      </c>
      <c r="B1346" s="323" t="s">
        <v>4297</v>
      </c>
      <c r="C1346" s="324" t="s">
        <v>4269</v>
      </c>
      <c r="D1346" s="325" t="s">
        <v>6793</v>
      </c>
      <c r="E1346" s="326" t="s">
        <v>6794</v>
      </c>
    </row>
    <row r="1347" spans="1:5" ht="14.5" customHeight="1" x14ac:dyDescent="0.35">
      <c r="A1347" s="196" t="str">
        <f>"37"</f>
        <v>37</v>
      </c>
      <c r="B1347" s="196" t="s">
        <v>5760</v>
      </c>
      <c r="C1347" s="320" t="s">
        <v>4269</v>
      </c>
      <c r="D1347" s="321" t="s">
        <v>6795</v>
      </c>
      <c r="E1347" s="322" t="s">
        <v>6796</v>
      </c>
    </row>
    <row r="1348" spans="1:5" ht="14.5" customHeight="1" x14ac:dyDescent="0.35">
      <c r="A1348" s="196" t="str">
        <f>"37.01"</f>
        <v>37.01</v>
      </c>
      <c r="B1348" s="196" t="s">
        <v>5760</v>
      </c>
      <c r="C1348" s="320" t="s">
        <v>4269</v>
      </c>
      <c r="D1348" s="321" t="s">
        <v>6797</v>
      </c>
      <c r="E1348" s="322" t="s">
        <v>6798</v>
      </c>
    </row>
    <row r="1349" spans="1:5" ht="14.5" customHeight="1" x14ac:dyDescent="0.35">
      <c r="A1349" s="196" t="str">
        <f>"37.0101"</f>
        <v>37.0101</v>
      </c>
      <c r="B1349" s="196" t="s">
        <v>5760</v>
      </c>
      <c r="C1349" s="320" t="s">
        <v>4269</v>
      </c>
      <c r="D1349" s="321" t="s">
        <v>6799</v>
      </c>
      <c r="E1349" s="322" t="s">
        <v>6800</v>
      </c>
    </row>
    <row r="1350" spans="1:5" ht="14.5" customHeight="1" x14ac:dyDescent="0.35">
      <c r="A1350" s="196" t="str">
        <f>"37.0102"</f>
        <v>37.0102</v>
      </c>
      <c r="B1350" s="196" t="s">
        <v>5760</v>
      </c>
      <c r="C1350" s="320" t="s">
        <v>4269</v>
      </c>
      <c r="D1350" s="321" t="s">
        <v>6801</v>
      </c>
      <c r="E1350" s="322" t="s">
        <v>6802</v>
      </c>
    </row>
    <row r="1351" spans="1:5" ht="14.5" customHeight="1" x14ac:dyDescent="0.35">
      <c r="A1351" s="196" t="str">
        <f>"37.0103"</f>
        <v>37.0103</v>
      </c>
      <c r="B1351" s="196" t="s">
        <v>5760</v>
      </c>
      <c r="C1351" s="320" t="s">
        <v>4269</v>
      </c>
      <c r="D1351" s="321" t="s">
        <v>6803</v>
      </c>
      <c r="E1351" s="322" t="s">
        <v>6804</v>
      </c>
    </row>
    <row r="1352" spans="1:5" ht="14.5" customHeight="1" x14ac:dyDescent="0.35">
      <c r="A1352" s="196" t="str">
        <f>"37.0104"</f>
        <v>37.0104</v>
      </c>
      <c r="B1352" s="196" t="s">
        <v>5760</v>
      </c>
      <c r="C1352" s="320" t="s">
        <v>4269</v>
      </c>
      <c r="D1352" s="321" t="s">
        <v>6805</v>
      </c>
      <c r="E1352" s="322" t="s">
        <v>6806</v>
      </c>
    </row>
    <row r="1353" spans="1:5" s="327" customFormat="1" ht="14.5" customHeight="1" x14ac:dyDescent="0.35">
      <c r="A1353" s="323" t="str">
        <f>"37.0106"</f>
        <v>37.0106</v>
      </c>
      <c r="B1353" s="323" t="s">
        <v>4297</v>
      </c>
      <c r="C1353" s="324" t="s">
        <v>4269</v>
      </c>
      <c r="D1353" s="325" t="s">
        <v>6807</v>
      </c>
      <c r="E1353" s="326" t="s">
        <v>6808</v>
      </c>
    </row>
    <row r="1354" spans="1:5" s="327" customFormat="1" ht="14.5" customHeight="1" x14ac:dyDescent="0.35">
      <c r="A1354" s="323" t="str">
        <f>"37.0107"</f>
        <v>37.0107</v>
      </c>
      <c r="B1354" s="323" t="s">
        <v>4297</v>
      </c>
      <c r="C1354" s="324" t="s">
        <v>4269</v>
      </c>
      <c r="D1354" s="325" t="s">
        <v>6809</v>
      </c>
      <c r="E1354" s="326" t="s">
        <v>6810</v>
      </c>
    </row>
    <row r="1355" spans="1:5" ht="14.5" customHeight="1" x14ac:dyDescent="0.35">
      <c r="A1355" s="196" t="str">
        <f>"37.0199"</f>
        <v>37.0199</v>
      </c>
      <c r="B1355" s="196" t="s">
        <v>5760</v>
      </c>
      <c r="C1355" s="320" t="s">
        <v>4269</v>
      </c>
      <c r="D1355" s="321" t="s">
        <v>6811</v>
      </c>
      <c r="E1355" s="322" t="s">
        <v>6812</v>
      </c>
    </row>
    <row r="1356" spans="1:5" ht="14.5" customHeight="1" x14ac:dyDescent="0.35">
      <c r="A1356" s="196" t="str">
        <f>"38"</f>
        <v>38</v>
      </c>
      <c r="B1356" s="196" t="s">
        <v>5760</v>
      </c>
      <c r="C1356" s="320" t="s">
        <v>4269</v>
      </c>
      <c r="D1356" s="321" t="s">
        <v>6813</v>
      </c>
      <c r="E1356" s="322" t="s">
        <v>6814</v>
      </c>
    </row>
    <row r="1357" spans="1:5" ht="14.5" customHeight="1" x14ac:dyDescent="0.35">
      <c r="A1357" s="196" t="str">
        <f>"38.00"</f>
        <v>38.00</v>
      </c>
      <c r="B1357" s="196" t="s">
        <v>5760</v>
      </c>
      <c r="C1357" s="320" t="s">
        <v>4269</v>
      </c>
      <c r="D1357" s="321" t="s">
        <v>6815</v>
      </c>
      <c r="E1357" s="322" t="s">
        <v>6816</v>
      </c>
    </row>
    <row r="1358" spans="1:5" ht="14.5" customHeight="1" x14ac:dyDescent="0.35">
      <c r="A1358" s="196" t="str">
        <f>"38.0001"</f>
        <v>38.0001</v>
      </c>
      <c r="B1358" s="196" t="s">
        <v>5760</v>
      </c>
      <c r="C1358" s="320" t="s">
        <v>4269</v>
      </c>
      <c r="D1358" s="321" t="s">
        <v>6815</v>
      </c>
      <c r="E1358" s="322" t="s">
        <v>6817</v>
      </c>
    </row>
    <row r="1359" spans="1:5" ht="14.5" customHeight="1" x14ac:dyDescent="0.35">
      <c r="A1359" s="196" t="str">
        <f>"38.01"</f>
        <v>38.01</v>
      </c>
      <c r="B1359" s="196" t="s">
        <v>5760</v>
      </c>
      <c r="C1359" s="320" t="s">
        <v>4269</v>
      </c>
      <c r="D1359" s="321" t="s">
        <v>6818</v>
      </c>
      <c r="E1359" s="322" t="s">
        <v>6819</v>
      </c>
    </row>
    <row r="1360" spans="1:5" ht="14.5" customHeight="1" x14ac:dyDescent="0.35">
      <c r="A1360" s="196" t="str">
        <f>"38.0101"</f>
        <v>38.0101</v>
      </c>
      <c r="B1360" s="196" t="s">
        <v>5760</v>
      </c>
      <c r="C1360" s="320" t="s">
        <v>4269</v>
      </c>
      <c r="D1360" s="321" t="s">
        <v>6818</v>
      </c>
      <c r="E1360" s="322" t="s">
        <v>6820</v>
      </c>
    </row>
    <row r="1361" spans="1:5" ht="14.5" customHeight="1" x14ac:dyDescent="0.35">
      <c r="A1361" s="196" t="str">
        <f>"38.0102"</f>
        <v>38.0102</v>
      </c>
      <c r="B1361" s="196" t="s">
        <v>5760</v>
      </c>
      <c r="C1361" s="320" t="s">
        <v>4269</v>
      </c>
      <c r="D1361" s="321" t="s">
        <v>6821</v>
      </c>
      <c r="E1361" s="322" t="s">
        <v>6822</v>
      </c>
    </row>
    <row r="1362" spans="1:5" ht="14.5" customHeight="1" x14ac:dyDescent="0.35">
      <c r="A1362" s="196" t="str">
        <f>"38.0103"</f>
        <v>38.0103</v>
      </c>
      <c r="B1362" s="196" t="s">
        <v>5760</v>
      </c>
      <c r="C1362" s="320" t="s">
        <v>4269</v>
      </c>
      <c r="D1362" s="321" t="s">
        <v>6823</v>
      </c>
      <c r="E1362" s="322" t="s">
        <v>6824</v>
      </c>
    </row>
    <row r="1363" spans="1:5" ht="14.5" customHeight="1" x14ac:dyDescent="0.35">
      <c r="A1363" s="196" t="str">
        <f>"38.0104"</f>
        <v>38.0104</v>
      </c>
      <c r="B1363" s="196" t="s">
        <v>5760</v>
      </c>
      <c r="C1363" s="320" t="s">
        <v>4269</v>
      </c>
      <c r="D1363" s="321" t="s">
        <v>6825</v>
      </c>
      <c r="E1363" s="322" t="s">
        <v>6826</v>
      </c>
    </row>
    <row r="1364" spans="1:5" ht="14.5" customHeight="1" x14ac:dyDescent="0.35">
      <c r="A1364" s="196" t="str">
        <f>"38.0199"</f>
        <v>38.0199</v>
      </c>
      <c r="B1364" s="196" t="s">
        <v>5760</v>
      </c>
      <c r="C1364" s="320" t="s">
        <v>4269</v>
      </c>
      <c r="D1364" s="321" t="s">
        <v>6827</v>
      </c>
      <c r="E1364" s="322" t="s">
        <v>6828</v>
      </c>
    </row>
    <row r="1365" spans="1:5" ht="14.5" customHeight="1" x14ac:dyDescent="0.35">
      <c r="A1365" s="196" t="str">
        <f>"38.02"</f>
        <v>38.02</v>
      </c>
      <c r="B1365" s="196" t="s">
        <v>5760</v>
      </c>
      <c r="C1365" s="320" t="s">
        <v>4269</v>
      </c>
      <c r="D1365" s="321" t="s">
        <v>6829</v>
      </c>
      <c r="E1365" s="322" t="s">
        <v>6830</v>
      </c>
    </row>
    <row r="1366" spans="1:5" ht="14.5" customHeight="1" x14ac:dyDescent="0.35">
      <c r="A1366" s="196" t="str">
        <f>"38.0201"</f>
        <v>38.0201</v>
      </c>
      <c r="B1366" s="196" t="s">
        <v>5760</v>
      </c>
      <c r="C1366" s="320" t="s">
        <v>4269</v>
      </c>
      <c r="D1366" s="321" t="s">
        <v>6829</v>
      </c>
      <c r="E1366" s="322" t="s">
        <v>6831</v>
      </c>
    </row>
    <row r="1367" spans="1:5" ht="14.5" customHeight="1" x14ac:dyDescent="0.35">
      <c r="A1367" s="196" t="str">
        <f>"38.0202"</f>
        <v>38.0202</v>
      </c>
      <c r="B1367" s="196" t="s">
        <v>5760</v>
      </c>
      <c r="C1367" s="320" t="s">
        <v>4269</v>
      </c>
      <c r="D1367" s="321" t="s">
        <v>6832</v>
      </c>
      <c r="E1367" s="322" t="s">
        <v>6833</v>
      </c>
    </row>
    <row r="1368" spans="1:5" ht="14.5" customHeight="1" x14ac:dyDescent="0.35">
      <c r="A1368" s="196" t="str">
        <f>"38.0203"</f>
        <v>38.0203</v>
      </c>
      <c r="B1368" s="196" t="s">
        <v>5760</v>
      </c>
      <c r="C1368" s="320" t="s">
        <v>4269</v>
      </c>
      <c r="D1368" s="321" t="s">
        <v>6834</v>
      </c>
      <c r="E1368" s="322" t="s">
        <v>6835</v>
      </c>
    </row>
    <row r="1369" spans="1:5" ht="14.5" customHeight="1" x14ac:dyDescent="0.35">
      <c r="A1369" s="196" t="str">
        <f>"38.0204"</f>
        <v>38.0204</v>
      </c>
      <c r="B1369" s="196" t="s">
        <v>5760</v>
      </c>
      <c r="C1369" s="320" t="s">
        <v>4269</v>
      </c>
      <c r="D1369" s="321" t="s">
        <v>6836</v>
      </c>
      <c r="E1369" s="322" t="s">
        <v>6837</v>
      </c>
    </row>
    <row r="1370" spans="1:5" ht="14.5" customHeight="1" x14ac:dyDescent="0.35">
      <c r="A1370" s="196" t="str">
        <f>"38.0205"</f>
        <v>38.0205</v>
      </c>
      <c r="B1370" s="196" t="s">
        <v>5760</v>
      </c>
      <c r="C1370" s="320" t="s">
        <v>4269</v>
      </c>
      <c r="D1370" s="321" t="s">
        <v>6838</v>
      </c>
      <c r="E1370" s="322" t="s">
        <v>6839</v>
      </c>
    </row>
    <row r="1371" spans="1:5" ht="14.5" customHeight="1" x14ac:dyDescent="0.35">
      <c r="A1371" s="196" t="str">
        <f>"38.0206"</f>
        <v>38.0206</v>
      </c>
      <c r="B1371" s="196" t="s">
        <v>5760</v>
      </c>
      <c r="C1371" s="320" t="s">
        <v>4269</v>
      </c>
      <c r="D1371" s="321" t="s">
        <v>6840</v>
      </c>
      <c r="E1371" s="322" t="s">
        <v>6841</v>
      </c>
    </row>
    <row r="1372" spans="1:5" s="327" customFormat="1" ht="14.5" customHeight="1" x14ac:dyDescent="0.35">
      <c r="A1372" s="323" t="str">
        <f>"38.0207"</f>
        <v>38.0207</v>
      </c>
      <c r="B1372" s="323" t="s">
        <v>4403</v>
      </c>
      <c r="C1372" s="324" t="s">
        <v>4266</v>
      </c>
      <c r="D1372" s="325" t="s">
        <v>6842</v>
      </c>
      <c r="E1372" s="326" t="s">
        <v>6843</v>
      </c>
    </row>
    <row r="1373" spans="1:5" s="327" customFormat="1" ht="14.5" customHeight="1" x14ac:dyDescent="0.35">
      <c r="A1373" s="323" t="str">
        <f>"38.0208"</f>
        <v>38.0208</v>
      </c>
      <c r="B1373" s="323" t="s">
        <v>4297</v>
      </c>
      <c r="C1373" s="324" t="s">
        <v>4269</v>
      </c>
      <c r="D1373" s="325" t="s">
        <v>6844</v>
      </c>
      <c r="E1373" s="326" t="s">
        <v>6845</v>
      </c>
    </row>
    <row r="1374" spans="1:5" s="327" customFormat="1" ht="14.5" customHeight="1" x14ac:dyDescent="0.35">
      <c r="A1374" s="323" t="str">
        <f>"38.0209"</f>
        <v>38.0209</v>
      </c>
      <c r="B1374" s="323" t="s">
        <v>4297</v>
      </c>
      <c r="C1374" s="324" t="s">
        <v>4269</v>
      </c>
      <c r="D1374" s="325" t="s">
        <v>6846</v>
      </c>
      <c r="E1374" s="326" t="s">
        <v>6847</v>
      </c>
    </row>
    <row r="1375" spans="1:5" ht="14.5" customHeight="1" x14ac:dyDescent="0.35">
      <c r="A1375" s="196" t="str">
        <f>"38.0299"</f>
        <v>38.0299</v>
      </c>
      <c r="B1375" s="196" t="s">
        <v>5760</v>
      </c>
      <c r="C1375" s="320" t="s">
        <v>4269</v>
      </c>
      <c r="D1375" s="321" t="s">
        <v>6848</v>
      </c>
      <c r="E1375" s="322" t="s">
        <v>6849</v>
      </c>
    </row>
    <row r="1376" spans="1:5" ht="14.5" customHeight="1" x14ac:dyDescent="0.35">
      <c r="A1376" s="196" t="str">
        <f>"38.99"</f>
        <v>38.99</v>
      </c>
      <c r="B1376" s="196" t="s">
        <v>5760</v>
      </c>
      <c r="C1376" s="320" t="s">
        <v>4269</v>
      </c>
      <c r="D1376" s="321" t="s">
        <v>6850</v>
      </c>
      <c r="E1376" s="322" t="s">
        <v>6851</v>
      </c>
    </row>
    <row r="1377" spans="1:5" ht="14.5" customHeight="1" x14ac:dyDescent="0.35">
      <c r="A1377" s="196" t="str">
        <f>"38.9999"</f>
        <v>38.9999</v>
      </c>
      <c r="B1377" s="196" t="s">
        <v>5760</v>
      </c>
      <c r="C1377" s="320" t="s">
        <v>4269</v>
      </c>
      <c r="D1377" s="321" t="s">
        <v>6850</v>
      </c>
      <c r="E1377" s="322" t="s">
        <v>6852</v>
      </c>
    </row>
    <row r="1378" spans="1:5" ht="14.5" customHeight="1" x14ac:dyDescent="0.35">
      <c r="A1378" s="196" t="str">
        <f>"39"</f>
        <v>39</v>
      </c>
      <c r="B1378" s="196" t="s">
        <v>5760</v>
      </c>
      <c r="C1378" s="320" t="s">
        <v>4269</v>
      </c>
      <c r="D1378" s="321" t="s">
        <v>6853</v>
      </c>
      <c r="E1378" s="322" t="s">
        <v>6854</v>
      </c>
    </row>
    <row r="1379" spans="1:5" ht="14.5" customHeight="1" x14ac:dyDescent="0.35">
      <c r="A1379" s="196" t="str">
        <f>"39.02"</f>
        <v>39.02</v>
      </c>
      <c r="B1379" s="196" t="s">
        <v>5760</v>
      </c>
      <c r="C1379" s="320" t="s">
        <v>4269</v>
      </c>
      <c r="D1379" s="321" t="s">
        <v>6855</v>
      </c>
      <c r="E1379" s="322" t="s">
        <v>6856</v>
      </c>
    </row>
    <row r="1380" spans="1:5" ht="14.5" customHeight="1" x14ac:dyDescent="0.35">
      <c r="A1380" s="196" t="str">
        <f>"39.0201"</f>
        <v>39.0201</v>
      </c>
      <c r="B1380" s="196" t="s">
        <v>5760</v>
      </c>
      <c r="C1380" s="320" t="s">
        <v>4269</v>
      </c>
      <c r="D1380" s="321" t="s">
        <v>6855</v>
      </c>
      <c r="E1380" s="322" t="s">
        <v>6857</v>
      </c>
    </row>
    <row r="1381" spans="1:5" ht="14.5" customHeight="1" x14ac:dyDescent="0.35">
      <c r="A1381" s="196" t="str">
        <f>"39.03"</f>
        <v>39.03</v>
      </c>
      <c r="B1381" s="196" t="s">
        <v>5760</v>
      </c>
      <c r="C1381" s="320" t="s">
        <v>4269</v>
      </c>
      <c r="D1381" s="321" t="s">
        <v>6858</v>
      </c>
      <c r="E1381" s="322" t="s">
        <v>6859</v>
      </c>
    </row>
    <row r="1382" spans="1:5" ht="14.5" customHeight="1" x14ac:dyDescent="0.35">
      <c r="A1382" s="196" t="str">
        <f>"39.0301"</f>
        <v>39.0301</v>
      </c>
      <c r="B1382" s="196" t="s">
        <v>4265</v>
      </c>
      <c r="C1382" s="320" t="s">
        <v>4266</v>
      </c>
      <c r="D1382" s="321" t="s">
        <v>6860</v>
      </c>
      <c r="E1382" s="322" t="s">
        <v>6861</v>
      </c>
    </row>
    <row r="1383" spans="1:5" s="327" customFormat="1" ht="14.5" customHeight="1" x14ac:dyDescent="0.35">
      <c r="A1383" s="323" t="str">
        <f>"39.0302"</f>
        <v>39.0302</v>
      </c>
      <c r="B1383" s="323" t="s">
        <v>4297</v>
      </c>
      <c r="C1383" s="324" t="s">
        <v>4269</v>
      </c>
      <c r="D1383" s="325" t="s">
        <v>6862</v>
      </c>
      <c r="E1383" s="326" t="s">
        <v>6863</v>
      </c>
    </row>
    <row r="1384" spans="1:5" s="327" customFormat="1" ht="14.5" customHeight="1" x14ac:dyDescent="0.35">
      <c r="A1384" s="323" t="str">
        <f>"39.0399"</f>
        <v>39.0399</v>
      </c>
      <c r="B1384" s="323" t="s">
        <v>4297</v>
      </c>
      <c r="C1384" s="324" t="s">
        <v>4269</v>
      </c>
      <c r="D1384" s="325" t="s">
        <v>6864</v>
      </c>
      <c r="E1384" s="326" t="s">
        <v>6865</v>
      </c>
    </row>
    <row r="1385" spans="1:5" ht="14.5" customHeight="1" x14ac:dyDescent="0.35">
      <c r="A1385" s="196" t="str">
        <f>"39.04"</f>
        <v>39.04</v>
      </c>
      <c r="B1385" s="196" t="s">
        <v>5760</v>
      </c>
      <c r="C1385" s="320" t="s">
        <v>4269</v>
      </c>
      <c r="D1385" s="321" t="s">
        <v>6866</v>
      </c>
      <c r="E1385" s="322" t="s">
        <v>6867</v>
      </c>
    </row>
    <row r="1386" spans="1:5" ht="14.5" customHeight="1" x14ac:dyDescent="0.35">
      <c r="A1386" s="196" t="str">
        <f>"39.0401"</f>
        <v>39.0401</v>
      </c>
      <c r="B1386" s="196" t="s">
        <v>5760</v>
      </c>
      <c r="C1386" s="320" t="s">
        <v>4269</v>
      </c>
      <c r="D1386" s="321" t="s">
        <v>6866</v>
      </c>
      <c r="E1386" s="322" t="s">
        <v>6868</v>
      </c>
    </row>
    <row r="1387" spans="1:5" ht="14.5" customHeight="1" x14ac:dyDescent="0.35">
      <c r="A1387" s="196" t="str">
        <f>"39.05"</f>
        <v>39.05</v>
      </c>
      <c r="B1387" s="196" t="s">
        <v>4265</v>
      </c>
      <c r="C1387" s="320" t="s">
        <v>4266</v>
      </c>
      <c r="D1387" s="321" t="s">
        <v>6869</v>
      </c>
      <c r="E1387" s="322" t="s">
        <v>6870</v>
      </c>
    </row>
    <row r="1388" spans="1:5" ht="14.5" customHeight="1" x14ac:dyDescent="0.35">
      <c r="A1388" s="196" t="str">
        <f>"39.0501"</f>
        <v>39.0501</v>
      </c>
      <c r="B1388" s="196" t="s">
        <v>5760</v>
      </c>
      <c r="C1388" s="320" t="s">
        <v>4269</v>
      </c>
      <c r="D1388" s="321" t="s">
        <v>6871</v>
      </c>
      <c r="E1388" s="322" t="s">
        <v>6872</v>
      </c>
    </row>
    <row r="1389" spans="1:5" s="327" customFormat="1" ht="14.5" customHeight="1" x14ac:dyDescent="0.35">
      <c r="A1389" s="323" t="str">
        <f>"39.0502"</f>
        <v>39.0502</v>
      </c>
      <c r="B1389" s="323" t="s">
        <v>4297</v>
      </c>
      <c r="C1389" s="324" t="s">
        <v>4269</v>
      </c>
      <c r="D1389" s="325" t="s">
        <v>6873</v>
      </c>
      <c r="E1389" s="326" t="s">
        <v>6874</v>
      </c>
    </row>
    <row r="1390" spans="1:5" s="327" customFormat="1" ht="14.5" customHeight="1" x14ac:dyDescent="0.35">
      <c r="A1390" s="323" t="str">
        <f>"39.0599"</f>
        <v>39.0599</v>
      </c>
      <c r="B1390" s="323" t="s">
        <v>4297</v>
      </c>
      <c r="C1390" s="324" t="s">
        <v>4269</v>
      </c>
      <c r="D1390" s="325" t="s">
        <v>6875</v>
      </c>
      <c r="E1390" s="326" t="s">
        <v>6876</v>
      </c>
    </row>
    <row r="1391" spans="1:5" ht="14.5" customHeight="1" x14ac:dyDescent="0.35">
      <c r="A1391" s="196" t="str">
        <f>"39.06"</f>
        <v>39.06</v>
      </c>
      <c r="B1391" s="196" t="s">
        <v>5760</v>
      </c>
      <c r="C1391" s="320" t="s">
        <v>4269</v>
      </c>
      <c r="D1391" s="321" t="s">
        <v>6877</v>
      </c>
      <c r="E1391" s="322" t="s">
        <v>6878</v>
      </c>
    </row>
    <row r="1392" spans="1:5" ht="14.5" customHeight="1" x14ac:dyDescent="0.35">
      <c r="A1392" s="196" t="str">
        <f>"39.0601"</f>
        <v>39.0601</v>
      </c>
      <c r="B1392" s="196" t="s">
        <v>5760</v>
      </c>
      <c r="C1392" s="320" t="s">
        <v>4269</v>
      </c>
      <c r="D1392" s="321" t="s">
        <v>6879</v>
      </c>
      <c r="E1392" s="322" t="s">
        <v>6880</v>
      </c>
    </row>
    <row r="1393" spans="1:5" ht="14.5" customHeight="1" x14ac:dyDescent="0.35">
      <c r="A1393" s="196" t="str">
        <f>"39.0602"</f>
        <v>39.0602</v>
      </c>
      <c r="B1393" s="196" t="s">
        <v>5760</v>
      </c>
      <c r="C1393" s="320" t="s">
        <v>4269</v>
      </c>
      <c r="D1393" s="321" t="s">
        <v>6881</v>
      </c>
      <c r="E1393" s="322" t="s">
        <v>6882</v>
      </c>
    </row>
    <row r="1394" spans="1:5" ht="14.5" customHeight="1" x14ac:dyDescent="0.35">
      <c r="A1394" s="196" t="str">
        <f>"39.0604"</f>
        <v>39.0604</v>
      </c>
      <c r="B1394" s="196" t="s">
        <v>5760</v>
      </c>
      <c r="C1394" s="320" t="s">
        <v>4269</v>
      </c>
      <c r="D1394" s="321" t="s">
        <v>6883</v>
      </c>
      <c r="E1394" s="322" t="s">
        <v>6884</v>
      </c>
    </row>
    <row r="1395" spans="1:5" ht="14.5" customHeight="1" x14ac:dyDescent="0.35">
      <c r="A1395" s="196" t="str">
        <f>"39.0605"</f>
        <v>39.0605</v>
      </c>
      <c r="B1395" s="196" t="s">
        <v>5760</v>
      </c>
      <c r="C1395" s="320" t="s">
        <v>4269</v>
      </c>
      <c r="D1395" s="321" t="s">
        <v>6885</v>
      </c>
      <c r="E1395" s="322" t="s">
        <v>6886</v>
      </c>
    </row>
    <row r="1396" spans="1:5" s="332" customFormat="1" ht="14.5" customHeight="1" x14ac:dyDescent="0.35">
      <c r="A1396" s="328" t="str">
        <f>"39.0606"</f>
        <v>39.0606</v>
      </c>
      <c r="B1396" s="328" t="s">
        <v>4318</v>
      </c>
      <c r="C1396" s="329" t="s">
        <v>4269</v>
      </c>
      <c r="D1396" s="330" t="s">
        <v>6842</v>
      </c>
      <c r="E1396" s="331" t="s">
        <v>6887</v>
      </c>
    </row>
    <row r="1397" spans="1:5" ht="14.5" customHeight="1" x14ac:dyDescent="0.35">
      <c r="A1397" s="196" t="str">
        <f>"39.0699"</f>
        <v>39.0699</v>
      </c>
      <c r="B1397" s="196" t="s">
        <v>5760</v>
      </c>
      <c r="C1397" s="320" t="s">
        <v>4269</v>
      </c>
      <c r="D1397" s="321" t="s">
        <v>6888</v>
      </c>
      <c r="E1397" s="322" t="s">
        <v>6889</v>
      </c>
    </row>
    <row r="1398" spans="1:5" ht="14.5" customHeight="1" x14ac:dyDescent="0.35">
      <c r="A1398" s="196" t="str">
        <f>"39.07"</f>
        <v>39.07</v>
      </c>
      <c r="B1398" s="196" t="s">
        <v>5760</v>
      </c>
      <c r="C1398" s="320" t="s">
        <v>4269</v>
      </c>
      <c r="D1398" s="321" t="s">
        <v>6890</v>
      </c>
      <c r="E1398" s="322" t="s">
        <v>6891</v>
      </c>
    </row>
    <row r="1399" spans="1:5" ht="14.5" customHeight="1" x14ac:dyDescent="0.35">
      <c r="A1399" s="196" t="str">
        <f>"39.0701"</f>
        <v>39.0701</v>
      </c>
      <c r="B1399" s="196" t="s">
        <v>5760</v>
      </c>
      <c r="C1399" s="320" t="s">
        <v>4269</v>
      </c>
      <c r="D1399" s="321" t="s">
        <v>6892</v>
      </c>
      <c r="E1399" s="322" t="s">
        <v>6893</v>
      </c>
    </row>
    <row r="1400" spans="1:5" ht="14.5" customHeight="1" x14ac:dyDescent="0.35">
      <c r="A1400" s="196" t="str">
        <f>"39.0702"</f>
        <v>39.0702</v>
      </c>
      <c r="B1400" s="196" t="s">
        <v>5760</v>
      </c>
      <c r="C1400" s="320" t="s">
        <v>4269</v>
      </c>
      <c r="D1400" s="321" t="s">
        <v>6894</v>
      </c>
      <c r="E1400" s="322" t="s">
        <v>6895</v>
      </c>
    </row>
    <row r="1401" spans="1:5" ht="14.5" customHeight="1" x14ac:dyDescent="0.35">
      <c r="A1401" s="196" t="str">
        <f>"39.0703"</f>
        <v>39.0703</v>
      </c>
      <c r="B1401" s="196" t="s">
        <v>5760</v>
      </c>
      <c r="C1401" s="320" t="s">
        <v>4269</v>
      </c>
      <c r="D1401" s="321" t="s">
        <v>6896</v>
      </c>
      <c r="E1401" s="322" t="s">
        <v>6897</v>
      </c>
    </row>
    <row r="1402" spans="1:5" ht="14.5" customHeight="1" x14ac:dyDescent="0.35">
      <c r="A1402" s="196" t="str">
        <f>"39.0704"</f>
        <v>39.0704</v>
      </c>
      <c r="B1402" s="196" t="s">
        <v>5760</v>
      </c>
      <c r="C1402" s="320" t="s">
        <v>4269</v>
      </c>
      <c r="D1402" s="321" t="s">
        <v>6898</v>
      </c>
      <c r="E1402" s="322" t="s">
        <v>6899</v>
      </c>
    </row>
    <row r="1403" spans="1:5" ht="14.5" customHeight="1" x14ac:dyDescent="0.35">
      <c r="A1403" s="196" t="str">
        <f>"39.0705"</f>
        <v>39.0705</v>
      </c>
      <c r="B1403" s="196" t="s">
        <v>5760</v>
      </c>
      <c r="C1403" s="320" t="s">
        <v>4269</v>
      </c>
      <c r="D1403" s="321" t="s">
        <v>6900</v>
      </c>
      <c r="E1403" s="322" t="s">
        <v>6901</v>
      </c>
    </row>
    <row r="1404" spans="1:5" s="327" customFormat="1" ht="14.5" customHeight="1" x14ac:dyDescent="0.35">
      <c r="A1404" s="323" t="str">
        <f>"39.0706"</f>
        <v>39.0706</v>
      </c>
      <c r="B1404" s="323" t="s">
        <v>4297</v>
      </c>
      <c r="C1404" s="324" t="s">
        <v>4269</v>
      </c>
      <c r="D1404" s="325" t="s">
        <v>6902</v>
      </c>
      <c r="E1404" s="326" t="s">
        <v>6903</v>
      </c>
    </row>
    <row r="1405" spans="1:5" ht="14.5" customHeight="1" x14ac:dyDescent="0.35">
      <c r="A1405" s="196" t="str">
        <f>"39.0799"</f>
        <v>39.0799</v>
      </c>
      <c r="B1405" s="196" t="s">
        <v>5760</v>
      </c>
      <c r="C1405" s="320" t="s">
        <v>4269</v>
      </c>
      <c r="D1405" s="321" t="s">
        <v>6904</v>
      </c>
      <c r="E1405" s="322" t="s">
        <v>6905</v>
      </c>
    </row>
    <row r="1406" spans="1:5" s="327" customFormat="1" ht="14.5" customHeight="1" x14ac:dyDescent="0.35">
      <c r="A1406" s="323" t="str">
        <f>"39.08"</f>
        <v>39.08</v>
      </c>
      <c r="B1406" s="323" t="s">
        <v>4297</v>
      </c>
      <c r="C1406" s="324" t="s">
        <v>4269</v>
      </c>
      <c r="D1406" s="325" t="s">
        <v>6906</v>
      </c>
      <c r="E1406" s="326" t="s">
        <v>6907</v>
      </c>
    </row>
    <row r="1407" spans="1:5" s="327" customFormat="1" ht="14.5" customHeight="1" x14ac:dyDescent="0.35">
      <c r="A1407" s="323" t="str">
        <f>"39.0801"</f>
        <v>39.0801</v>
      </c>
      <c r="B1407" s="323" t="s">
        <v>4297</v>
      </c>
      <c r="C1407" s="324" t="s">
        <v>4269</v>
      </c>
      <c r="D1407" s="325" t="s">
        <v>6908</v>
      </c>
      <c r="E1407" s="326" t="s">
        <v>6909</v>
      </c>
    </row>
    <row r="1408" spans="1:5" s="327" customFormat="1" ht="14.5" customHeight="1" x14ac:dyDescent="0.35">
      <c r="A1408" s="323" t="str">
        <f>"39.0802"</f>
        <v>39.0802</v>
      </c>
      <c r="B1408" s="323" t="s">
        <v>4297</v>
      </c>
      <c r="C1408" s="324" t="s">
        <v>4269</v>
      </c>
      <c r="D1408" s="325" t="s">
        <v>6910</v>
      </c>
      <c r="E1408" s="326" t="s">
        <v>6911</v>
      </c>
    </row>
    <row r="1409" spans="1:5" s="327" customFormat="1" ht="14.5" customHeight="1" x14ac:dyDescent="0.35">
      <c r="A1409" s="323" t="str">
        <f>"39.0899"</f>
        <v>39.0899</v>
      </c>
      <c r="B1409" s="323" t="s">
        <v>4297</v>
      </c>
      <c r="C1409" s="324" t="s">
        <v>4269</v>
      </c>
      <c r="D1409" s="325" t="s">
        <v>6912</v>
      </c>
      <c r="E1409" s="326" t="s">
        <v>6913</v>
      </c>
    </row>
    <row r="1410" spans="1:5" ht="14.5" customHeight="1" x14ac:dyDescent="0.35">
      <c r="A1410" s="196" t="str">
        <f>"39.99"</f>
        <v>39.99</v>
      </c>
      <c r="B1410" s="196" t="s">
        <v>5760</v>
      </c>
      <c r="C1410" s="320" t="s">
        <v>4269</v>
      </c>
      <c r="D1410" s="321" t="s">
        <v>6914</v>
      </c>
      <c r="E1410" s="322" t="s">
        <v>6915</v>
      </c>
    </row>
    <row r="1411" spans="1:5" ht="14.5" customHeight="1" x14ac:dyDescent="0.35">
      <c r="A1411" s="196" t="str">
        <f>"39.9999"</f>
        <v>39.9999</v>
      </c>
      <c r="B1411" s="196" t="s">
        <v>5760</v>
      </c>
      <c r="C1411" s="320" t="s">
        <v>4269</v>
      </c>
      <c r="D1411" s="321" t="s">
        <v>6914</v>
      </c>
      <c r="E1411" s="322" t="s">
        <v>6916</v>
      </c>
    </row>
    <row r="1412" spans="1:5" ht="14.5" customHeight="1" x14ac:dyDescent="0.35">
      <c r="A1412" s="196" t="str">
        <f>"40"</f>
        <v>40</v>
      </c>
      <c r="B1412" s="196" t="s">
        <v>5760</v>
      </c>
      <c r="C1412" s="320" t="s">
        <v>4269</v>
      </c>
      <c r="D1412" s="321" t="s">
        <v>6917</v>
      </c>
      <c r="E1412" s="322" t="s">
        <v>6918</v>
      </c>
    </row>
    <row r="1413" spans="1:5" ht="14.5" customHeight="1" x14ac:dyDescent="0.35">
      <c r="A1413" s="196" t="str">
        <f>"40.01"</f>
        <v>40.01</v>
      </c>
      <c r="B1413" s="196" t="s">
        <v>4265</v>
      </c>
      <c r="C1413" s="320" t="s">
        <v>4266</v>
      </c>
      <c r="D1413" s="321" t="s">
        <v>6919</v>
      </c>
      <c r="E1413" s="322" t="s">
        <v>6920</v>
      </c>
    </row>
    <row r="1414" spans="1:5" ht="14.5" customHeight="1" x14ac:dyDescent="0.35">
      <c r="A1414" s="196" t="str">
        <f>"40.0101"</f>
        <v>40.0101</v>
      </c>
      <c r="B1414" s="196" t="s">
        <v>4265</v>
      </c>
      <c r="C1414" s="320" t="s">
        <v>4266</v>
      </c>
      <c r="D1414" s="321" t="s">
        <v>6919</v>
      </c>
      <c r="E1414" s="322" t="s">
        <v>6921</v>
      </c>
    </row>
    <row r="1415" spans="1:5" ht="14.5" customHeight="1" x14ac:dyDescent="0.35">
      <c r="A1415" s="196" t="str">
        <f>"40.02"</f>
        <v>40.02</v>
      </c>
      <c r="B1415" s="196" t="s">
        <v>5760</v>
      </c>
      <c r="C1415" s="320" t="s">
        <v>4269</v>
      </c>
      <c r="D1415" s="321" t="s">
        <v>6922</v>
      </c>
      <c r="E1415" s="322" t="s">
        <v>6923</v>
      </c>
    </row>
    <row r="1416" spans="1:5" ht="14.5" customHeight="1" x14ac:dyDescent="0.35">
      <c r="A1416" s="196" t="str">
        <f>"40.0201"</f>
        <v>40.0201</v>
      </c>
      <c r="B1416" s="196" t="s">
        <v>5760</v>
      </c>
      <c r="C1416" s="320" t="s">
        <v>4269</v>
      </c>
      <c r="D1416" s="321" t="s">
        <v>6924</v>
      </c>
      <c r="E1416" s="322" t="s">
        <v>6925</v>
      </c>
    </row>
    <row r="1417" spans="1:5" ht="14.5" customHeight="1" x14ac:dyDescent="0.35">
      <c r="A1417" s="196" t="str">
        <f>"40.0202"</f>
        <v>40.0202</v>
      </c>
      <c r="B1417" s="196" t="s">
        <v>5760</v>
      </c>
      <c r="C1417" s="320" t="s">
        <v>4269</v>
      </c>
      <c r="D1417" s="321" t="s">
        <v>6926</v>
      </c>
      <c r="E1417" s="322" t="s">
        <v>6927</v>
      </c>
    </row>
    <row r="1418" spans="1:5" ht="14.5" customHeight="1" x14ac:dyDescent="0.35">
      <c r="A1418" s="196" t="str">
        <f>"40.0203"</f>
        <v>40.0203</v>
      </c>
      <c r="B1418" s="196" t="s">
        <v>5760</v>
      </c>
      <c r="C1418" s="320" t="s">
        <v>4269</v>
      </c>
      <c r="D1418" s="321" t="s">
        <v>6928</v>
      </c>
      <c r="E1418" s="322" t="s">
        <v>6929</v>
      </c>
    </row>
    <row r="1419" spans="1:5" ht="14.5" customHeight="1" x14ac:dyDescent="0.35">
      <c r="A1419" s="196" t="str">
        <f>"40.0299"</f>
        <v>40.0299</v>
      </c>
      <c r="B1419" s="196" t="s">
        <v>5760</v>
      </c>
      <c r="C1419" s="320" t="s">
        <v>4269</v>
      </c>
      <c r="D1419" s="321" t="s">
        <v>6930</v>
      </c>
      <c r="E1419" s="322" t="s">
        <v>6931</v>
      </c>
    </row>
    <row r="1420" spans="1:5" ht="14.5" customHeight="1" x14ac:dyDescent="0.35">
      <c r="A1420" s="196" t="str">
        <f>"40.04"</f>
        <v>40.04</v>
      </c>
      <c r="B1420" s="196" t="s">
        <v>5760</v>
      </c>
      <c r="C1420" s="320" t="s">
        <v>4269</v>
      </c>
      <c r="D1420" s="321" t="s">
        <v>6932</v>
      </c>
      <c r="E1420" s="322" t="s">
        <v>6933</v>
      </c>
    </row>
    <row r="1421" spans="1:5" ht="14.5" customHeight="1" x14ac:dyDescent="0.35">
      <c r="A1421" s="196" t="str">
        <f>"40.0401"</f>
        <v>40.0401</v>
      </c>
      <c r="B1421" s="196" t="s">
        <v>5760</v>
      </c>
      <c r="C1421" s="320" t="s">
        <v>4269</v>
      </c>
      <c r="D1421" s="321" t="s">
        <v>6934</v>
      </c>
      <c r="E1421" s="322" t="s">
        <v>6935</v>
      </c>
    </row>
    <row r="1422" spans="1:5" ht="14.5" customHeight="1" x14ac:dyDescent="0.35">
      <c r="A1422" s="196" t="str">
        <f>"40.0402"</f>
        <v>40.0402</v>
      </c>
      <c r="B1422" s="196" t="s">
        <v>5760</v>
      </c>
      <c r="C1422" s="320" t="s">
        <v>4269</v>
      </c>
      <c r="D1422" s="321" t="s">
        <v>6936</v>
      </c>
      <c r="E1422" s="322" t="s">
        <v>6937</v>
      </c>
    </row>
    <row r="1423" spans="1:5" ht="14.5" customHeight="1" x14ac:dyDescent="0.35">
      <c r="A1423" s="196" t="str">
        <f>"40.0403"</f>
        <v>40.0403</v>
      </c>
      <c r="B1423" s="196" t="s">
        <v>5760</v>
      </c>
      <c r="C1423" s="320" t="s">
        <v>4269</v>
      </c>
      <c r="D1423" s="321" t="s">
        <v>6938</v>
      </c>
      <c r="E1423" s="322" t="s">
        <v>6939</v>
      </c>
    </row>
    <row r="1424" spans="1:5" ht="14.5" customHeight="1" x14ac:dyDescent="0.35">
      <c r="A1424" s="196" t="str">
        <f>"40.0404"</f>
        <v>40.0404</v>
      </c>
      <c r="B1424" s="196" t="s">
        <v>5760</v>
      </c>
      <c r="C1424" s="320" t="s">
        <v>4269</v>
      </c>
      <c r="D1424" s="321" t="s">
        <v>6940</v>
      </c>
      <c r="E1424" s="322" t="s">
        <v>6941</v>
      </c>
    </row>
    <row r="1425" spans="1:5" ht="14.5" customHeight="1" x14ac:dyDescent="0.35">
      <c r="A1425" s="196" t="str">
        <f>"40.0499"</f>
        <v>40.0499</v>
      </c>
      <c r="B1425" s="196" t="s">
        <v>5760</v>
      </c>
      <c r="C1425" s="320" t="s">
        <v>4269</v>
      </c>
      <c r="D1425" s="321" t="s">
        <v>6942</v>
      </c>
      <c r="E1425" s="322" t="s">
        <v>6943</v>
      </c>
    </row>
    <row r="1426" spans="1:5" ht="14.5" customHeight="1" x14ac:dyDescent="0.35">
      <c r="A1426" s="196" t="str">
        <f>"40.05"</f>
        <v>40.05</v>
      </c>
      <c r="B1426" s="196" t="s">
        <v>5760</v>
      </c>
      <c r="C1426" s="320" t="s">
        <v>4269</v>
      </c>
      <c r="D1426" s="321" t="s">
        <v>6944</v>
      </c>
      <c r="E1426" s="322" t="s">
        <v>6945</v>
      </c>
    </row>
    <row r="1427" spans="1:5" ht="14.5" customHeight="1" x14ac:dyDescent="0.35">
      <c r="A1427" s="196" t="str">
        <f>"40.0501"</f>
        <v>40.0501</v>
      </c>
      <c r="B1427" s="196" t="s">
        <v>5760</v>
      </c>
      <c r="C1427" s="320" t="s">
        <v>4269</v>
      </c>
      <c r="D1427" s="321" t="s">
        <v>6946</v>
      </c>
      <c r="E1427" s="322" t="s">
        <v>6947</v>
      </c>
    </row>
    <row r="1428" spans="1:5" ht="14.5" customHeight="1" x14ac:dyDescent="0.35">
      <c r="A1428" s="196" t="str">
        <f>"40.0502"</f>
        <v>40.0502</v>
      </c>
      <c r="B1428" s="196" t="s">
        <v>5760</v>
      </c>
      <c r="C1428" s="320" t="s">
        <v>4269</v>
      </c>
      <c r="D1428" s="321" t="s">
        <v>6948</v>
      </c>
      <c r="E1428" s="322" t="s">
        <v>6949</v>
      </c>
    </row>
    <row r="1429" spans="1:5" ht="14.5" customHeight="1" x14ac:dyDescent="0.35">
      <c r="A1429" s="196" t="str">
        <f>"40.0503"</f>
        <v>40.0503</v>
      </c>
      <c r="B1429" s="196" t="s">
        <v>5760</v>
      </c>
      <c r="C1429" s="320" t="s">
        <v>4269</v>
      </c>
      <c r="D1429" s="321" t="s">
        <v>6950</v>
      </c>
      <c r="E1429" s="322" t="s">
        <v>6951</v>
      </c>
    </row>
    <row r="1430" spans="1:5" ht="14.5" customHeight="1" x14ac:dyDescent="0.35">
      <c r="A1430" s="196" t="str">
        <f>"40.0504"</f>
        <v>40.0504</v>
      </c>
      <c r="B1430" s="196" t="s">
        <v>5760</v>
      </c>
      <c r="C1430" s="320" t="s">
        <v>4269</v>
      </c>
      <c r="D1430" s="321" t="s">
        <v>6952</v>
      </c>
      <c r="E1430" s="322" t="s">
        <v>6953</v>
      </c>
    </row>
    <row r="1431" spans="1:5" ht="14.5" customHeight="1" x14ac:dyDescent="0.35">
      <c r="A1431" s="196" t="str">
        <f>"40.0506"</f>
        <v>40.0506</v>
      </c>
      <c r="B1431" s="196" t="s">
        <v>5760</v>
      </c>
      <c r="C1431" s="320" t="s">
        <v>4269</v>
      </c>
      <c r="D1431" s="321" t="s">
        <v>6954</v>
      </c>
      <c r="E1431" s="322" t="s">
        <v>6955</v>
      </c>
    </row>
    <row r="1432" spans="1:5" ht="14.5" customHeight="1" x14ac:dyDescent="0.35">
      <c r="A1432" s="196" t="str">
        <f>"40.0507"</f>
        <v>40.0507</v>
      </c>
      <c r="B1432" s="196" t="s">
        <v>5760</v>
      </c>
      <c r="C1432" s="320" t="s">
        <v>4269</v>
      </c>
      <c r="D1432" s="321" t="s">
        <v>6956</v>
      </c>
      <c r="E1432" s="322" t="s">
        <v>6957</v>
      </c>
    </row>
    <row r="1433" spans="1:5" ht="14.5" customHeight="1" x14ac:dyDescent="0.35">
      <c r="A1433" s="196" t="str">
        <f>"40.0508"</f>
        <v>40.0508</v>
      </c>
      <c r="B1433" s="196" t="s">
        <v>5760</v>
      </c>
      <c r="C1433" s="320" t="s">
        <v>4269</v>
      </c>
      <c r="D1433" s="321" t="s">
        <v>6958</v>
      </c>
      <c r="E1433" s="322" t="s">
        <v>6959</v>
      </c>
    </row>
    <row r="1434" spans="1:5" ht="14.5" customHeight="1" x14ac:dyDescent="0.35">
      <c r="A1434" s="196" t="str">
        <f>"40.0509"</f>
        <v>40.0509</v>
      </c>
      <c r="B1434" s="196" t="s">
        <v>5760</v>
      </c>
      <c r="C1434" s="320" t="s">
        <v>4269</v>
      </c>
      <c r="D1434" s="321" t="s">
        <v>6960</v>
      </c>
      <c r="E1434" s="322" t="s">
        <v>6961</v>
      </c>
    </row>
    <row r="1435" spans="1:5" ht="14.5" customHeight="1" x14ac:dyDescent="0.35">
      <c r="A1435" s="196" t="str">
        <f>"40.0510"</f>
        <v>40.0510</v>
      </c>
      <c r="B1435" s="196" t="s">
        <v>5760</v>
      </c>
      <c r="C1435" s="320" t="s">
        <v>4269</v>
      </c>
      <c r="D1435" s="321" t="s">
        <v>6962</v>
      </c>
      <c r="E1435" s="322" t="s">
        <v>6963</v>
      </c>
    </row>
    <row r="1436" spans="1:5" ht="14.5" customHeight="1" x14ac:dyDescent="0.35">
      <c r="A1436" s="196" t="str">
        <f>"40.0511"</f>
        <v>40.0511</v>
      </c>
      <c r="B1436" s="196" t="s">
        <v>5760</v>
      </c>
      <c r="C1436" s="320" t="s">
        <v>4269</v>
      </c>
      <c r="D1436" s="321" t="s">
        <v>6964</v>
      </c>
      <c r="E1436" s="322" t="s">
        <v>6965</v>
      </c>
    </row>
    <row r="1437" spans="1:5" s="327" customFormat="1" ht="14.5" customHeight="1" x14ac:dyDescent="0.35">
      <c r="A1437" s="323" t="str">
        <f>"40.0512"</f>
        <v>40.0512</v>
      </c>
      <c r="B1437" s="323" t="s">
        <v>4297</v>
      </c>
      <c r="C1437" s="324" t="s">
        <v>4269</v>
      </c>
      <c r="D1437" s="325" t="s">
        <v>6966</v>
      </c>
      <c r="E1437" s="326" t="s">
        <v>6967</v>
      </c>
    </row>
    <row r="1438" spans="1:5" ht="14.5" customHeight="1" x14ac:dyDescent="0.35">
      <c r="A1438" s="196" t="str">
        <f>"40.0599"</f>
        <v>40.0599</v>
      </c>
      <c r="B1438" s="196" t="s">
        <v>5760</v>
      </c>
      <c r="C1438" s="320" t="s">
        <v>4269</v>
      </c>
      <c r="D1438" s="321" t="s">
        <v>6968</v>
      </c>
      <c r="E1438" s="322" t="s">
        <v>6969</v>
      </c>
    </row>
    <row r="1439" spans="1:5" ht="14.5" customHeight="1" x14ac:dyDescent="0.35">
      <c r="A1439" s="196" t="str">
        <f>"40.06"</f>
        <v>40.06</v>
      </c>
      <c r="B1439" s="196" t="s">
        <v>5760</v>
      </c>
      <c r="C1439" s="320" t="s">
        <v>4269</v>
      </c>
      <c r="D1439" s="321" t="s">
        <v>6970</v>
      </c>
      <c r="E1439" s="322" t="s">
        <v>6971</v>
      </c>
    </row>
    <row r="1440" spans="1:5" ht="14.5" customHeight="1" x14ac:dyDescent="0.35">
      <c r="A1440" s="196" t="str">
        <f>"40.0601"</f>
        <v>40.0601</v>
      </c>
      <c r="B1440" s="196" t="s">
        <v>5760</v>
      </c>
      <c r="C1440" s="320" t="s">
        <v>4269</v>
      </c>
      <c r="D1440" s="321" t="s">
        <v>6972</v>
      </c>
      <c r="E1440" s="322" t="s">
        <v>6973</v>
      </c>
    </row>
    <row r="1441" spans="1:5" ht="14.5" customHeight="1" x14ac:dyDescent="0.35">
      <c r="A1441" s="196" t="str">
        <f>"40.0602"</f>
        <v>40.0602</v>
      </c>
      <c r="B1441" s="196" t="s">
        <v>5760</v>
      </c>
      <c r="C1441" s="320" t="s">
        <v>4269</v>
      </c>
      <c r="D1441" s="321" t="s">
        <v>6974</v>
      </c>
      <c r="E1441" s="322" t="s">
        <v>6975</v>
      </c>
    </row>
    <row r="1442" spans="1:5" ht="14.5" customHeight="1" x14ac:dyDescent="0.35">
      <c r="A1442" s="196" t="str">
        <f>"40.0603"</f>
        <v>40.0603</v>
      </c>
      <c r="B1442" s="196" t="s">
        <v>5760</v>
      </c>
      <c r="C1442" s="320" t="s">
        <v>4269</v>
      </c>
      <c r="D1442" s="321" t="s">
        <v>6976</v>
      </c>
      <c r="E1442" s="322" t="s">
        <v>6977</v>
      </c>
    </row>
    <row r="1443" spans="1:5" ht="14.5" customHeight="1" x14ac:dyDescent="0.35">
      <c r="A1443" s="196" t="str">
        <f>"40.0604"</f>
        <v>40.0604</v>
      </c>
      <c r="B1443" s="196" t="s">
        <v>5760</v>
      </c>
      <c r="C1443" s="320" t="s">
        <v>4269</v>
      </c>
      <c r="D1443" s="321" t="s">
        <v>6978</v>
      </c>
      <c r="E1443" s="322" t="s">
        <v>6979</v>
      </c>
    </row>
    <row r="1444" spans="1:5" ht="14.5" customHeight="1" x14ac:dyDescent="0.35">
      <c r="A1444" s="196" t="str">
        <f>"40.0605"</f>
        <v>40.0605</v>
      </c>
      <c r="B1444" s="196" t="s">
        <v>5760</v>
      </c>
      <c r="C1444" s="320" t="s">
        <v>4269</v>
      </c>
      <c r="D1444" s="321" t="s">
        <v>6980</v>
      </c>
      <c r="E1444" s="322" t="s">
        <v>6981</v>
      </c>
    </row>
    <row r="1445" spans="1:5" ht="14.5" customHeight="1" x14ac:dyDescent="0.35">
      <c r="A1445" s="196" t="str">
        <f>"40.0606"</f>
        <v>40.0606</v>
      </c>
      <c r="B1445" s="196" t="s">
        <v>5760</v>
      </c>
      <c r="C1445" s="320" t="s">
        <v>4269</v>
      </c>
      <c r="D1445" s="321" t="s">
        <v>6982</v>
      </c>
      <c r="E1445" s="322" t="s">
        <v>6983</v>
      </c>
    </row>
    <row r="1446" spans="1:5" ht="14.5" customHeight="1" x14ac:dyDescent="0.35">
      <c r="A1446" s="196" t="str">
        <f>"40.0607"</f>
        <v>40.0607</v>
      </c>
      <c r="B1446" s="196" t="s">
        <v>5760</v>
      </c>
      <c r="C1446" s="320" t="s">
        <v>4269</v>
      </c>
      <c r="D1446" s="321" t="s">
        <v>6984</v>
      </c>
      <c r="E1446" s="322" t="s">
        <v>6985</v>
      </c>
    </row>
    <row r="1447" spans="1:5" ht="14.5" customHeight="1" x14ac:dyDescent="0.35">
      <c r="A1447" s="196" t="str">
        <f>"40.0699"</f>
        <v>40.0699</v>
      </c>
      <c r="B1447" s="196" t="s">
        <v>5760</v>
      </c>
      <c r="C1447" s="320" t="s">
        <v>4269</v>
      </c>
      <c r="D1447" s="321" t="s">
        <v>6986</v>
      </c>
      <c r="E1447" s="322" t="s">
        <v>6987</v>
      </c>
    </row>
    <row r="1448" spans="1:5" ht="14.5" customHeight="1" x14ac:dyDescent="0.35">
      <c r="A1448" s="196" t="str">
        <f>"40.08"</f>
        <v>40.08</v>
      </c>
      <c r="B1448" s="196" t="s">
        <v>5760</v>
      </c>
      <c r="C1448" s="320" t="s">
        <v>4269</v>
      </c>
      <c r="D1448" s="321" t="s">
        <v>6988</v>
      </c>
      <c r="E1448" s="322" t="s">
        <v>6989</v>
      </c>
    </row>
    <row r="1449" spans="1:5" ht="14.5" customHeight="1" x14ac:dyDescent="0.35">
      <c r="A1449" s="196" t="str">
        <f>"40.0801"</f>
        <v>40.0801</v>
      </c>
      <c r="B1449" s="196" t="s">
        <v>5760</v>
      </c>
      <c r="C1449" s="320" t="s">
        <v>4269</v>
      </c>
      <c r="D1449" s="321" t="s">
        <v>6990</v>
      </c>
      <c r="E1449" s="322" t="s">
        <v>6991</v>
      </c>
    </row>
    <row r="1450" spans="1:5" ht="14.5" customHeight="1" x14ac:dyDescent="0.35">
      <c r="A1450" s="196" t="str">
        <f>"40.0802"</f>
        <v>40.0802</v>
      </c>
      <c r="B1450" s="196" t="s">
        <v>5760</v>
      </c>
      <c r="C1450" s="320" t="s">
        <v>4269</v>
      </c>
      <c r="D1450" s="321" t="s">
        <v>6992</v>
      </c>
      <c r="E1450" s="322" t="s">
        <v>6993</v>
      </c>
    </row>
    <row r="1451" spans="1:5" ht="14.5" customHeight="1" x14ac:dyDescent="0.35">
      <c r="A1451" s="196" t="str">
        <f>"40.0804"</f>
        <v>40.0804</v>
      </c>
      <c r="B1451" s="196" t="s">
        <v>5760</v>
      </c>
      <c r="C1451" s="320" t="s">
        <v>4269</v>
      </c>
      <c r="D1451" s="321" t="s">
        <v>6994</v>
      </c>
      <c r="E1451" s="322" t="s">
        <v>6995</v>
      </c>
    </row>
    <row r="1452" spans="1:5" ht="14.5" customHeight="1" x14ac:dyDescent="0.35">
      <c r="A1452" s="196" t="str">
        <f>"40.0805"</f>
        <v>40.0805</v>
      </c>
      <c r="B1452" s="196" t="s">
        <v>5760</v>
      </c>
      <c r="C1452" s="320" t="s">
        <v>4269</v>
      </c>
      <c r="D1452" s="321" t="s">
        <v>6996</v>
      </c>
      <c r="E1452" s="322" t="s">
        <v>6997</v>
      </c>
    </row>
    <row r="1453" spans="1:5" ht="14.5" customHeight="1" x14ac:dyDescent="0.35">
      <c r="A1453" s="196" t="str">
        <f>"40.0806"</f>
        <v>40.0806</v>
      </c>
      <c r="B1453" s="196" t="s">
        <v>5760</v>
      </c>
      <c r="C1453" s="320" t="s">
        <v>4269</v>
      </c>
      <c r="D1453" s="321" t="s">
        <v>6998</v>
      </c>
      <c r="E1453" s="322" t="s">
        <v>6999</v>
      </c>
    </row>
    <row r="1454" spans="1:5" ht="14.5" customHeight="1" x14ac:dyDescent="0.35">
      <c r="A1454" s="196" t="str">
        <f>"40.0807"</f>
        <v>40.0807</v>
      </c>
      <c r="B1454" s="196" t="s">
        <v>5760</v>
      </c>
      <c r="C1454" s="320" t="s">
        <v>4269</v>
      </c>
      <c r="D1454" s="321" t="s">
        <v>7000</v>
      </c>
      <c r="E1454" s="322" t="s">
        <v>7001</v>
      </c>
    </row>
    <row r="1455" spans="1:5" ht="14.5" customHeight="1" x14ac:dyDescent="0.35">
      <c r="A1455" s="196" t="str">
        <f>"40.0808"</f>
        <v>40.0808</v>
      </c>
      <c r="B1455" s="196" t="s">
        <v>5760</v>
      </c>
      <c r="C1455" s="320" t="s">
        <v>4269</v>
      </c>
      <c r="D1455" s="321" t="s">
        <v>7002</v>
      </c>
      <c r="E1455" s="322" t="s">
        <v>7003</v>
      </c>
    </row>
    <row r="1456" spans="1:5" ht="14.5" customHeight="1" x14ac:dyDescent="0.35">
      <c r="A1456" s="196" t="str">
        <f>"40.0809"</f>
        <v>40.0809</v>
      </c>
      <c r="B1456" s="196" t="s">
        <v>5760</v>
      </c>
      <c r="C1456" s="320" t="s">
        <v>4269</v>
      </c>
      <c r="D1456" s="321" t="s">
        <v>7004</v>
      </c>
      <c r="E1456" s="322" t="s">
        <v>7005</v>
      </c>
    </row>
    <row r="1457" spans="1:5" ht="14.5" customHeight="1" x14ac:dyDescent="0.35">
      <c r="A1457" s="196" t="str">
        <f>"40.0810"</f>
        <v>40.0810</v>
      </c>
      <c r="B1457" s="196" t="s">
        <v>5760</v>
      </c>
      <c r="C1457" s="320" t="s">
        <v>4269</v>
      </c>
      <c r="D1457" s="321" t="s">
        <v>7006</v>
      </c>
      <c r="E1457" s="322" t="s">
        <v>7007</v>
      </c>
    </row>
    <row r="1458" spans="1:5" ht="14.5" customHeight="1" x14ac:dyDescent="0.35">
      <c r="A1458" s="196" t="str">
        <f>"40.0899"</f>
        <v>40.0899</v>
      </c>
      <c r="B1458" s="196" t="s">
        <v>5760</v>
      </c>
      <c r="C1458" s="320" t="s">
        <v>4269</v>
      </c>
      <c r="D1458" s="321" t="s">
        <v>7008</v>
      </c>
      <c r="E1458" s="322" t="s">
        <v>7009</v>
      </c>
    </row>
    <row r="1459" spans="1:5" ht="14.5" customHeight="1" x14ac:dyDescent="0.35">
      <c r="A1459" s="196" t="str">
        <f>"40.10"</f>
        <v>40.10</v>
      </c>
      <c r="B1459" s="196" t="s">
        <v>5760</v>
      </c>
      <c r="C1459" s="320" t="s">
        <v>4269</v>
      </c>
      <c r="D1459" s="321" t="s">
        <v>7010</v>
      </c>
      <c r="E1459" s="322" t="s">
        <v>7011</v>
      </c>
    </row>
    <row r="1460" spans="1:5" ht="14.5" customHeight="1" x14ac:dyDescent="0.35">
      <c r="A1460" s="196" t="str">
        <f>"40.1001"</f>
        <v>40.1001</v>
      </c>
      <c r="B1460" s="196" t="s">
        <v>5760</v>
      </c>
      <c r="C1460" s="320" t="s">
        <v>4269</v>
      </c>
      <c r="D1460" s="321" t="s">
        <v>7012</v>
      </c>
      <c r="E1460" s="322" t="s">
        <v>7013</v>
      </c>
    </row>
    <row r="1461" spans="1:5" ht="14.5" customHeight="1" x14ac:dyDescent="0.35">
      <c r="A1461" s="196" t="str">
        <f>"40.1002"</f>
        <v>40.1002</v>
      </c>
      <c r="B1461" s="196" t="s">
        <v>5760</v>
      </c>
      <c r="C1461" s="320" t="s">
        <v>4269</v>
      </c>
      <c r="D1461" s="321" t="s">
        <v>7014</v>
      </c>
      <c r="E1461" s="322" t="s">
        <v>7015</v>
      </c>
    </row>
    <row r="1462" spans="1:5" ht="14.5" customHeight="1" x14ac:dyDescent="0.35">
      <c r="A1462" s="196" t="str">
        <f>"40.1099"</f>
        <v>40.1099</v>
      </c>
      <c r="B1462" s="196" t="s">
        <v>5760</v>
      </c>
      <c r="C1462" s="320" t="s">
        <v>4269</v>
      </c>
      <c r="D1462" s="321" t="s">
        <v>7016</v>
      </c>
      <c r="E1462" s="322" t="s">
        <v>7017</v>
      </c>
    </row>
    <row r="1463" spans="1:5" s="327" customFormat="1" ht="14.5" customHeight="1" x14ac:dyDescent="0.35">
      <c r="A1463" s="323" t="str">
        <f>"40.11"</f>
        <v>40.11</v>
      </c>
      <c r="B1463" s="323" t="s">
        <v>4297</v>
      </c>
      <c r="C1463" s="324" t="s">
        <v>4269</v>
      </c>
      <c r="D1463" s="325" t="s">
        <v>7018</v>
      </c>
      <c r="E1463" s="326" t="s">
        <v>7019</v>
      </c>
    </row>
    <row r="1464" spans="1:5" s="327" customFormat="1" ht="14.5" customHeight="1" x14ac:dyDescent="0.35">
      <c r="A1464" s="323" t="str">
        <f>"40.1101"</f>
        <v>40.1101</v>
      </c>
      <c r="B1464" s="323" t="s">
        <v>4297</v>
      </c>
      <c r="C1464" s="324" t="s">
        <v>4269</v>
      </c>
      <c r="D1464" s="325" t="s">
        <v>7018</v>
      </c>
      <c r="E1464" s="326" t="s">
        <v>7020</v>
      </c>
    </row>
    <row r="1465" spans="1:5" ht="14.5" customHeight="1" x14ac:dyDescent="0.35">
      <c r="A1465" s="196" t="str">
        <f>"40.99"</f>
        <v>40.99</v>
      </c>
      <c r="B1465" s="196" t="s">
        <v>5760</v>
      </c>
      <c r="C1465" s="320" t="s">
        <v>4269</v>
      </c>
      <c r="D1465" s="321" t="s">
        <v>7021</v>
      </c>
      <c r="E1465" s="322" t="s">
        <v>7022</v>
      </c>
    </row>
    <row r="1466" spans="1:5" ht="14.5" customHeight="1" x14ac:dyDescent="0.35">
      <c r="A1466" s="196" t="str">
        <f>"40.9999"</f>
        <v>40.9999</v>
      </c>
      <c r="B1466" s="196" t="s">
        <v>5760</v>
      </c>
      <c r="C1466" s="320" t="s">
        <v>4269</v>
      </c>
      <c r="D1466" s="321" t="s">
        <v>7021</v>
      </c>
      <c r="E1466" s="322" t="s">
        <v>7023</v>
      </c>
    </row>
    <row r="1467" spans="1:5" ht="14.5" customHeight="1" x14ac:dyDescent="0.35">
      <c r="A1467" s="196" t="str">
        <f>"41"</f>
        <v>41</v>
      </c>
      <c r="B1467" s="196" t="s">
        <v>5760</v>
      </c>
      <c r="C1467" s="320" t="s">
        <v>4269</v>
      </c>
      <c r="D1467" s="321" t="s">
        <v>7024</v>
      </c>
      <c r="E1467" s="322" t="s">
        <v>7025</v>
      </c>
    </row>
    <row r="1468" spans="1:5" ht="14.5" customHeight="1" x14ac:dyDescent="0.35">
      <c r="A1468" s="196" t="str">
        <f>"41.00"</f>
        <v>41.00</v>
      </c>
      <c r="B1468" s="196" t="s">
        <v>5760</v>
      </c>
      <c r="C1468" s="320" t="s">
        <v>4269</v>
      </c>
      <c r="D1468" s="321" t="s">
        <v>7026</v>
      </c>
      <c r="E1468" s="322" t="s">
        <v>7027</v>
      </c>
    </row>
    <row r="1469" spans="1:5" ht="14.5" customHeight="1" x14ac:dyDescent="0.35">
      <c r="A1469" s="196" t="str">
        <f>"41.0000"</f>
        <v>41.0000</v>
      </c>
      <c r="B1469" s="196" t="s">
        <v>5760</v>
      </c>
      <c r="C1469" s="320" t="s">
        <v>4269</v>
      </c>
      <c r="D1469" s="321" t="s">
        <v>7026</v>
      </c>
      <c r="E1469" s="322" t="s">
        <v>7028</v>
      </c>
    </row>
    <row r="1470" spans="1:5" ht="14.5" customHeight="1" x14ac:dyDescent="0.35">
      <c r="A1470" s="196" t="str">
        <f>"41.01"</f>
        <v>41.01</v>
      </c>
      <c r="B1470" s="196" t="s">
        <v>4265</v>
      </c>
      <c r="C1470" s="320" t="s">
        <v>4266</v>
      </c>
      <c r="D1470" s="321" t="s">
        <v>7029</v>
      </c>
      <c r="E1470" s="322" t="s">
        <v>7030</v>
      </c>
    </row>
    <row r="1471" spans="1:5" ht="14.5" customHeight="1" x14ac:dyDescent="0.35">
      <c r="A1471" s="196" t="str">
        <f>"41.0101"</f>
        <v>41.0101</v>
      </c>
      <c r="B1471" s="196" t="s">
        <v>4265</v>
      </c>
      <c r="C1471" s="320" t="s">
        <v>4266</v>
      </c>
      <c r="D1471" s="321" t="s">
        <v>7031</v>
      </c>
      <c r="E1471" s="322" t="s">
        <v>7032</v>
      </c>
    </row>
    <row r="1472" spans="1:5" ht="14.5" customHeight="1" x14ac:dyDescent="0.35">
      <c r="A1472" s="196" t="str">
        <f>"41.02"</f>
        <v>41.02</v>
      </c>
      <c r="B1472" s="196" t="s">
        <v>5760</v>
      </c>
      <c r="C1472" s="320" t="s">
        <v>4269</v>
      </c>
      <c r="D1472" s="321" t="s">
        <v>7033</v>
      </c>
      <c r="E1472" s="322" t="s">
        <v>7034</v>
      </c>
    </row>
    <row r="1473" spans="1:5" ht="14.5" customHeight="1" x14ac:dyDescent="0.35">
      <c r="A1473" s="196" t="str">
        <f>"41.0204"</f>
        <v>41.0204</v>
      </c>
      <c r="B1473" s="196" t="s">
        <v>5760</v>
      </c>
      <c r="C1473" s="320" t="s">
        <v>4269</v>
      </c>
      <c r="D1473" s="321" t="s">
        <v>7035</v>
      </c>
      <c r="E1473" s="322" t="s">
        <v>7036</v>
      </c>
    </row>
    <row r="1474" spans="1:5" ht="14.5" customHeight="1" x14ac:dyDescent="0.35">
      <c r="A1474" s="196" t="str">
        <f>"41.0205"</f>
        <v>41.0205</v>
      </c>
      <c r="B1474" s="196" t="s">
        <v>5760</v>
      </c>
      <c r="C1474" s="320" t="s">
        <v>4269</v>
      </c>
      <c r="D1474" s="321" t="s">
        <v>7037</v>
      </c>
      <c r="E1474" s="322" t="s">
        <v>7038</v>
      </c>
    </row>
    <row r="1475" spans="1:5" ht="14.5" customHeight="1" x14ac:dyDescent="0.35">
      <c r="A1475" s="196" t="str">
        <f>"41.0299"</f>
        <v>41.0299</v>
      </c>
      <c r="B1475" s="196" t="s">
        <v>5760</v>
      </c>
      <c r="C1475" s="320" t="s">
        <v>4269</v>
      </c>
      <c r="D1475" s="321" t="s">
        <v>7039</v>
      </c>
      <c r="E1475" s="322" t="s">
        <v>7040</v>
      </c>
    </row>
    <row r="1476" spans="1:5" ht="14.5" customHeight="1" x14ac:dyDescent="0.35">
      <c r="A1476" s="196" t="str">
        <f>"41.03"</f>
        <v>41.03</v>
      </c>
      <c r="B1476" s="196" t="s">
        <v>5760</v>
      </c>
      <c r="C1476" s="320" t="s">
        <v>4269</v>
      </c>
      <c r="D1476" s="321" t="s">
        <v>7041</v>
      </c>
      <c r="E1476" s="322" t="s">
        <v>7042</v>
      </c>
    </row>
    <row r="1477" spans="1:5" ht="14.5" customHeight="1" x14ac:dyDescent="0.35">
      <c r="A1477" s="196" t="str">
        <f>"41.0301"</f>
        <v>41.0301</v>
      </c>
      <c r="B1477" s="196" t="s">
        <v>5760</v>
      </c>
      <c r="C1477" s="320" t="s">
        <v>4269</v>
      </c>
      <c r="D1477" s="321" t="s">
        <v>7043</v>
      </c>
      <c r="E1477" s="322" t="s">
        <v>7044</v>
      </c>
    </row>
    <row r="1478" spans="1:5" ht="14.5" customHeight="1" x14ac:dyDescent="0.35">
      <c r="A1478" s="196" t="str">
        <f>"41.0303"</f>
        <v>41.0303</v>
      </c>
      <c r="B1478" s="196" t="s">
        <v>5760</v>
      </c>
      <c r="C1478" s="320" t="s">
        <v>4269</v>
      </c>
      <c r="D1478" s="321" t="s">
        <v>7045</v>
      </c>
      <c r="E1478" s="322" t="s">
        <v>7046</v>
      </c>
    </row>
    <row r="1479" spans="1:5" ht="14.5" customHeight="1" x14ac:dyDescent="0.35">
      <c r="A1479" s="196" t="str">
        <f>"41.0399"</f>
        <v>41.0399</v>
      </c>
      <c r="B1479" s="196" t="s">
        <v>5760</v>
      </c>
      <c r="C1479" s="320" t="s">
        <v>4269</v>
      </c>
      <c r="D1479" s="321" t="s">
        <v>7047</v>
      </c>
      <c r="E1479" s="322" t="s">
        <v>7048</v>
      </c>
    </row>
    <row r="1480" spans="1:5" ht="14.5" customHeight="1" x14ac:dyDescent="0.35">
      <c r="A1480" s="196" t="str">
        <f>"41.99"</f>
        <v>41.99</v>
      </c>
      <c r="B1480" s="196" t="s">
        <v>5760</v>
      </c>
      <c r="C1480" s="320" t="s">
        <v>4269</v>
      </c>
      <c r="D1480" s="321" t="s">
        <v>7049</v>
      </c>
      <c r="E1480" s="322" t="s">
        <v>7050</v>
      </c>
    </row>
    <row r="1481" spans="1:5" ht="14.5" customHeight="1" x14ac:dyDescent="0.35">
      <c r="A1481" s="196" t="str">
        <f>"41.9999"</f>
        <v>41.9999</v>
      </c>
      <c r="B1481" s="196" t="s">
        <v>5760</v>
      </c>
      <c r="C1481" s="320" t="s">
        <v>4269</v>
      </c>
      <c r="D1481" s="321" t="s">
        <v>7049</v>
      </c>
      <c r="E1481" s="322" t="s">
        <v>7051</v>
      </c>
    </row>
    <row r="1482" spans="1:5" ht="14.5" customHeight="1" x14ac:dyDescent="0.35">
      <c r="A1482" s="196" t="str">
        <f>"42"</f>
        <v>42</v>
      </c>
      <c r="B1482" s="196" t="s">
        <v>5760</v>
      </c>
      <c r="C1482" s="320" t="s">
        <v>4269</v>
      </c>
      <c r="D1482" s="321" t="s">
        <v>7052</v>
      </c>
      <c r="E1482" s="322" t="s">
        <v>7053</v>
      </c>
    </row>
    <row r="1483" spans="1:5" ht="14.5" customHeight="1" x14ac:dyDescent="0.35">
      <c r="A1483" s="196" t="str">
        <f>"42.01"</f>
        <v>42.01</v>
      </c>
      <c r="B1483" s="196" t="s">
        <v>5760</v>
      </c>
      <c r="C1483" s="320" t="s">
        <v>4269</v>
      </c>
      <c r="D1483" s="321" t="s">
        <v>7054</v>
      </c>
      <c r="E1483" s="322" t="s">
        <v>7055</v>
      </c>
    </row>
    <row r="1484" spans="1:5" ht="14.5" customHeight="1" x14ac:dyDescent="0.35">
      <c r="A1484" s="196" t="str">
        <f>"42.0101"</f>
        <v>42.0101</v>
      </c>
      <c r="B1484" s="196" t="s">
        <v>5760</v>
      </c>
      <c r="C1484" s="320" t="s">
        <v>4269</v>
      </c>
      <c r="D1484" s="321" t="s">
        <v>7054</v>
      </c>
      <c r="E1484" s="322" t="s">
        <v>7056</v>
      </c>
    </row>
    <row r="1485" spans="1:5" ht="14.5" customHeight="1" x14ac:dyDescent="0.35">
      <c r="A1485" s="196" t="str">
        <f>"42.27"</f>
        <v>42.27</v>
      </c>
      <c r="B1485" s="196" t="s">
        <v>5760</v>
      </c>
      <c r="C1485" s="320" t="s">
        <v>4269</v>
      </c>
      <c r="D1485" s="321" t="s">
        <v>7057</v>
      </c>
      <c r="E1485" s="322" t="s">
        <v>7058</v>
      </c>
    </row>
    <row r="1486" spans="1:5" ht="14.5" customHeight="1" x14ac:dyDescent="0.35">
      <c r="A1486" s="196" t="str">
        <f>"42.2701"</f>
        <v>42.2701</v>
      </c>
      <c r="B1486" s="196" t="s">
        <v>5760</v>
      </c>
      <c r="C1486" s="320" t="s">
        <v>4269</v>
      </c>
      <c r="D1486" s="321" t="s">
        <v>7059</v>
      </c>
      <c r="E1486" s="322" t="s">
        <v>7060</v>
      </c>
    </row>
    <row r="1487" spans="1:5" ht="14.5" customHeight="1" x14ac:dyDescent="0.35">
      <c r="A1487" s="196" t="str">
        <f>"42.2702"</f>
        <v>42.2702</v>
      </c>
      <c r="B1487" s="196" t="s">
        <v>5760</v>
      </c>
      <c r="C1487" s="320" t="s">
        <v>4269</v>
      </c>
      <c r="D1487" s="321" t="s">
        <v>7061</v>
      </c>
      <c r="E1487" s="322" t="s">
        <v>7062</v>
      </c>
    </row>
    <row r="1488" spans="1:5" ht="14.5" customHeight="1" x14ac:dyDescent="0.35">
      <c r="A1488" s="196" t="str">
        <f>"42.2703"</f>
        <v>42.2703</v>
      </c>
      <c r="B1488" s="196" t="s">
        <v>4265</v>
      </c>
      <c r="C1488" s="320" t="s">
        <v>4266</v>
      </c>
      <c r="D1488" s="321" t="s">
        <v>7063</v>
      </c>
      <c r="E1488" s="322" t="s">
        <v>7064</v>
      </c>
    </row>
    <row r="1489" spans="1:5" ht="14.5" customHeight="1" x14ac:dyDescent="0.35">
      <c r="A1489" s="196" t="str">
        <f>"42.2704"</f>
        <v>42.2704</v>
      </c>
      <c r="B1489" s="196" t="s">
        <v>5760</v>
      </c>
      <c r="C1489" s="320" t="s">
        <v>4269</v>
      </c>
      <c r="D1489" s="321" t="s">
        <v>7065</v>
      </c>
      <c r="E1489" s="322" t="s">
        <v>7066</v>
      </c>
    </row>
    <row r="1490" spans="1:5" ht="14.5" customHeight="1" x14ac:dyDescent="0.35">
      <c r="A1490" s="196" t="str">
        <f>"42.2705"</f>
        <v>42.2705</v>
      </c>
      <c r="B1490" s="196" t="s">
        <v>5760</v>
      </c>
      <c r="C1490" s="320" t="s">
        <v>4269</v>
      </c>
      <c r="D1490" s="321" t="s">
        <v>7067</v>
      </c>
      <c r="E1490" s="322" t="s">
        <v>7068</v>
      </c>
    </row>
    <row r="1491" spans="1:5" ht="14.5" customHeight="1" x14ac:dyDescent="0.35">
      <c r="A1491" s="196" t="str">
        <f>"42.2706"</f>
        <v>42.2706</v>
      </c>
      <c r="B1491" s="196" t="s">
        <v>4265</v>
      </c>
      <c r="C1491" s="320" t="s">
        <v>4266</v>
      </c>
      <c r="D1491" s="321" t="s">
        <v>7069</v>
      </c>
      <c r="E1491" s="322" t="s">
        <v>7070</v>
      </c>
    </row>
    <row r="1492" spans="1:5" ht="14.5" customHeight="1" x14ac:dyDescent="0.35">
      <c r="A1492" s="196" t="str">
        <f>"42.2707"</f>
        <v>42.2707</v>
      </c>
      <c r="B1492" s="196" t="s">
        <v>5760</v>
      </c>
      <c r="C1492" s="320" t="s">
        <v>4269</v>
      </c>
      <c r="D1492" s="321" t="s">
        <v>7071</v>
      </c>
      <c r="E1492" s="322" t="s">
        <v>7072</v>
      </c>
    </row>
    <row r="1493" spans="1:5" ht="14.5" customHeight="1" x14ac:dyDescent="0.35">
      <c r="A1493" s="196" t="str">
        <f>"42.2708"</f>
        <v>42.2708</v>
      </c>
      <c r="B1493" s="196" t="s">
        <v>5760</v>
      </c>
      <c r="C1493" s="320" t="s">
        <v>4269</v>
      </c>
      <c r="D1493" s="321" t="s">
        <v>7073</v>
      </c>
      <c r="E1493" s="322" t="s">
        <v>7074</v>
      </c>
    </row>
    <row r="1494" spans="1:5" ht="14.5" customHeight="1" x14ac:dyDescent="0.35">
      <c r="A1494" s="196" t="str">
        <f>"42.2709"</f>
        <v>42.2709</v>
      </c>
      <c r="B1494" s="196" t="s">
        <v>5760</v>
      </c>
      <c r="C1494" s="320" t="s">
        <v>4269</v>
      </c>
      <c r="D1494" s="321" t="s">
        <v>7075</v>
      </c>
      <c r="E1494" s="322" t="s">
        <v>7076</v>
      </c>
    </row>
    <row r="1495" spans="1:5" s="327" customFormat="1" ht="14.5" customHeight="1" x14ac:dyDescent="0.35">
      <c r="A1495" s="323" t="str">
        <f>"42.2710"</f>
        <v>42.2710</v>
      </c>
      <c r="B1495" s="323" t="s">
        <v>4297</v>
      </c>
      <c r="C1495" s="324" t="s">
        <v>4269</v>
      </c>
      <c r="D1495" s="325" t="s">
        <v>7077</v>
      </c>
      <c r="E1495" s="326" t="s">
        <v>7078</v>
      </c>
    </row>
    <row r="1496" spans="1:5" ht="14.5" customHeight="1" x14ac:dyDescent="0.35">
      <c r="A1496" s="196" t="str">
        <f>"42.2799"</f>
        <v>42.2799</v>
      </c>
      <c r="B1496" s="196" t="s">
        <v>5760</v>
      </c>
      <c r="C1496" s="320" t="s">
        <v>4269</v>
      </c>
      <c r="D1496" s="321" t="s">
        <v>7079</v>
      </c>
      <c r="E1496" s="322" t="s">
        <v>7080</v>
      </c>
    </row>
    <row r="1497" spans="1:5" ht="14.5" customHeight="1" x14ac:dyDescent="0.35">
      <c r="A1497" s="196" t="str">
        <f>"42.28"</f>
        <v>42.28</v>
      </c>
      <c r="B1497" s="196" t="s">
        <v>5760</v>
      </c>
      <c r="C1497" s="320" t="s">
        <v>4269</v>
      </c>
      <c r="D1497" s="321" t="s">
        <v>7081</v>
      </c>
      <c r="E1497" s="322" t="s">
        <v>7082</v>
      </c>
    </row>
    <row r="1498" spans="1:5" ht="14.5" customHeight="1" x14ac:dyDescent="0.35">
      <c r="A1498" s="196" t="str">
        <f>"42.2801"</f>
        <v>42.2801</v>
      </c>
      <c r="B1498" s="196" t="s">
        <v>5760</v>
      </c>
      <c r="C1498" s="320" t="s">
        <v>4269</v>
      </c>
      <c r="D1498" s="321" t="s">
        <v>7083</v>
      </c>
      <c r="E1498" s="322" t="s">
        <v>7084</v>
      </c>
    </row>
    <row r="1499" spans="1:5" ht="14.5" customHeight="1" x14ac:dyDescent="0.35">
      <c r="A1499" s="196" t="str">
        <f>"42.2802"</f>
        <v>42.2802</v>
      </c>
      <c r="B1499" s="196" t="s">
        <v>5760</v>
      </c>
      <c r="C1499" s="320" t="s">
        <v>4269</v>
      </c>
      <c r="D1499" s="321" t="s">
        <v>7085</v>
      </c>
      <c r="E1499" s="322" t="s">
        <v>7086</v>
      </c>
    </row>
    <row r="1500" spans="1:5" ht="14.5" customHeight="1" x14ac:dyDescent="0.35">
      <c r="A1500" s="196" t="str">
        <f>"42.2803"</f>
        <v>42.2803</v>
      </c>
      <c r="B1500" s="196" t="s">
        <v>5760</v>
      </c>
      <c r="C1500" s="320" t="s">
        <v>4269</v>
      </c>
      <c r="D1500" s="321" t="s">
        <v>7087</v>
      </c>
      <c r="E1500" s="322" t="s">
        <v>7088</v>
      </c>
    </row>
    <row r="1501" spans="1:5" ht="14.5" customHeight="1" x14ac:dyDescent="0.35">
      <c r="A1501" s="196" t="str">
        <f>"42.2804"</f>
        <v>42.2804</v>
      </c>
      <c r="B1501" s="196" t="s">
        <v>5760</v>
      </c>
      <c r="C1501" s="320" t="s">
        <v>4269</v>
      </c>
      <c r="D1501" s="321" t="s">
        <v>7089</v>
      </c>
      <c r="E1501" s="322" t="s">
        <v>7090</v>
      </c>
    </row>
    <row r="1502" spans="1:5" ht="14.5" customHeight="1" x14ac:dyDescent="0.35">
      <c r="A1502" s="196" t="str">
        <f>"42.2805"</f>
        <v>42.2805</v>
      </c>
      <c r="B1502" s="196" t="s">
        <v>5760</v>
      </c>
      <c r="C1502" s="320" t="s">
        <v>4269</v>
      </c>
      <c r="D1502" s="321" t="s">
        <v>7091</v>
      </c>
      <c r="E1502" s="322" t="s">
        <v>7092</v>
      </c>
    </row>
    <row r="1503" spans="1:5" ht="14.5" customHeight="1" x14ac:dyDescent="0.35">
      <c r="A1503" s="196" t="str">
        <f>"42.2806"</f>
        <v>42.2806</v>
      </c>
      <c r="B1503" s="196" t="s">
        <v>5760</v>
      </c>
      <c r="C1503" s="320" t="s">
        <v>4269</v>
      </c>
      <c r="D1503" s="321" t="s">
        <v>7093</v>
      </c>
      <c r="E1503" s="322" t="s">
        <v>7094</v>
      </c>
    </row>
    <row r="1504" spans="1:5" ht="14.5" customHeight="1" x14ac:dyDescent="0.35">
      <c r="A1504" s="196" t="str">
        <f>"42.2807"</f>
        <v>42.2807</v>
      </c>
      <c r="B1504" s="196" t="s">
        <v>5760</v>
      </c>
      <c r="C1504" s="320" t="s">
        <v>4269</v>
      </c>
      <c r="D1504" s="321" t="s">
        <v>7095</v>
      </c>
      <c r="E1504" s="322" t="s">
        <v>7096</v>
      </c>
    </row>
    <row r="1505" spans="1:5" ht="14.5" customHeight="1" x14ac:dyDescent="0.35">
      <c r="A1505" s="196" t="str">
        <f>"42.2808"</f>
        <v>42.2808</v>
      </c>
      <c r="B1505" s="196" t="s">
        <v>5760</v>
      </c>
      <c r="C1505" s="320" t="s">
        <v>4269</v>
      </c>
      <c r="D1505" s="321" t="s">
        <v>7097</v>
      </c>
      <c r="E1505" s="322" t="s">
        <v>7098</v>
      </c>
    </row>
    <row r="1506" spans="1:5" ht="14.5" customHeight="1" x14ac:dyDescent="0.35">
      <c r="A1506" s="196" t="str">
        <f>"42.2809"</f>
        <v>42.2809</v>
      </c>
      <c r="B1506" s="196" t="s">
        <v>5760</v>
      </c>
      <c r="C1506" s="320" t="s">
        <v>4269</v>
      </c>
      <c r="D1506" s="321" t="s">
        <v>7099</v>
      </c>
      <c r="E1506" s="322" t="s">
        <v>7100</v>
      </c>
    </row>
    <row r="1507" spans="1:5" ht="14.5" customHeight="1" x14ac:dyDescent="0.35">
      <c r="A1507" s="196" t="str">
        <f>"42.2810"</f>
        <v>42.2810</v>
      </c>
      <c r="B1507" s="196" t="s">
        <v>5760</v>
      </c>
      <c r="C1507" s="320" t="s">
        <v>4269</v>
      </c>
      <c r="D1507" s="321" t="s">
        <v>7101</v>
      </c>
      <c r="E1507" s="322" t="s">
        <v>7102</v>
      </c>
    </row>
    <row r="1508" spans="1:5" ht="14.5" customHeight="1" x14ac:dyDescent="0.35">
      <c r="A1508" s="196" t="str">
        <f>"42.2811"</f>
        <v>42.2811</v>
      </c>
      <c r="B1508" s="196" t="s">
        <v>5760</v>
      </c>
      <c r="C1508" s="320" t="s">
        <v>4269</v>
      </c>
      <c r="D1508" s="321" t="s">
        <v>7103</v>
      </c>
      <c r="E1508" s="322" t="s">
        <v>7104</v>
      </c>
    </row>
    <row r="1509" spans="1:5" ht="14.5" customHeight="1" x14ac:dyDescent="0.35">
      <c r="A1509" s="196" t="str">
        <f>"42.2812"</f>
        <v>42.2812</v>
      </c>
      <c r="B1509" s="196" t="s">
        <v>5760</v>
      </c>
      <c r="C1509" s="320" t="s">
        <v>4269</v>
      </c>
      <c r="D1509" s="321" t="s">
        <v>7105</v>
      </c>
      <c r="E1509" s="322" t="s">
        <v>7106</v>
      </c>
    </row>
    <row r="1510" spans="1:5" ht="14.5" customHeight="1" x14ac:dyDescent="0.35">
      <c r="A1510" s="196" t="str">
        <f>"42.2813"</f>
        <v>42.2813</v>
      </c>
      <c r="B1510" s="196" t="s">
        <v>5760</v>
      </c>
      <c r="C1510" s="320" t="s">
        <v>4269</v>
      </c>
      <c r="D1510" s="321" t="s">
        <v>7107</v>
      </c>
      <c r="E1510" s="322" t="s">
        <v>7108</v>
      </c>
    </row>
    <row r="1511" spans="1:5" ht="14.5" customHeight="1" x14ac:dyDescent="0.35">
      <c r="A1511" s="196" t="str">
        <f>"42.2814"</f>
        <v>42.2814</v>
      </c>
      <c r="B1511" s="196" t="s">
        <v>5760</v>
      </c>
      <c r="C1511" s="320" t="s">
        <v>4269</v>
      </c>
      <c r="D1511" s="321" t="s">
        <v>7109</v>
      </c>
      <c r="E1511" s="322" t="s">
        <v>7110</v>
      </c>
    </row>
    <row r="1512" spans="1:5" s="327" customFormat="1" ht="14.5" customHeight="1" x14ac:dyDescent="0.35">
      <c r="A1512" s="323" t="str">
        <f>"42.2815"</f>
        <v>42.2815</v>
      </c>
      <c r="B1512" s="323" t="s">
        <v>4297</v>
      </c>
      <c r="C1512" s="324" t="s">
        <v>4269</v>
      </c>
      <c r="D1512" s="325" t="s">
        <v>7111</v>
      </c>
      <c r="E1512" s="326" t="s">
        <v>7112</v>
      </c>
    </row>
    <row r="1513" spans="1:5" s="327" customFormat="1" ht="14.5" customHeight="1" x14ac:dyDescent="0.35">
      <c r="A1513" s="323" t="str">
        <f>"42.2816"</f>
        <v>42.2816</v>
      </c>
      <c r="B1513" s="323" t="s">
        <v>4297</v>
      </c>
      <c r="C1513" s="324" t="s">
        <v>4269</v>
      </c>
      <c r="D1513" s="325" t="s">
        <v>7113</v>
      </c>
      <c r="E1513" s="326" t="s">
        <v>7114</v>
      </c>
    </row>
    <row r="1514" spans="1:5" s="327" customFormat="1" ht="14.5" customHeight="1" x14ac:dyDescent="0.35">
      <c r="A1514" s="323" t="str">
        <f>"42.2817"</f>
        <v>42.2817</v>
      </c>
      <c r="B1514" s="323" t="s">
        <v>4297</v>
      </c>
      <c r="C1514" s="324" t="s">
        <v>4269</v>
      </c>
      <c r="D1514" s="325" t="s">
        <v>7115</v>
      </c>
      <c r="E1514" s="326" t="s">
        <v>7116</v>
      </c>
    </row>
    <row r="1515" spans="1:5" ht="14.5" customHeight="1" x14ac:dyDescent="0.35">
      <c r="A1515" s="196" t="str">
        <f>"42.2899"</f>
        <v>42.2899</v>
      </c>
      <c r="B1515" s="196" t="s">
        <v>5760</v>
      </c>
      <c r="C1515" s="320" t="s">
        <v>4269</v>
      </c>
      <c r="D1515" s="321" t="s">
        <v>7117</v>
      </c>
      <c r="E1515" s="322" t="s">
        <v>7118</v>
      </c>
    </row>
    <row r="1516" spans="1:5" ht="14.5" customHeight="1" x14ac:dyDescent="0.35">
      <c r="A1516" s="196" t="str">
        <f>"42.99"</f>
        <v>42.99</v>
      </c>
      <c r="B1516" s="196" t="s">
        <v>5760</v>
      </c>
      <c r="C1516" s="320" t="s">
        <v>4269</v>
      </c>
      <c r="D1516" s="321" t="s">
        <v>7119</v>
      </c>
      <c r="E1516" s="322" t="s">
        <v>7120</v>
      </c>
    </row>
    <row r="1517" spans="1:5" ht="14.5" customHeight="1" x14ac:dyDescent="0.35">
      <c r="A1517" s="196" t="str">
        <f>"42.9999"</f>
        <v>42.9999</v>
      </c>
      <c r="B1517" s="196" t="s">
        <v>5760</v>
      </c>
      <c r="C1517" s="320" t="s">
        <v>4269</v>
      </c>
      <c r="D1517" s="321" t="s">
        <v>7119</v>
      </c>
      <c r="E1517" s="322" t="s">
        <v>7121</v>
      </c>
    </row>
    <row r="1518" spans="1:5" ht="14.5" customHeight="1" x14ac:dyDescent="0.35">
      <c r="A1518" s="196" t="str">
        <f>"43"</f>
        <v>43</v>
      </c>
      <c r="B1518" s="196" t="s">
        <v>5760</v>
      </c>
      <c r="C1518" s="320" t="s">
        <v>4269</v>
      </c>
      <c r="D1518" s="321" t="s">
        <v>7122</v>
      </c>
      <c r="E1518" s="322" t="s">
        <v>7123</v>
      </c>
    </row>
    <row r="1519" spans="1:5" ht="14.5" customHeight="1" x14ac:dyDescent="0.35">
      <c r="A1519" s="196" t="str">
        <f>"43.01"</f>
        <v>43.01</v>
      </c>
      <c r="B1519" s="196" t="s">
        <v>5760</v>
      </c>
      <c r="C1519" s="320" t="s">
        <v>4269</v>
      </c>
      <c r="D1519" s="321" t="s">
        <v>7124</v>
      </c>
      <c r="E1519" s="322" t="s">
        <v>7125</v>
      </c>
    </row>
    <row r="1520" spans="1:5" s="327" customFormat="1" ht="14.5" customHeight="1" x14ac:dyDescent="0.35">
      <c r="A1520" s="323" t="str">
        <f>"43.0100"</f>
        <v>43.0100</v>
      </c>
      <c r="B1520" s="323" t="s">
        <v>4297</v>
      </c>
      <c r="C1520" s="324" t="s">
        <v>4269</v>
      </c>
      <c r="D1520" s="325" t="s">
        <v>7126</v>
      </c>
      <c r="E1520" s="326" t="s">
        <v>7127</v>
      </c>
    </row>
    <row r="1521" spans="1:5" ht="14.5" customHeight="1" x14ac:dyDescent="0.35">
      <c r="A1521" s="196" t="str">
        <f>"43.0102"</f>
        <v>43.0102</v>
      </c>
      <c r="B1521" s="196" t="s">
        <v>5760</v>
      </c>
      <c r="C1521" s="320" t="s">
        <v>4269</v>
      </c>
      <c r="D1521" s="321" t="s">
        <v>7128</v>
      </c>
      <c r="E1521" s="322" t="s">
        <v>7129</v>
      </c>
    </row>
    <row r="1522" spans="1:5" ht="14.5" customHeight="1" x14ac:dyDescent="0.35">
      <c r="A1522" s="196" t="str">
        <f>"43.0103"</f>
        <v>43.0103</v>
      </c>
      <c r="B1522" s="196" t="s">
        <v>5760</v>
      </c>
      <c r="C1522" s="320" t="s">
        <v>4269</v>
      </c>
      <c r="D1522" s="321" t="s">
        <v>7130</v>
      </c>
      <c r="E1522" s="322" t="s">
        <v>7131</v>
      </c>
    </row>
    <row r="1523" spans="1:5" ht="14.5" customHeight="1" x14ac:dyDescent="0.35">
      <c r="A1523" s="196" t="str">
        <f>"43.0104"</f>
        <v>43.0104</v>
      </c>
      <c r="B1523" s="196" t="s">
        <v>5760</v>
      </c>
      <c r="C1523" s="320" t="s">
        <v>4269</v>
      </c>
      <c r="D1523" s="321" t="s">
        <v>7132</v>
      </c>
      <c r="E1523" s="322" t="s">
        <v>7133</v>
      </c>
    </row>
    <row r="1524" spans="1:5" s="332" customFormat="1" ht="14.5" customHeight="1" x14ac:dyDescent="0.35">
      <c r="A1524" s="328" t="str">
        <f>"43.0106"</f>
        <v>43.0106</v>
      </c>
      <c r="B1524" s="328" t="s">
        <v>4318</v>
      </c>
      <c r="C1524" s="329" t="s">
        <v>4269</v>
      </c>
      <c r="D1524" s="330" t="s">
        <v>7134</v>
      </c>
      <c r="E1524" s="331" t="s">
        <v>7135</v>
      </c>
    </row>
    <row r="1525" spans="1:5" ht="14.5" customHeight="1" x14ac:dyDescent="0.35">
      <c r="A1525" s="196" t="str">
        <f>"43.0107"</f>
        <v>43.0107</v>
      </c>
      <c r="B1525" s="196" t="s">
        <v>5760</v>
      </c>
      <c r="C1525" s="320" t="s">
        <v>4269</v>
      </c>
      <c r="D1525" s="321" t="s">
        <v>7136</v>
      </c>
      <c r="E1525" s="322" t="s">
        <v>7137</v>
      </c>
    </row>
    <row r="1526" spans="1:5" ht="14.5" customHeight="1" x14ac:dyDescent="0.35">
      <c r="A1526" s="196" t="str">
        <f>"43.0109"</f>
        <v>43.0109</v>
      </c>
      <c r="B1526" s="196" t="s">
        <v>5760</v>
      </c>
      <c r="C1526" s="320" t="s">
        <v>4269</v>
      </c>
      <c r="D1526" s="321" t="s">
        <v>7138</v>
      </c>
      <c r="E1526" s="322" t="s">
        <v>7139</v>
      </c>
    </row>
    <row r="1527" spans="1:5" ht="14.5" customHeight="1" x14ac:dyDescent="0.35">
      <c r="A1527" s="196" t="str">
        <f>"43.0110"</f>
        <v>43.0110</v>
      </c>
      <c r="B1527" s="196" t="s">
        <v>5760</v>
      </c>
      <c r="C1527" s="320" t="s">
        <v>4269</v>
      </c>
      <c r="D1527" s="321" t="s">
        <v>7140</v>
      </c>
      <c r="E1527" s="322" t="s">
        <v>7141</v>
      </c>
    </row>
    <row r="1528" spans="1:5" s="332" customFormat="1" ht="14.5" customHeight="1" x14ac:dyDescent="0.35">
      <c r="A1528" s="328" t="str">
        <f>"43.0111"</f>
        <v>43.0111</v>
      </c>
      <c r="B1528" s="328" t="s">
        <v>4318</v>
      </c>
      <c r="C1528" s="329" t="s">
        <v>4269</v>
      </c>
      <c r="D1528" s="330" t="s">
        <v>7142</v>
      </c>
      <c r="E1528" s="331" t="s">
        <v>7143</v>
      </c>
    </row>
    <row r="1529" spans="1:5" ht="14.5" customHeight="1" x14ac:dyDescent="0.35">
      <c r="A1529" s="196" t="str">
        <f>"43.0112"</f>
        <v>43.0112</v>
      </c>
      <c r="B1529" s="196" t="s">
        <v>5760</v>
      </c>
      <c r="C1529" s="320" t="s">
        <v>4269</v>
      </c>
      <c r="D1529" s="321" t="s">
        <v>7144</v>
      </c>
      <c r="E1529" s="322" t="s">
        <v>7145</v>
      </c>
    </row>
    <row r="1530" spans="1:5" ht="14.5" customHeight="1" x14ac:dyDescent="0.35">
      <c r="A1530" s="196" t="str">
        <f>"43.0113"</f>
        <v>43.0113</v>
      </c>
      <c r="B1530" s="196" t="s">
        <v>5760</v>
      </c>
      <c r="C1530" s="320" t="s">
        <v>4269</v>
      </c>
      <c r="D1530" s="321" t="s">
        <v>7146</v>
      </c>
      <c r="E1530" s="322" t="s">
        <v>7147</v>
      </c>
    </row>
    <row r="1531" spans="1:5" ht="14.5" customHeight="1" x14ac:dyDescent="0.35">
      <c r="A1531" s="196" t="str">
        <f>"43.0114"</f>
        <v>43.0114</v>
      </c>
      <c r="B1531" s="196" t="s">
        <v>5760</v>
      </c>
      <c r="C1531" s="320" t="s">
        <v>4269</v>
      </c>
      <c r="D1531" s="321" t="s">
        <v>7148</v>
      </c>
      <c r="E1531" s="322" t="s">
        <v>7149</v>
      </c>
    </row>
    <row r="1532" spans="1:5" ht="14.5" customHeight="1" x14ac:dyDescent="0.35">
      <c r="A1532" s="196" t="str">
        <f>"43.0115"</f>
        <v>43.0115</v>
      </c>
      <c r="B1532" s="196" t="s">
        <v>5760</v>
      </c>
      <c r="C1532" s="320" t="s">
        <v>4269</v>
      </c>
      <c r="D1532" s="321" t="s">
        <v>7150</v>
      </c>
      <c r="E1532" s="322" t="s">
        <v>7151</v>
      </c>
    </row>
    <row r="1533" spans="1:5" s="332" customFormat="1" ht="14.5" customHeight="1" x14ac:dyDescent="0.35">
      <c r="A1533" s="328" t="str">
        <f>"43.0116"</f>
        <v>43.0116</v>
      </c>
      <c r="B1533" s="328" t="s">
        <v>4318</v>
      </c>
      <c r="C1533" s="329" t="s">
        <v>4269</v>
      </c>
      <c r="D1533" s="330" t="s">
        <v>7152</v>
      </c>
      <c r="E1533" s="331" t="s">
        <v>7153</v>
      </c>
    </row>
    <row r="1534" spans="1:5" s="332" customFormat="1" ht="14.5" customHeight="1" x14ac:dyDescent="0.35">
      <c r="A1534" s="328" t="str">
        <f>"43.0117"</f>
        <v>43.0117</v>
      </c>
      <c r="B1534" s="328" t="s">
        <v>4318</v>
      </c>
      <c r="C1534" s="329" t="s">
        <v>4269</v>
      </c>
      <c r="D1534" s="330" t="s">
        <v>7154</v>
      </c>
      <c r="E1534" s="331" t="s">
        <v>7155</v>
      </c>
    </row>
    <row r="1535" spans="1:5" s="332" customFormat="1" ht="14.5" customHeight="1" x14ac:dyDescent="0.35">
      <c r="A1535" s="328" t="str">
        <f>"43.0118"</f>
        <v>43.0118</v>
      </c>
      <c r="B1535" s="328" t="s">
        <v>4318</v>
      </c>
      <c r="C1535" s="329" t="s">
        <v>4269</v>
      </c>
      <c r="D1535" s="330" t="s">
        <v>7156</v>
      </c>
      <c r="E1535" s="331" t="s">
        <v>7157</v>
      </c>
    </row>
    <row r="1536" spans="1:5" ht="14.5" customHeight="1" x14ac:dyDescent="0.35">
      <c r="A1536" s="196" t="str">
        <f>"43.0119"</f>
        <v>43.0119</v>
      </c>
      <c r="B1536" s="196" t="s">
        <v>5760</v>
      </c>
      <c r="C1536" s="320" t="s">
        <v>4269</v>
      </c>
      <c r="D1536" s="321" t="s">
        <v>7158</v>
      </c>
      <c r="E1536" s="322" t="s">
        <v>7159</v>
      </c>
    </row>
    <row r="1537" spans="1:5" ht="14.5" customHeight="1" x14ac:dyDescent="0.35">
      <c r="A1537" s="196" t="str">
        <f>"43.0120"</f>
        <v>43.0120</v>
      </c>
      <c r="B1537" s="196" t="s">
        <v>5760</v>
      </c>
      <c r="C1537" s="320" t="s">
        <v>4269</v>
      </c>
      <c r="D1537" s="321" t="s">
        <v>7160</v>
      </c>
      <c r="E1537" s="322" t="s">
        <v>7161</v>
      </c>
    </row>
    <row r="1538" spans="1:5" ht="14.5" customHeight="1" x14ac:dyDescent="0.35">
      <c r="A1538" s="196" t="str">
        <f>"43.0121"</f>
        <v>43.0121</v>
      </c>
      <c r="B1538" s="196" t="s">
        <v>5760</v>
      </c>
      <c r="C1538" s="320" t="s">
        <v>4269</v>
      </c>
      <c r="D1538" s="321" t="s">
        <v>7162</v>
      </c>
      <c r="E1538" s="322" t="s">
        <v>7163</v>
      </c>
    </row>
    <row r="1539" spans="1:5" ht="14.5" customHeight="1" x14ac:dyDescent="0.35">
      <c r="A1539" s="196" t="str">
        <f>"43.0122"</f>
        <v>43.0122</v>
      </c>
      <c r="B1539" s="196" t="s">
        <v>5760</v>
      </c>
      <c r="C1539" s="320" t="s">
        <v>4269</v>
      </c>
      <c r="D1539" s="321" t="s">
        <v>7164</v>
      </c>
      <c r="E1539" s="322" t="s">
        <v>7165</v>
      </c>
    </row>
    <row r="1540" spans="1:5" ht="14.5" customHeight="1" x14ac:dyDescent="0.35">
      <c r="A1540" s="196" t="str">
        <f>"43.0123"</f>
        <v>43.0123</v>
      </c>
      <c r="B1540" s="196" t="s">
        <v>5760</v>
      </c>
      <c r="C1540" s="320" t="s">
        <v>4269</v>
      </c>
      <c r="D1540" s="321" t="s">
        <v>7166</v>
      </c>
      <c r="E1540" s="322" t="s">
        <v>7167</v>
      </c>
    </row>
    <row r="1541" spans="1:5" ht="14.5" customHeight="1" x14ac:dyDescent="0.35">
      <c r="A1541" s="196" t="str">
        <f>"43.0199"</f>
        <v>43.0199</v>
      </c>
      <c r="B1541" s="196" t="s">
        <v>5760</v>
      </c>
      <c r="C1541" s="320" t="s">
        <v>4269</v>
      </c>
      <c r="D1541" s="321" t="s">
        <v>7168</v>
      </c>
      <c r="E1541" s="322" t="s">
        <v>7169</v>
      </c>
    </row>
    <row r="1542" spans="1:5" ht="14.5" customHeight="1" x14ac:dyDescent="0.35">
      <c r="A1542" s="196" t="str">
        <f>"43.02"</f>
        <v>43.02</v>
      </c>
      <c r="B1542" s="196" t="s">
        <v>5760</v>
      </c>
      <c r="C1542" s="320" t="s">
        <v>4269</v>
      </c>
      <c r="D1542" s="321" t="s">
        <v>7170</v>
      </c>
      <c r="E1542" s="322" t="s">
        <v>7171</v>
      </c>
    </row>
    <row r="1543" spans="1:5" ht="14.5" customHeight="1" x14ac:dyDescent="0.35">
      <c r="A1543" s="196" t="str">
        <f>"43.0201"</f>
        <v>43.0201</v>
      </c>
      <c r="B1543" s="196" t="s">
        <v>5760</v>
      </c>
      <c r="C1543" s="320" t="s">
        <v>4269</v>
      </c>
      <c r="D1543" s="321" t="s">
        <v>7172</v>
      </c>
      <c r="E1543" s="322" t="s">
        <v>7173</v>
      </c>
    </row>
    <row r="1544" spans="1:5" ht="14.5" customHeight="1" x14ac:dyDescent="0.35">
      <c r="A1544" s="196" t="str">
        <f>"43.0202"</f>
        <v>43.0202</v>
      </c>
      <c r="B1544" s="196" t="s">
        <v>5760</v>
      </c>
      <c r="C1544" s="320" t="s">
        <v>4269</v>
      </c>
      <c r="D1544" s="321" t="s">
        <v>7174</v>
      </c>
      <c r="E1544" s="322" t="s">
        <v>7175</v>
      </c>
    </row>
    <row r="1545" spans="1:5" ht="14.5" customHeight="1" x14ac:dyDescent="0.35">
      <c r="A1545" s="196" t="str">
        <f>"43.0203"</f>
        <v>43.0203</v>
      </c>
      <c r="B1545" s="196" t="s">
        <v>5760</v>
      </c>
      <c r="C1545" s="320" t="s">
        <v>4269</v>
      </c>
      <c r="D1545" s="321" t="s">
        <v>7176</v>
      </c>
      <c r="E1545" s="322" t="s">
        <v>7177</v>
      </c>
    </row>
    <row r="1546" spans="1:5" ht="14.5" customHeight="1" x14ac:dyDescent="0.35">
      <c r="A1546" s="196" t="str">
        <f>"43.0204"</f>
        <v>43.0204</v>
      </c>
      <c r="B1546" s="196" t="s">
        <v>5760</v>
      </c>
      <c r="C1546" s="320" t="s">
        <v>4269</v>
      </c>
      <c r="D1546" s="321" t="s">
        <v>7178</v>
      </c>
      <c r="E1546" s="322" t="s">
        <v>7179</v>
      </c>
    </row>
    <row r="1547" spans="1:5" ht="14.5" customHeight="1" x14ac:dyDescent="0.35">
      <c r="A1547" s="196" t="str">
        <f>"43.0205"</f>
        <v>43.0205</v>
      </c>
      <c r="B1547" s="196" t="s">
        <v>5760</v>
      </c>
      <c r="C1547" s="320" t="s">
        <v>4269</v>
      </c>
      <c r="D1547" s="321" t="s">
        <v>7180</v>
      </c>
      <c r="E1547" s="322" t="s">
        <v>7181</v>
      </c>
    </row>
    <row r="1548" spans="1:5" ht="14.5" customHeight="1" x14ac:dyDescent="0.35">
      <c r="A1548" s="196" t="str">
        <f>"43.0206"</f>
        <v>43.0206</v>
      </c>
      <c r="B1548" s="196" t="s">
        <v>5760</v>
      </c>
      <c r="C1548" s="320" t="s">
        <v>4269</v>
      </c>
      <c r="D1548" s="321" t="s">
        <v>7182</v>
      </c>
      <c r="E1548" s="322" t="s">
        <v>7183</v>
      </c>
    </row>
    <row r="1549" spans="1:5" ht="14.5" customHeight="1" x14ac:dyDescent="0.35">
      <c r="A1549" s="196" t="str">
        <f>"43.0299"</f>
        <v>43.0299</v>
      </c>
      <c r="B1549" s="196" t="s">
        <v>5760</v>
      </c>
      <c r="C1549" s="320" t="s">
        <v>4269</v>
      </c>
      <c r="D1549" s="321" t="s">
        <v>7184</v>
      </c>
      <c r="E1549" s="322" t="s">
        <v>7185</v>
      </c>
    </row>
    <row r="1550" spans="1:5" ht="14.5" customHeight="1" x14ac:dyDescent="0.35">
      <c r="A1550" s="196" t="str">
        <f>"43.03"</f>
        <v>43.03</v>
      </c>
      <c r="B1550" s="196" t="s">
        <v>5760</v>
      </c>
      <c r="C1550" s="320" t="s">
        <v>4269</v>
      </c>
      <c r="D1550" s="321" t="s">
        <v>7186</v>
      </c>
      <c r="E1550" s="322" t="s">
        <v>7187</v>
      </c>
    </row>
    <row r="1551" spans="1:5" ht="14.5" customHeight="1" x14ac:dyDescent="0.35">
      <c r="A1551" s="196" t="str">
        <f>"43.0301"</f>
        <v>43.0301</v>
      </c>
      <c r="B1551" s="196" t="s">
        <v>5760</v>
      </c>
      <c r="C1551" s="320" t="s">
        <v>4269</v>
      </c>
      <c r="D1551" s="321" t="s">
        <v>7186</v>
      </c>
      <c r="E1551" s="322" t="s">
        <v>7188</v>
      </c>
    </row>
    <row r="1552" spans="1:5" ht="14.5" customHeight="1" x14ac:dyDescent="0.35">
      <c r="A1552" s="196" t="str">
        <f>"43.0302"</f>
        <v>43.0302</v>
      </c>
      <c r="B1552" s="196" t="s">
        <v>5760</v>
      </c>
      <c r="C1552" s="320" t="s">
        <v>4269</v>
      </c>
      <c r="D1552" s="321" t="s">
        <v>7189</v>
      </c>
      <c r="E1552" s="322" t="s">
        <v>7190</v>
      </c>
    </row>
    <row r="1553" spans="1:5" ht="14.5" customHeight="1" x14ac:dyDescent="0.35">
      <c r="A1553" s="196" t="str">
        <f>"43.0303"</f>
        <v>43.0303</v>
      </c>
      <c r="B1553" s="196" t="s">
        <v>5760</v>
      </c>
      <c r="C1553" s="320" t="s">
        <v>4269</v>
      </c>
      <c r="D1553" s="321" t="s">
        <v>7191</v>
      </c>
      <c r="E1553" s="322" t="s">
        <v>7192</v>
      </c>
    </row>
    <row r="1554" spans="1:5" ht="14.5" customHeight="1" x14ac:dyDescent="0.35">
      <c r="A1554" s="196" t="str">
        <f>"43.0304"</f>
        <v>43.0304</v>
      </c>
      <c r="B1554" s="196" t="s">
        <v>5760</v>
      </c>
      <c r="C1554" s="320" t="s">
        <v>4269</v>
      </c>
      <c r="D1554" s="321" t="s">
        <v>7193</v>
      </c>
      <c r="E1554" s="322" t="s">
        <v>7194</v>
      </c>
    </row>
    <row r="1555" spans="1:5" ht="14.5" customHeight="1" x14ac:dyDescent="0.35">
      <c r="A1555" s="196" t="str">
        <f>"43.0399"</f>
        <v>43.0399</v>
      </c>
      <c r="B1555" s="196" t="s">
        <v>5760</v>
      </c>
      <c r="C1555" s="320" t="s">
        <v>4269</v>
      </c>
      <c r="D1555" s="321" t="s">
        <v>7195</v>
      </c>
      <c r="E1555" s="322" t="s">
        <v>7196</v>
      </c>
    </row>
    <row r="1556" spans="1:5" s="327" customFormat="1" ht="14.5" customHeight="1" x14ac:dyDescent="0.35">
      <c r="A1556" s="323" t="str">
        <f>"43.04"</f>
        <v>43.04</v>
      </c>
      <c r="B1556" s="323" t="s">
        <v>4297</v>
      </c>
      <c r="C1556" s="324" t="s">
        <v>4269</v>
      </c>
      <c r="D1556" s="325" t="s">
        <v>7197</v>
      </c>
      <c r="E1556" s="326" t="s">
        <v>7198</v>
      </c>
    </row>
    <row r="1557" spans="1:5" s="327" customFormat="1" ht="14.5" customHeight="1" x14ac:dyDescent="0.35">
      <c r="A1557" s="323" t="str">
        <f>"43.0401"</f>
        <v>43.0401</v>
      </c>
      <c r="B1557" s="323" t="s">
        <v>4297</v>
      </c>
      <c r="C1557" s="324" t="s">
        <v>4269</v>
      </c>
      <c r="D1557" s="325" t="s">
        <v>7199</v>
      </c>
      <c r="E1557" s="326" t="s">
        <v>7200</v>
      </c>
    </row>
    <row r="1558" spans="1:5" s="327" customFormat="1" ht="14.5" customHeight="1" x14ac:dyDescent="0.35">
      <c r="A1558" s="323" t="str">
        <f>"43.0402"</f>
        <v>43.0402</v>
      </c>
      <c r="B1558" s="323" t="s">
        <v>4403</v>
      </c>
      <c r="C1558" s="324" t="s">
        <v>4269</v>
      </c>
      <c r="D1558" s="325" t="s">
        <v>7142</v>
      </c>
      <c r="E1558" s="326" t="s">
        <v>7201</v>
      </c>
    </row>
    <row r="1559" spans="1:5" s="327" customFormat="1" ht="14.5" customHeight="1" x14ac:dyDescent="0.35">
      <c r="A1559" s="323" t="str">
        <f>"43.0403"</f>
        <v>43.0403</v>
      </c>
      <c r="B1559" s="323" t="s">
        <v>4403</v>
      </c>
      <c r="C1559" s="324" t="s">
        <v>4269</v>
      </c>
      <c r="D1559" s="325" t="s">
        <v>7152</v>
      </c>
      <c r="E1559" s="326" t="s">
        <v>7202</v>
      </c>
    </row>
    <row r="1560" spans="1:5" s="327" customFormat="1" ht="14.5" customHeight="1" x14ac:dyDescent="0.35">
      <c r="A1560" s="323" t="str">
        <f>"43.0404"</f>
        <v>43.0404</v>
      </c>
      <c r="B1560" s="323" t="s">
        <v>4297</v>
      </c>
      <c r="C1560" s="324" t="s">
        <v>4269</v>
      </c>
      <c r="D1560" s="325" t="s">
        <v>7203</v>
      </c>
      <c r="E1560" s="326" t="s">
        <v>7204</v>
      </c>
    </row>
    <row r="1561" spans="1:5" s="327" customFormat="1" ht="14.5" customHeight="1" x14ac:dyDescent="0.35">
      <c r="A1561" s="323" t="str">
        <f>"43.0405"</f>
        <v>43.0405</v>
      </c>
      <c r="B1561" s="323" t="s">
        <v>4403</v>
      </c>
      <c r="C1561" s="324" t="s">
        <v>4269</v>
      </c>
      <c r="D1561" s="325" t="s">
        <v>7154</v>
      </c>
      <c r="E1561" s="326" t="s">
        <v>7205</v>
      </c>
    </row>
    <row r="1562" spans="1:5" s="327" customFormat="1" ht="14.5" customHeight="1" x14ac:dyDescent="0.35">
      <c r="A1562" s="323" t="str">
        <f>"43.0406"</f>
        <v>43.0406</v>
      </c>
      <c r="B1562" s="323" t="s">
        <v>4403</v>
      </c>
      <c r="C1562" s="324" t="s">
        <v>4269</v>
      </c>
      <c r="D1562" s="325" t="s">
        <v>7134</v>
      </c>
      <c r="E1562" s="326" t="s">
        <v>7206</v>
      </c>
    </row>
    <row r="1563" spans="1:5" s="327" customFormat="1" ht="14.5" customHeight="1" x14ac:dyDescent="0.35">
      <c r="A1563" s="323" t="str">
        <f>"43.0407"</f>
        <v>43.0407</v>
      </c>
      <c r="B1563" s="323" t="s">
        <v>4297</v>
      </c>
      <c r="C1563" s="324" t="s">
        <v>4269</v>
      </c>
      <c r="D1563" s="325" t="s">
        <v>7207</v>
      </c>
      <c r="E1563" s="326" t="s">
        <v>7208</v>
      </c>
    </row>
    <row r="1564" spans="1:5" s="327" customFormat="1" ht="14.5" customHeight="1" x14ac:dyDescent="0.35">
      <c r="A1564" s="323" t="str">
        <f>"43.0408"</f>
        <v>43.0408</v>
      </c>
      <c r="B1564" s="323" t="s">
        <v>4403</v>
      </c>
      <c r="C1564" s="324" t="s">
        <v>4269</v>
      </c>
      <c r="D1564" s="325" t="s">
        <v>7156</v>
      </c>
      <c r="E1564" s="326" t="s">
        <v>7209</v>
      </c>
    </row>
    <row r="1565" spans="1:5" s="327" customFormat="1" ht="14.5" customHeight="1" x14ac:dyDescent="0.35">
      <c r="A1565" s="323" t="str">
        <f>"43.0499"</f>
        <v>43.0499</v>
      </c>
      <c r="B1565" s="323" t="s">
        <v>4297</v>
      </c>
      <c r="C1565" s="324" t="s">
        <v>4269</v>
      </c>
      <c r="D1565" s="325" t="s">
        <v>7210</v>
      </c>
      <c r="E1565" s="326" t="s">
        <v>7211</v>
      </c>
    </row>
    <row r="1566" spans="1:5" ht="14.5" customHeight="1" x14ac:dyDescent="0.35">
      <c r="A1566" s="196" t="str">
        <f>"43.99"</f>
        <v>43.99</v>
      </c>
      <c r="B1566" s="196" t="s">
        <v>5760</v>
      </c>
      <c r="C1566" s="320" t="s">
        <v>4269</v>
      </c>
      <c r="D1566" s="321" t="s">
        <v>7212</v>
      </c>
      <c r="E1566" s="322" t="s">
        <v>7213</v>
      </c>
    </row>
    <row r="1567" spans="1:5" ht="14.5" customHeight="1" x14ac:dyDescent="0.35">
      <c r="A1567" s="196" t="str">
        <f>"43.9999"</f>
        <v>43.9999</v>
      </c>
      <c r="B1567" s="196" t="s">
        <v>5760</v>
      </c>
      <c r="C1567" s="320" t="s">
        <v>4269</v>
      </c>
      <c r="D1567" s="321" t="s">
        <v>7212</v>
      </c>
      <c r="E1567" s="322" t="s">
        <v>7214</v>
      </c>
    </row>
    <row r="1568" spans="1:5" ht="14.5" customHeight="1" x14ac:dyDescent="0.35">
      <c r="A1568" s="196" t="str">
        <f>"44"</f>
        <v>44</v>
      </c>
      <c r="B1568" s="196" t="s">
        <v>5760</v>
      </c>
      <c r="C1568" s="320" t="s">
        <v>4269</v>
      </c>
      <c r="D1568" s="321" t="s">
        <v>7215</v>
      </c>
      <c r="E1568" s="322" t="s">
        <v>7216</v>
      </c>
    </row>
    <row r="1569" spans="1:5" ht="14.5" customHeight="1" x14ac:dyDescent="0.35">
      <c r="A1569" s="196" t="str">
        <f>"44.00"</f>
        <v>44.00</v>
      </c>
      <c r="B1569" s="196" t="s">
        <v>5760</v>
      </c>
      <c r="C1569" s="320" t="s">
        <v>4269</v>
      </c>
      <c r="D1569" s="321" t="s">
        <v>7217</v>
      </c>
      <c r="E1569" s="322" t="s">
        <v>7218</v>
      </c>
    </row>
    <row r="1570" spans="1:5" ht="14.5" customHeight="1" x14ac:dyDescent="0.35">
      <c r="A1570" s="196" t="str">
        <f>"44.0000"</f>
        <v>44.0000</v>
      </c>
      <c r="B1570" s="196" t="s">
        <v>5760</v>
      </c>
      <c r="C1570" s="320" t="s">
        <v>4269</v>
      </c>
      <c r="D1570" s="321" t="s">
        <v>7217</v>
      </c>
      <c r="E1570" s="322" t="s">
        <v>7219</v>
      </c>
    </row>
    <row r="1571" spans="1:5" ht="14.5" customHeight="1" x14ac:dyDescent="0.35">
      <c r="A1571" s="196" t="str">
        <f>"44.02"</f>
        <v>44.02</v>
      </c>
      <c r="B1571" s="196" t="s">
        <v>5760</v>
      </c>
      <c r="C1571" s="320" t="s">
        <v>4269</v>
      </c>
      <c r="D1571" s="321" t="s">
        <v>7220</v>
      </c>
      <c r="E1571" s="322" t="s">
        <v>7221</v>
      </c>
    </row>
    <row r="1572" spans="1:5" ht="14.5" customHeight="1" x14ac:dyDescent="0.35">
      <c r="A1572" s="196" t="str">
        <f>"44.0201"</f>
        <v>44.0201</v>
      </c>
      <c r="B1572" s="196" t="s">
        <v>4265</v>
      </c>
      <c r="C1572" s="320" t="s">
        <v>4266</v>
      </c>
      <c r="D1572" s="321" t="s">
        <v>7220</v>
      </c>
      <c r="E1572" s="322" t="s">
        <v>7222</v>
      </c>
    </row>
    <row r="1573" spans="1:5" ht="14.5" customHeight="1" x14ac:dyDescent="0.35">
      <c r="A1573" s="196" t="str">
        <f>"44.04"</f>
        <v>44.04</v>
      </c>
      <c r="B1573" s="196" t="s">
        <v>5760</v>
      </c>
      <c r="C1573" s="320" t="s">
        <v>4269</v>
      </c>
      <c r="D1573" s="321" t="s">
        <v>7223</v>
      </c>
      <c r="E1573" s="322" t="s">
        <v>7224</v>
      </c>
    </row>
    <row r="1574" spans="1:5" ht="14.5" customHeight="1" x14ac:dyDescent="0.35">
      <c r="A1574" s="196" t="str">
        <f>"44.0401"</f>
        <v>44.0401</v>
      </c>
      <c r="B1574" s="196" t="s">
        <v>5760</v>
      </c>
      <c r="C1574" s="320" t="s">
        <v>4269</v>
      </c>
      <c r="D1574" s="321" t="s">
        <v>7223</v>
      </c>
      <c r="E1574" s="322" t="s">
        <v>7225</v>
      </c>
    </row>
    <row r="1575" spans="1:5" s="327" customFormat="1" ht="14.5" customHeight="1" x14ac:dyDescent="0.35">
      <c r="A1575" s="323" t="str">
        <f>"44.0402"</f>
        <v>44.0402</v>
      </c>
      <c r="B1575" s="323" t="s">
        <v>4297</v>
      </c>
      <c r="C1575" s="324" t="s">
        <v>4269</v>
      </c>
      <c r="D1575" s="325" t="s">
        <v>7226</v>
      </c>
      <c r="E1575" s="326" t="s">
        <v>7227</v>
      </c>
    </row>
    <row r="1576" spans="1:5" s="327" customFormat="1" ht="14.5" customHeight="1" x14ac:dyDescent="0.35">
      <c r="A1576" s="323" t="str">
        <f>"44.0403"</f>
        <v>44.0403</v>
      </c>
      <c r="B1576" s="323" t="s">
        <v>4297</v>
      </c>
      <c r="C1576" s="324" t="s">
        <v>4269</v>
      </c>
      <c r="D1576" s="325" t="s">
        <v>7228</v>
      </c>
      <c r="E1576" s="326" t="s">
        <v>7229</v>
      </c>
    </row>
    <row r="1577" spans="1:5" s="327" customFormat="1" ht="14.5" customHeight="1" x14ac:dyDescent="0.35">
      <c r="A1577" s="323" t="str">
        <f>"44.0499"</f>
        <v>44.0499</v>
      </c>
      <c r="B1577" s="323" t="s">
        <v>4297</v>
      </c>
      <c r="C1577" s="324" t="s">
        <v>4269</v>
      </c>
      <c r="D1577" s="325" t="s">
        <v>7230</v>
      </c>
      <c r="E1577" s="326" t="s">
        <v>7231</v>
      </c>
    </row>
    <row r="1578" spans="1:5" ht="14.5" customHeight="1" x14ac:dyDescent="0.35">
      <c r="A1578" s="196" t="str">
        <f>"44.05"</f>
        <v>44.05</v>
      </c>
      <c r="B1578" s="196" t="s">
        <v>5760</v>
      </c>
      <c r="C1578" s="320" t="s">
        <v>4269</v>
      </c>
      <c r="D1578" s="321" t="s">
        <v>7232</v>
      </c>
      <c r="E1578" s="322" t="s">
        <v>7233</v>
      </c>
    </row>
    <row r="1579" spans="1:5" ht="14.5" customHeight="1" x14ac:dyDescent="0.35">
      <c r="A1579" s="196" t="str">
        <f>"44.0501"</f>
        <v>44.0501</v>
      </c>
      <c r="B1579" s="196" t="s">
        <v>5760</v>
      </c>
      <c r="C1579" s="320" t="s">
        <v>4269</v>
      </c>
      <c r="D1579" s="321" t="s">
        <v>7234</v>
      </c>
      <c r="E1579" s="322" t="s">
        <v>7235</v>
      </c>
    </row>
    <row r="1580" spans="1:5" ht="14.5" customHeight="1" x14ac:dyDescent="0.35">
      <c r="A1580" s="196" t="str">
        <f>"44.0502"</f>
        <v>44.0502</v>
      </c>
      <c r="B1580" s="196" t="s">
        <v>5760</v>
      </c>
      <c r="C1580" s="320" t="s">
        <v>4269</v>
      </c>
      <c r="D1580" s="321" t="s">
        <v>7236</v>
      </c>
      <c r="E1580" s="322" t="s">
        <v>7237</v>
      </c>
    </row>
    <row r="1581" spans="1:5" ht="14.5" customHeight="1" x14ac:dyDescent="0.35">
      <c r="A1581" s="196" t="str">
        <f>"44.0503"</f>
        <v>44.0503</v>
      </c>
      <c r="B1581" s="196" t="s">
        <v>5760</v>
      </c>
      <c r="C1581" s="320" t="s">
        <v>4269</v>
      </c>
      <c r="D1581" s="321" t="s">
        <v>7238</v>
      </c>
      <c r="E1581" s="322" t="s">
        <v>7239</v>
      </c>
    </row>
    <row r="1582" spans="1:5" ht="14.5" customHeight="1" x14ac:dyDescent="0.35">
      <c r="A1582" s="196" t="str">
        <f>"44.0504"</f>
        <v>44.0504</v>
      </c>
      <c r="B1582" s="196" t="s">
        <v>5760</v>
      </c>
      <c r="C1582" s="320" t="s">
        <v>4269</v>
      </c>
      <c r="D1582" s="321" t="s">
        <v>7240</v>
      </c>
      <c r="E1582" s="322" t="s">
        <v>7241</v>
      </c>
    </row>
    <row r="1583" spans="1:5" s="327" customFormat="1" ht="14.5" customHeight="1" x14ac:dyDescent="0.35">
      <c r="A1583" s="323" t="str">
        <f>"44.0580"</f>
        <v>44.0580</v>
      </c>
      <c r="B1583" s="323" t="s">
        <v>4297</v>
      </c>
      <c r="C1583" s="324" t="s">
        <v>4269</v>
      </c>
      <c r="D1583" s="325" t="s">
        <v>4328</v>
      </c>
      <c r="E1583" s="326" t="s">
        <v>4329</v>
      </c>
    </row>
    <row r="1584" spans="1:5" ht="14.5" customHeight="1" x14ac:dyDescent="0.35">
      <c r="A1584" s="196" t="str">
        <f>"44.0599"</f>
        <v>44.0599</v>
      </c>
      <c r="B1584" s="196" t="s">
        <v>5760</v>
      </c>
      <c r="C1584" s="320" t="s">
        <v>4269</v>
      </c>
      <c r="D1584" s="321" t="s">
        <v>7242</v>
      </c>
      <c r="E1584" s="322" t="s">
        <v>7243</v>
      </c>
    </row>
    <row r="1585" spans="1:5" ht="14.5" customHeight="1" x14ac:dyDescent="0.35">
      <c r="A1585" s="196" t="str">
        <f>"44.07"</f>
        <v>44.07</v>
      </c>
      <c r="B1585" s="196" t="s">
        <v>5760</v>
      </c>
      <c r="C1585" s="320" t="s">
        <v>4269</v>
      </c>
      <c r="D1585" s="321" t="s">
        <v>7244</v>
      </c>
      <c r="E1585" s="322" t="s">
        <v>7245</v>
      </c>
    </row>
    <row r="1586" spans="1:5" ht="14.5" customHeight="1" x14ac:dyDescent="0.35">
      <c r="A1586" s="196" t="str">
        <f>"44.0701"</f>
        <v>44.0701</v>
      </c>
      <c r="B1586" s="196" t="s">
        <v>5760</v>
      </c>
      <c r="C1586" s="320" t="s">
        <v>4269</v>
      </c>
      <c r="D1586" s="321" t="s">
        <v>7244</v>
      </c>
      <c r="E1586" s="322" t="s">
        <v>7246</v>
      </c>
    </row>
    <row r="1587" spans="1:5" ht="14.5" customHeight="1" x14ac:dyDescent="0.35">
      <c r="A1587" s="196" t="str">
        <f>"44.0702"</f>
        <v>44.0702</v>
      </c>
      <c r="B1587" s="196" t="s">
        <v>5760</v>
      </c>
      <c r="C1587" s="320" t="s">
        <v>4269</v>
      </c>
      <c r="D1587" s="321" t="s">
        <v>7247</v>
      </c>
      <c r="E1587" s="322" t="s">
        <v>7248</v>
      </c>
    </row>
    <row r="1588" spans="1:5" s="327" customFormat="1" ht="14.5" customHeight="1" x14ac:dyDescent="0.35">
      <c r="A1588" s="323" t="str">
        <f>"44.0703"</f>
        <v>44.0703</v>
      </c>
      <c r="B1588" s="323" t="s">
        <v>4297</v>
      </c>
      <c r="C1588" s="324" t="s">
        <v>4269</v>
      </c>
      <c r="D1588" s="325" t="s">
        <v>7249</v>
      </c>
      <c r="E1588" s="326" t="s">
        <v>7250</v>
      </c>
    </row>
    <row r="1589" spans="1:5" ht="14.5" customHeight="1" x14ac:dyDescent="0.35">
      <c r="A1589" s="196" t="str">
        <f>"44.0799"</f>
        <v>44.0799</v>
      </c>
      <c r="B1589" s="196" t="s">
        <v>5760</v>
      </c>
      <c r="C1589" s="320" t="s">
        <v>4269</v>
      </c>
      <c r="D1589" s="321" t="s">
        <v>7251</v>
      </c>
      <c r="E1589" s="322" t="s">
        <v>7252</v>
      </c>
    </row>
    <row r="1590" spans="1:5" ht="14.5" customHeight="1" x14ac:dyDescent="0.35">
      <c r="A1590" s="196" t="str">
        <f>"44.99"</f>
        <v>44.99</v>
      </c>
      <c r="B1590" s="196" t="s">
        <v>5760</v>
      </c>
      <c r="C1590" s="320" t="s">
        <v>4269</v>
      </c>
      <c r="D1590" s="321" t="s">
        <v>7253</v>
      </c>
      <c r="E1590" s="322" t="s">
        <v>7254</v>
      </c>
    </row>
    <row r="1591" spans="1:5" ht="14.5" customHeight="1" x14ac:dyDescent="0.35">
      <c r="A1591" s="196" t="str">
        <f>"44.9999"</f>
        <v>44.9999</v>
      </c>
      <c r="B1591" s="196" t="s">
        <v>5760</v>
      </c>
      <c r="C1591" s="320" t="s">
        <v>4269</v>
      </c>
      <c r="D1591" s="321" t="s">
        <v>7253</v>
      </c>
      <c r="E1591" s="322" t="s">
        <v>7255</v>
      </c>
    </row>
    <row r="1592" spans="1:5" ht="14.5" customHeight="1" x14ac:dyDescent="0.35">
      <c r="A1592" s="196" t="str">
        <f>"45"</f>
        <v>45</v>
      </c>
      <c r="B1592" s="196" t="s">
        <v>5760</v>
      </c>
      <c r="C1592" s="320" t="s">
        <v>4269</v>
      </c>
      <c r="D1592" s="321" t="s">
        <v>7256</v>
      </c>
      <c r="E1592" s="322" t="s">
        <v>7257</v>
      </c>
    </row>
    <row r="1593" spans="1:5" ht="14.5" customHeight="1" x14ac:dyDescent="0.35">
      <c r="A1593" s="196" t="str">
        <f>"45.01"</f>
        <v>45.01</v>
      </c>
      <c r="B1593" s="196" t="s">
        <v>5760</v>
      </c>
      <c r="C1593" s="320" t="s">
        <v>4269</v>
      </c>
      <c r="D1593" s="321" t="s">
        <v>7258</v>
      </c>
      <c r="E1593" s="322" t="s">
        <v>7259</v>
      </c>
    </row>
    <row r="1594" spans="1:5" ht="14.5" customHeight="1" x14ac:dyDescent="0.35">
      <c r="A1594" s="196" t="str">
        <f>"45.0101"</f>
        <v>45.0101</v>
      </c>
      <c r="B1594" s="196" t="s">
        <v>5760</v>
      </c>
      <c r="C1594" s="320" t="s">
        <v>4269</v>
      </c>
      <c r="D1594" s="321" t="s">
        <v>7258</v>
      </c>
      <c r="E1594" s="322" t="s">
        <v>7260</v>
      </c>
    </row>
    <row r="1595" spans="1:5" ht="14.5" customHeight="1" x14ac:dyDescent="0.35">
      <c r="A1595" s="196" t="str">
        <f>"45.0102"</f>
        <v>45.0102</v>
      </c>
      <c r="B1595" s="196" t="s">
        <v>5760</v>
      </c>
      <c r="C1595" s="320" t="s">
        <v>4269</v>
      </c>
      <c r="D1595" s="321" t="s">
        <v>7261</v>
      </c>
      <c r="E1595" s="322" t="s">
        <v>7262</v>
      </c>
    </row>
    <row r="1596" spans="1:5" s="327" customFormat="1" ht="14.5" customHeight="1" x14ac:dyDescent="0.35">
      <c r="A1596" s="323" t="str">
        <f>"45.0103"</f>
        <v>45.0103</v>
      </c>
      <c r="B1596" s="323" t="s">
        <v>4297</v>
      </c>
      <c r="C1596" s="324" t="s">
        <v>4269</v>
      </c>
      <c r="D1596" s="325" t="s">
        <v>7263</v>
      </c>
      <c r="E1596" s="326" t="s">
        <v>7264</v>
      </c>
    </row>
    <row r="1597" spans="1:5" s="327" customFormat="1" ht="14.5" customHeight="1" x14ac:dyDescent="0.35">
      <c r="A1597" s="323" t="str">
        <f>"45.0199"</f>
        <v>45.0199</v>
      </c>
      <c r="B1597" s="323" t="s">
        <v>4297</v>
      </c>
      <c r="C1597" s="324" t="s">
        <v>4269</v>
      </c>
      <c r="D1597" s="325" t="s">
        <v>7265</v>
      </c>
      <c r="E1597" s="326" t="s">
        <v>7266</v>
      </c>
    </row>
    <row r="1598" spans="1:5" ht="14.5" customHeight="1" x14ac:dyDescent="0.35">
      <c r="A1598" s="196" t="str">
        <f>"45.02"</f>
        <v>45.02</v>
      </c>
      <c r="B1598" s="196" t="s">
        <v>5760</v>
      </c>
      <c r="C1598" s="320" t="s">
        <v>4269</v>
      </c>
      <c r="D1598" s="321" t="s">
        <v>7267</v>
      </c>
      <c r="E1598" s="322" t="s">
        <v>7268</v>
      </c>
    </row>
    <row r="1599" spans="1:5" ht="14.5" customHeight="1" x14ac:dyDescent="0.35">
      <c r="A1599" s="196" t="str">
        <f>"45.0201"</f>
        <v>45.0201</v>
      </c>
      <c r="B1599" s="196" t="s">
        <v>4265</v>
      </c>
      <c r="C1599" s="320" t="s">
        <v>4266</v>
      </c>
      <c r="D1599" s="321" t="s">
        <v>7269</v>
      </c>
      <c r="E1599" s="322" t="s">
        <v>7270</v>
      </c>
    </row>
    <row r="1600" spans="1:5" ht="14.5" customHeight="1" x14ac:dyDescent="0.35">
      <c r="A1600" s="196" t="str">
        <f>"45.0202"</f>
        <v>45.0202</v>
      </c>
      <c r="B1600" s="196" t="s">
        <v>5760</v>
      </c>
      <c r="C1600" s="320" t="s">
        <v>4269</v>
      </c>
      <c r="D1600" s="321" t="s">
        <v>7271</v>
      </c>
      <c r="E1600" s="322" t="s">
        <v>7272</v>
      </c>
    </row>
    <row r="1601" spans="1:5" ht="14.5" customHeight="1" x14ac:dyDescent="0.35">
      <c r="A1601" s="196" t="str">
        <f>"45.0203"</f>
        <v>45.0203</v>
      </c>
      <c r="B1601" s="196" t="s">
        <v>5760</v>
      </c>
      <c r="C1601" s="320" t="s">
        <v>4269</v>
      </c>
      <c r="D1601" s="321" t="s">
        <v>7273</v>
      </c>
      <c r="E1601" s="322" t="s">
        <v>7274</v>
      </c>
    </row>
    <row r="1602" spans="1:5" ht="14.5" customHeight="1" x14ac:dyDescent="0.35">
      <c r="A1602" s="196" t="str">
        <f>"45.0204"</f>
        <v>45.0204</v>
      </c>
      <c r="B1602" s="196" t="s">
        <v>5760</v>
      </c>
      <c r="C1602" s="320" t="s">
        <v>4269</v>
      </c>
      <c r="D1602" s="321" t="s">
        <v>7275</v>
      </c>
      <c r="E1602" s="322" t="s">
        <v>7276</v>
      </c>
    </row>
    <row r="1603" spans="1:5" s="327" customFormat="1" ht="14.5" customHeight="1" x14ac:dyDescent="0.35">
      <c r="A1603" s="323" t="str">
        <f>"45.0205"</f>
        <v>45.0205</v>
      </c>
      <c r="B1603" s="323" t="s">
        <v>4297</v>
      </c>
      <c r="C1603" s="324" t="s">
        <v>4269</v>
      </c>
      <c r="D1603" s="325" t="s">
        <v>7277</v>
      </c>
      <c r="E1603" s="326" t="s">
        <v>7278</v>
      </c>
    </row>
    <row r="1604" spans="1:5" ht="14.5" customHeight="1" x14ac:dyDescent="0.35">
      <c r="A1604" s="196" t="str">
        <f>"45.0299"</f>
        <v>45.0299</v>
      </c>
      <c r="B1604" s="196" t="s">
        <v>5760</v>
      </c>
      <c r="C1604" s="320" t="s">
        <v>4269</v>
      </c>
      <c r="D1604" s="321" t="s">
        <v>7279</v>
      </c>
      <c r="E1604" s="322" t="s">
        <v>7280</v>
      </c>
    </row>
    <row r="1605" spans="1:5" ht="14.5" customHeight="1" x14ac:dyDescent="0.35">
      <c r="A1605" s="196" t="str">
        <f>"45.03"</f>
        <v>45.03</v>
      </c>
      <c r="B1605" s="196" t="s">
        <v>5760</v>
      </c>
      <c r="C1605" s="320" t="s">
        <v>4269</v>
      </c>
      <c r="D1605" s="321" t="s">
        <v>7281</v>
      </c>
      <c r="E1605" s="322" t="s">
        <v>7282</v>
      </c>
    </row>
    <row r="1606" spans="1:5" ht="14.5" customHeight="1" x14ac:dyDescent="0.35">
      <c r="A1606" s="196" t="str">
        <f>"45.0301"</f>
        <v>45.0301</v>
      </c>
      <c r="B1606" s="196" t="s">
        <v>5760</v>
      </c>
      <c r="C1606" s="320" t="s">
        <v>4269</v>
      </c>
      <c r="D1606" s="321" t="s">
        <v>7281</v>
      </c>
      <c r="E1606" s="322" t="s">
        <v>7283</v>
      </c>
    </row>
    <row r="1607" spans="1:5" ht="14.5" customHeight="1" x14ac:dyDescent="0.35">
      <c r="A1607" s="196" t="str">
        <f>"45.04"</f>
        <v>45.04</v>
      </c>
      <c r="B1607" s="196" t="s">
        <v>5760</v>
      </c>
      <c r="C1607" s="320" t="s">
        <v>4269</v>
      </c>
      <c r="D1607" s="321" t="s">
        <v>7284</v>
      </c>
      <c r="E1607" s="322" t="s">
        <v>7285</v>
      </c>
    </row>
    <row r="1608" spans="1:5" ht="14.5" customHeight="1" x14ac:dyDescent="0.35">
      <c r="A1608" s="196" t="str">
        <f>"45.0401"</f>
        <v>45.0401</v>
      </c>
      <c r="B1608" s="196" t="s">
        <v>5760</v>
      </c>
      <c r="C1608" s="320" t="s">
        <v>4269</v>
      </c>
      <c r="D1608" s="321" t="s">
        <v>7284</v>
      </c>
      <c r="E1608" s="322" t="s">
        <v>7286</v>
      </c>
    </row>
    <row r="1609" spans="1:5" ht="14.5" customHeight="1" x14ac:dyDescent="0.35">
      <c r="A1609" s="196" t="str">
        <f>"45.05"</f>
        <v>45.05</v>
      </c>
      <c r="B1609" s="196" t="s">
        <v>4265</v>
      </c>
      <c r="C1609" s="320" t="s">
        <v>4266</v>
      </c>
      <c r="D1609" s="321" t="s">
        <v>7287</v>
      </c>
      <c r="E1609" s="322" t="s">
        <v>7288</v>
      </c>
    </row>
    <row r="1610" spans="1:5" ht="14.5" customHeight="1" x14ac:dyDescent="0.35">
      <c r="A1610" s="196" t="str">
        <f>"45.0501"</f>
        <v>45.0501</v>
      </c>
      <c r="B1610" s="196" t="s">
        <v>5760</v>
      </c>
      <c r="C1610" s="320" t="s">
        <v>4269</v>
      </c>
      <c r="D1610" s="321" t="s">
        <v>7289</v>
      </c>
      <c r="E1610" s="322" t="s">
        <v>7290</v>
      </c>
    </row>
    <row r="1611" spans="1:5" s="327" customFormat="1" ht="14.5" customHeight="1" x14ac:dyDescent="0.35">
      <c r="A1611" s="323" t="str">
        <f>"45.0502"</f>
        <v>45.0502</v>
      </c>
      <c r="B1611" s="323" t="s">
        <v>4297</v>
      </c>
      <c r="C1611" s="324" t="s">
        <v>4269</v>
      </c>
      <c r="D1611" s="325" t="s">
        <v>7291</v>
      </c>
      <c r="E1611" s="326" t="s">
        <v>7292</v>
      </c>
    </row>
    <row r="1612" spans="1:5" s="327" customFormat="1" ht="14.5" customHeight="1" x14ac:dyDescent="0.35">
      <c r="A1612" s="323" t="str">
        <f>"45.0599"</f>
        <v>45.0599</v>
      </c>
      <c r="B1612" s="323" t="s">
        <v>4297</v>
      </c>
      <c r="C1612" s="324" t="s">
        <v>4269</v>
      </c>
      <c r="D1612" s="325" t="s">
        <v>7293</v>
      </c>
      <c r="E1612" s="326" t="s">
        <v>7294</v>
      </c>
    </row>
    <row r="1613" spans="1:5" ht="14.5" customHeight="1" x14ac:dyDescent="0.35">
      <c r="A1613" s="196" t="str">
        <f>"45.06"</f>
        <v>45.06</v>
      </c>
      <c r="B1613" s="196" t="s">
        <v>5760</v>
      </c>
      <c r="C1613" s="320" t="s">
        <v>4269</v>
      </c>
      <c r="D1613" s="321" t="s">
        <v>7295</v>
      </c>
      <c r="E1613" s="322" t="s">
        <v>7296</v>
      </c>
    </row>
    <row r="1614" spans="1:5" ht="14.5" customHeight="1" x14ac:dyDescent="0.35">
      <c r="A1614" s="196" t="str">
        <f>"45.0601"</f>
        <v>45.0601</v>
      </c>
      <c r="B1614" s="196" t="s">
        <v>5760</v>
      </c>
      <c r="C1614" s="320" t="s">
        <v>4269</v>
      </c>
      <c r="D1614" s="321" t="s">
        <v>7297</v>
      </c>
      <c r="E1614" s="322" t="s">
        <v>7298</v>
      </c>
    </row>
    <row r="1615" spans="1:5" ht="14.5" customHeight="1" x14ac:dyDescent="0.35">
      <c r="A1615" s="196" t="str">
        <f>"45.0602"</f>
        <v>45.0602</v>
      </c>
      <c r="B1615" s="196" t="s">
        <v>5760</v>
      </c>
      <c r="C1615" s="320" t="s">
        <v>4269</v>
      </c>
      <c r="D1615" s="321" t="s">
        <v>7299</v>
      </c>
      <c r="E1615" s="322" t="s">
        <v>7300</v>
      </c>
    </row>
    <row r="1616" spans="1:5" ht="14.5" customHeight="1" x14ac:dyDescent="0.35">
      <c r="A1616" s="196" t="str">
        <f>"45.0603"</f>
        <v>45.0603</v>
      </c>
      <c r="B1616" s="196" t="s">
        <v>5760</v>
      </c>
      <c r="C1616" s="320" t="s">
        <v>4269</v>
      </c>
      <c r="D1616" s="321" t="s">
        <v>7301</v>
      </c>
      <c r="E1616" s="322" t="s">
        <v>7302</v>
      </c>
    </row>
    <row r="1617" spans="1:5" ht="14.5" customHeight="1" x14ac:dyDescent="0.35">
      <c r="A1617" s="196" t="str">
        <f>"45.0604"</f>
        <v>45.0604</v>
      </c>
      <c r="B1617" s="196" t="s">
        <v>5760</v>
      </c>
      <c r="C1617" s="320" t="s">
        <v>4269</v>
      </c>
      <c r="D1617" s="321" t="s">
        <v>7303</v>
      </c>
      <c r="E1617" s="322" t="s">
        <v>7304</v>
      </c>
    </row>
    <row r="1618" spans="1:5" ht="14.5" customHeight="1" x14ac:dyDescent="0.35">
      <c r="A1618" s="196" t="str">
        <f>"45.0605"</f>
        <v>45.0605</v>
      </c>
      <c r="B1618" s="196" t="s">
        <v>5760</v>
      </c>
      <c r="C1618" s="320" t="s">
        <v>4269</v>
      </c>
      <c r="D1618" s="321" t="s">
        <v>7305</v>
      </c>
      <c r="E1618" s="322" t="s">
        <v>7306</v>
      </c>
    </row>
    <row r="1619" spans="1:5" ht="14.5" customHeight="1" x14ac:dyDescent="0.35">
      <c r="A1619" s="196" t="str">
        <f>"45.0699"</f>
        <v>45.0699</v>
      </c>
      <c r="B1619" s="196" t="s">
        <v>5760</v>
      </c>
      <c r="C1619" s="320" t="s">
        <v>4269</v>
      </c>
      <c r="D1619" s="321" t="s">
        <v>7307</v>
      </c>
      <c r="E1619" s="322" t="s">
        <v>7308</v>
      </c>
    </row>
    <row r="1620" spans="1:5" ht="14.5" customHeight="1" x14ac:dyDescent="0.35">
      <c r="A1620" s="196" t="str">
        <f>"45.07"</f>
        <v>45.07</v>
      </c>
      <c r="B1620" s="196" t="s">
        <v>5760</v>
      </c>
      <c r="C1620" s="320" t="s">
        <v>4269</v>
      </c>
      <c r="D1620" s="321" t="s">
        <v>7309</v>
      </c>
      <c r="E1620" s="322" t="s">
        <v>7310</v>
      </c>
    </row>
    <row r="1621" spans="1:5" ht="14.5" customHeight="1" x14ac:dyDescent="0.35">
      <c r="A1621" s="196" t="str">
        <f>"45.0701"</f>
        <v>45.0701</v>
      </c>
      <c r="B1621" s="196" t="s">
        <v>5760</v>
      </c>
      <c r="C1621" s="320" t="s">
        <v>4269</v>
      </c>
      <c r="D1621" s="321" t="s">
        <v>7311</v>
      </c>
      <c r="E1621" s="322" t="s">
        <v>7312</v>
      </c>
    </row>
    <row r="1622" spans="1:5" ht="14.5" customHeight="1" x14ac:dyDescent="0.35">
      <c r="A1622" s="196" t="str">
        <f>"45.0702"</f>
        <v>45.0702</v>
      </c>
      <c r="B1622" s="196" t="s">
        <v>5760</v>
      </c>
      <c r="C1622" s="320" t="s">
        <v>4269</v>
      </c>
      <c r="D1622" s="321" t="s">
        <v>7313</v>
      </c>
      <c r="E1622" s="322" t="s">
        <v>7314</v>
      </c>
    </row>
    <row r="1623" spans="1:5" ht="14.5" customHeight="1" x14ac:dyDescent="0.35">
      <c r="A1623" s="196" t="str">
        <f>"45.0799"</f>
        <v>45.0799</v>
      </c>
      <c r="B1623" s="196" t="s">
        <v>5760</v>
      </c>
      <c r="C1623" s="320" t="s">
        <v>4269</v>
      </c>
      <c r="D1623" s="321" t="s">
        <v>7315</v>
      </c>
      <c r="E1623" s="322" t="s">
        <v>7316</v>
      </c>
    </row>
    <row r="1624" spans="1:5" ht="14.5" customHeight="1" x14ac:dyDescent="0.35">
      <c r="A1624" s="196" t="str">
        <f>"45.09"</f>
        <v>45.09</v>
      </c>
      <c r="B1624" s="196" t="s">
        <v>5760</v>
      </c>
      <c r="C1624" s="320" t="s">
        <v>4269</v>
      </c>
      <c r="D1624" s="321" t="s">
        <v>7317</v>
      </c>
      <c r="E1624" s="322" t="s">
        <v>7318</v>
      </c>
    </row>
    <row r="1625" spans="1:5" ht="14.5" customHeight="1" x14ac:dyDescent="0.35">
      <c r="A1625" s="196" t="str">
        <f>"45.0901"</f>
        <v>45.0901</v>
      </c>
      <c r="B1625" s="196" t="s">
        <v>5760</v>
      </c>
      <c r="C1625" s="320" t="s">
        <v>4269</v>
      </c>
      <c r="D1625" s="321" t="s">
        <v>7319</v>
      </c>
      <c r="E1625" s="322" t="s">
        <v>7320</v>
      </c>
    </row>
    <row r="1626" spans="1:5" ht="14.5" customHeight="1" x14ac:dyDescent="0.35">
      <c r="A1626" s="196" t="str">
        <f>"45.0902"</f>
        <v>45.0902</v>
      </c>
      <c r="B1626" s="196" t="s">
        <v>5760</v>
      </c>
      <c r="C1626" s="320" t="s">
        <v>4269</v>
      </c>
      <c r="D1626" s="321" t="s">
        <v>7321</v>
      </c>
      <c r="E1626" s="322" t="s">
        <v>7322</v>
      </c>
    </row>
    <row r="1627" spans="1:5" ht="14.5" customHeight="1" x14ac:dyDescent="0.35">
      <c r="A1627" s="196" t="str">
        <f>"45.0999"</f>
        <v>45.0999</v>
      </c>
      <c r="B1627" s="196" t="s">
        <v>5760</v>
      </c>
      <c r="C1627" s="320" t="s">
        <v>4269</v>
      </c>
      <c r="D1627" s="321" t="s">
        <v>7323</v>
      </c>
      <c r="E1627" s="322" t="s">
        <v>7324</v>
      </c>
    </row>
    <row r="1628" spans="1:5" ht="14.5" customHeight="1" x14ac:dyDescent="0.35">
      <c r="A1628" s="196" t="str">
        <f>"45.10"</f>
        <v>45.10</v>
      </c>
      <c r="B1628" s="196" t="s">
        <v>5760</v>
      </c>
      <c r="C1628" s="320" t="s">
        <v>4269</v>
      </c>
      <c r="D1628" s="321" t="s">
        <v>7325</v>
      </c>
      <c r="E1628" s="322" t="s">
        <v>7326</v>
      </c>
    </row>
    <row r="1629" spans="1:5" ht="14.5" customHeight="1" x14ac:dyDescent="0.35">
      <c r="A1629" s="196" t="str">
        <f>"45.1001"</f>
        <v>45.1001</v>
      </c>
      <c r="B1629" s="196" t="s">
        <v>5760</v>
      </c>
      <c r="C1629" s="320" t="s">
        <v>4269</v>
      </c>
      <c r="D1629" s="321" t="s">
        <v>7327</v>
      </c>
      <c r="E1629" s="322" t="s">
        <v>7328</v>
      </c>
    </row>
    <row r="1630" spans="1:5" ht="14.5" customHeight="1" x14ac:dyDescent="0.35">
      <c r="A1630" s="196" t="str">
        <f>"45.1002"</f>
        <v>45.1002</v>
      </c>
      <c r="B1630" s="196" t="s">
        <v>5760</v>
      </c>
      <c r="C1630" s="320" t="s">
        <v>4269</v>
      </c>
      <c r="D1630" s="321" t="s">
        <v>7329</v>
      </c>
      <c r="E1630" s="322" t="s">
        <v>7330</v>
      </c>
    </row>
    <row r="1631" spans="1:5" ht="14.5" customHeight="1" x14ac:dyDescent="0.35">
      <c r="A1631" s="196" t="str">
        <f>"45.1003"</f>
        <v>45.1003</v>
      </c>
      <c r="B1631" s="196" t="s">
        <v>5760</v>
      </c>
      <c r="C1631" s="320" t="s">
        <v>4269</v>
      </c>
      <c r="D1631" s="321" t="s">
        <v>7331</v>
      </c>
      <c r="E1631" s="322" t="s">
        <v>7332</v>
      </c>
    </row>
    <row r="1632" spans="1:5" ht="14.5" customHeight="1" x14ac:dyDescent="0.35">
      <c r="A1632" s="196" t="str">
        <f>"45.1004"</f>
        <v>45.1004</v>
      </c>
      <c r="B1632" s="196" t="s">
        <v>5760</v>
      </c>
      <c r="C1632" s="320" t="s">
        <v>4269</v>
      </c>
      <c r="D1632" s="321" t="s">
        <v>7333</v>
      </c>
      <c r="E1632" s="322" t="s">
        <v>7334</v>
      </c>
    </row>
    <row r="1633" spans="1:5" ht="14.5" customHeight="1" x14ac:dyDescent="0.35">
      <c r="A1633" s="196" t="str">
        <f>"45.1099"</f>
        <v>45.1099</v>
      </c>
      <c r="B1633" s="196" t="s">
        <v>5760</v>
      </c>
      <c r="C1633" s="320" t="s">
        <v>4269</v>
      </c>
      <c r="D1633" s="321" t="s">
        <v>7335</v>
      </c>
      <c r="E1633" s="322" t="s">
        <v>7336</v>
      </c>
    </row>
    <row r="1634" spans="1:5" ht="14.5" customHeight="1" x14ac:dyDescent="0.35">
      <c r="A1634" s="196" t="str">
        <f>"45.11"</f>
        <v>45.11</v>
      </c>
      <c r="B1634" s="196" t="s">
        <v>5760</v>
      </c>
      <c r="C1634" s="320" t="s">
        <v>4269</v>
      </c>
      <c r="D1634" s="321" t="s">
        <v>7337</v>
      </c>
      <c r="E1634" s="322" t="s">
        <v>7338</v>
      </c>
    </row>
    <row r="1635" spans="1:5" ht="14.5" customHeight="1" x14ac:dyDescent="0.35">
      <c r="A1635" s="196" t="str">
        <f>"45.1101"</f>
        <v>45.1101</v>
      </c>
      <c r="B1635" s="196" t="s">
        <v>4265</v>
      </c>
      <c r="C1635" s="320" t="s">
        <v>4266</v>
      </c>
      <c r="D1635" s="321" t="s">
        <v>7339</v>
      </c>
      <c r="E1635" s="322" t="s">
        <v>7340</v>
      </c>
    </row>
    <row r="1636" spans="1:5" s="327" customFormat="1" ht="14.5" customHeight="1" x14ac:dyDescent="0.35">
      <c r="A1636" s="323" t="str">
        <f>"45.1102"</f>
        <v>45.1102</v>
      </c>
      <c r="B1636" s="323" t="s">
        <v>4297</v>
      </c>
      <c r="C1636" s="324" t="s">
        <v>4269</v>
      </c>
      <c r="D1636" s="325" t="s">
        <v>7341</v>
      </c>
      <c r="E1636" s="326" t="s">
        <v>7342</v>
      </c>
    </row>
    <row r="1637" spans="1:5" s="327" customFormat="1" ht="14.5" customHeight="1" x14ac:dyDescent="0.35">
      <c r="A1637" s="323" t="str">
        <f>"45.1103"</f>
        <v>45.1103</v>
      </c>
      <c r="B1637" s="323" t="s">
        <v>4403</v>
      </c>
      <c r="C1637" s="324" t="s">
        <v>4269</v>
      </c>
      <c r="D1637" s="325" t="s">
        <v>7343</v>
      </c>
      <c r="E1637" s="326" t="s">
        <v>7344</v>
      </c>
    </row>
    <row r="1638" spans="1:5" s="327" customFormat="1" ht="14.5" customHeight="1" x14ac:dyDescent="0.35">
      <c r="A1638" s="323" t="str">
        <f>"45.1199"</f>
        <v>45.1199</v>
      </c>
      <c r="B1638" s="323" t="s">
        <v>4297</v>
      </c>
      <c r="C1638" s="324" t="s">
        <v>4269</v>
      </c>
      <c r="D1638" s="325" t="s">
        <v>7345</v>
      </c>
      <c r="E1638" s="326" t="s">
        <v>7346</v>
      </c>
    </row>
    <row r="1639" spans="1:5" ht="14.5" customHeight="1" x14ac:dyDescent="0.35">
      <c r="A1639" s="196" t="str">
        <f>"45.12"</f>
        <v>45.12</v>
      </c>
      <c r="B1639" s="196" t="s">
        <v>5760</v>
      </c>
      <c r="C1639" s="320" t="s">
        <v>4269</v>
      </c>
      <c r="D1639" s="321" t="s">
        <v>7347</v>
      </c>
      <c r="E1639" s="322" t="s">
        <v>7348</v>
      </c>
    </row>
    <row r="1640" spans="1:5" ht="14.5" customHeight="1" x14ac:dyDescent="0.35">
      <c r="A1640" s="196" t="str">
        <f>"45.1201"</f>
        <v>45.1201</v>
      </c>
      <c r="B1640" s="196" t="s">
        <v>5760</v>
      </c>
      <c r="C1640" s="320" t="s">
        <v>4269</v>
      </c>
      <c r="D1640" s="321" t="s">
        <v>7347</v>
      </c>
      <c r="E1640" s="322" t="s">
        <v>7349</v>
      </c>
    </row>
    <row r="1641" spans="1:5" ht="14.5" customHeight="1" x14ac:dyDescent="0.35">
      <c r="A1641" s="196" t="str">
        <f>"45.13"</f>
        <v>45.13</v>
      </c>
      <c r="B1641" s="196" t="s">
        <v>5760</v>
      </c>
      <c r="C1641" s="320" t="s">
        <v>4269</v>
      </c>
      <c r="D1641" s="321" t="s">
        <v>7350</v>
      </c>
      <c r="E1641" s="322" t="s">
        <v>7351</v>
      </c>
    </row>
    <row r="1642" spans="1:5" ht="14.5" customHeight="1" x14ac:dyDescent="0.35">
      <c r="A1642" s="196" t="str">
        <f>"45.1301"</f>
        <v>45.1301</v>
      </c>
      <c r="B1642" s="196" t="s">
        <v>5760</v>
      </c>
      <c r="C1642" s="320" t="s">
        <v>4269</v>
      </c>
      <c r="D1642" s="321" t="s">
        <v>7350</v>
      </c>
      <c r="E1642" s="322" t="s">
        <v>7352</v>
      </c>
    </row>
    <row r="1643" spans="1:5" s="333" customFormat="1" ht="14.5" customHeight="1" x14ac:dyDescent="0.35">
      <c r="A1643" s="328" t="str">
        <f>"45.14"</f>
        <v>45.14</v>
      </c>
      <c r="B1643" s="328" t="s">
        <v>7353</v>
      </c>
      <c r="C1643" s="329" t="s">
        <v>4269</v>
      </c>
      <c r="D1643" s="330" t="s">
        <v>7343</v>
      </c>
      <c r="E1643" s="331" t="s">
        <v>7354</v>
      </c>
    </row>
    <row r="1644" spans="1:5" s="332" customFormat="1" ht="14.5" customHeight="1" x14ac:dyDescent="0.35">
      <c r="A1644" s="328" t="str">
        <f>"45.1401"</f>
        <v>45.1401</v>
      </c>
      <c r="B1644" s="328" t="s">
        <v>4318</v>
      </c>
      <c r="C1644" s="329" t="s">
        <v>4269</v>
      </c>
      <c r="D1644" s="330" t="s">
        <v>7343</v>
      </c>
      <c r="E1644" s="331" t="s">
        <v>7355</v>
      </c>
    </row>
    <row r="1645" spans="1:5" s="327" customFormat="1" ht="14.5" customHeight="1" x14ac:dyDescent="0.35">
      <c r="A1645" s="323" t="str">
        <f>"45.15"</f>
        <v>45.15</v>
      </c>
      <c r="B1645" s="323" t="s">
        <v>4297</v>
      </c>
      <c r="C1645" s="324" t="s">
        <v>4269</v>
      </c>
      <c r="D1645" s="325" t="s">
        <v>7356</v>
      </c>
      <c r="E1645" s="326" t="s">
        <v>7357</v>
      </c>
    </row>
    <row r="1646" spans="1:5" s="327" customFormat="1" ht="14.5" customHeight="1" x14ac:dyDescent="0.35">
      <c r="A1646" s="323" t="str">
        <f>"45.1501"</f>
        <v>45.1501</v>
      </c>
      <c r="B1646" s="323" t="s">
        <v>4297</v>
      </c>
      <c r="C1646" s="324" t="s">
        <v>4269</v>
      </c>
      <c r="D1646" s="325" t="s">
        <v>7356</v>
      </c>
      <c r="E1646" s="326" t="s">
        <v>7358</v>
      </c>
    </row>
    <row r="1647" spans="1:5" ht="14.5" customHeight="1" x14ac:dyDescent="0.35">
      <c r="A1647" s="196" t="str">
        <f>"45.99"</f>
        <v>45.99</v>
      </c>
      <c r="B1647" s="196" t="s">
        <v>5760</v>
      </c>
      <c r="C1647" s="320" t="s">
        <v>4269</v>
      </c>
      <c r="D1647" s="321" t="s">
        <v>7265</v>
      </c>
      <c r="E1647" s="322" t="s">
        <v>7359</v>
      </c>
    </row>
    <row r="1648" spans="1:5" ht="14.5" customHeight="1" x14ac:dyDescent="0.35">
      <c r="A1648" s="196" t="str">
        <f>"45.9999"</f>
        <v>45.9999</v>
      </c>
      <c r="B1648" s="196" t="s">
        <v>5760</v>
      </c>
      <c r="C1648" s="320" t="s">
        <v>4269</v>
      </c>
      <c r="D1648" s="321" t="s">
        <v>7265</v>
      </c>
      <c r="E1648" s="322" t="s">
        <v>7360</v>
      </c>
    </row>
    <row r="1649" spans="1:5" ht="14.5" customHeight="1" x14ac:dyDescent="0.35">
      <c r="A1649" s="196" t="str">
        <f>"46"</f>
        <v>46</v>
      </c>
      <c r="B1649" s="196" t="s">
        <v>5760</v>
      </c>
      <c r="C1649" s="320" t="s">
        <v>4269</v>
      </c>
      <c r="D1649" s="321" t="s">
        <v>7361</v>
      </c>
      <c r="E1649" s="322" t="s">
        <v>7362</v>
      </c>
    </row>
    <row r="1650" spans="1:5" ht="14.5" customHeight="1" x14ac:dyDescent="0.35">
      <c r="A1650" s="196" t="str">
        <f>"46.00"</f>
        <v>46.00</v>
      </c>
      <c r="B1650" s="196" t="s">
        <v>5760</v>
      </c>
      <c r="C1650" s="320" t="s">
        <v>4269</v>
      </c>
      <c r="D1650" s="321" t="s">
        <v>7363</v>
      </c>
      <c r="E1650" s="322" t="s">
        <v>7364</v>
      </c>
    </row>
    <row r="1651" spans="1:5" ht="14.5" customHeight="1" x14ac:dyDescent="0.35">
      <c r="A1651" s="196" t="str">
        <f>"46.0000"</f>
        <v>46.0000</v>
      </c>
      <c r="B1651" s="196" t="s">
        <v>5760</v>
      </c>
      <c r="C1651" s="320" t="s">
        <v>4269</v>
      </c>
      <c r="D1651" s="321" t="s">
        <v>7363</v>
      </c>
      <c r="E1651" s="322" t="s">
        <v>7365</v>
      </c>
    </row>
    <row r="1652" spans="1:5" ht="14.5" customHeight="1" x14ac:dyDescent="0.35">
      <c r="A1652" s="196" t="str">
        <f>"46.01"</f>
        <v>46.01</v>
      </c>
      <c r="B1652" s="196" t="s">
        <v>5760</v>
      </c>
      <c r="C1652" s="320" t="s">
        <v>4269</v>
      </c>
      <c r="D1652" s="321" t="s">
        <v>7366</v>
      </c>
      <c r="E1652" s="322" t="s">
        <v>7367</v>
      </c>
    </row>
    <row r="1653" spans="1:5" ht="14.5" customHeight="1" x14ac:dyDescent="0.35">
      <c r="A1653" s="196" t="str">
        <f>"46.0101"</f>
        <v>46.0101</v>
      </c>
      <c r="B1653" s="196" t="s">
        <v>5760</v>
      </c>
      <c r="C1653" s="320" t="s">
        <v>4269</v>
      </c>
      <c r="D1653" s="321" t="s">
        <v>7366</v>
      </c>
      <c r="E1653" s="322" t="s">
        <v>7368</v>
      </c>
    </row>
    <row r="1654" spans="1:5" ht="14.5" customHeight="1" x14ac:dyDescent="0.35">
      <c r="A1654" s="196" t="str">
        <f>"46.02"</f>
        <v>46.02</v>
      </c>
      <c r="B1654" s="196" t="s">
        <v>5760</v>
      </c>
      <c r="C1654" s="320" t="s">
        <v>4269</v>
      </c>
      <c r="D1654" s="321" t="s">
        <v>7369</v>
      </c>
      <c r="E1654" s="322" t="s">
        <v>7370</v>
      </c>
    </row>
    <row r="1655" spans="1:5" ht="14.5" customHeight="1" x14ac:dyDescent="0.35">
      <c r="A1655" s="196" t="str">
        <f>"46.0201"</f>
        <v>46.0201</v>
      </c>
      <c r="B1655" s="196" t="s">
        <v>5760</v>
      </c>
      <c r="C1655" s="320" t="s">
        <v>4269</v>
      </c>
      <c r="D1655" s="321" t="s">
        <v>7371</v>
      </c>
      <c r="E1655" s="322" t="s">
        <v>7372</v>
      </c>
    </row>
    <row r="1656" spans="1:5" ht="14.5" customHeight="1" x14ac:dyDescent="0.35">
      <c r="A1656" s="196" t="str">
        <f>"46.03"</f>
        <v>46.03</v>
      </c>
      <c r="B1656" s="196" t="s">
        <v>5760</v>
      </c>
      <c r="C1656" s="320" t="s">
        <v>4269</v>
      </c>
      <c r="D1656" s="321" t="s">
        <v>7373</v>
      </c>
      <c r="E1656" s="322" t="s">
        <v>7374</v>
      </c>
    </row>
    <row r="1657" spans="1:5" ht="14.5" customHeight="1" x14ac:dyDescent="0.35">
      <c r="A1657" s="196" t="str">
        <f>"46.0301"</f>
        <v>46.0301</v>
      </c>
      <c r="B1657" s="196" t="s">
        <v>5760</v>
      </c>
      <c r="C1657" s="320" t="s">
        <v>4269</v>
      </c>
      <c r="D1657" s="321" t="s">
        <v>7375</v>
      </c>
      <c r="E1657" s="322" t="s">
        <v>7376</v>
      </c>
    </row>
    <row r="1658" spans="1:5" ht="14.5" customHeight="1" x14ac:dyDescent="0.35">
      <c r="A1658" s="196" t="str">
        <f>"46.0302"</f>
        <v>46.0302</v>
      </c>
      <c r="B1658" s="196" t="s">
        <v>5760</v>
      </c>
      <c r="C1658" s="320" t="s">
        <v>4269</v>
      </c>
      <c r="D1658" s="321" t="s">
        <v>7377</v>
      </c>
      <c r="E1658" s="322" t="s">
        <v>7378</v>
      </c>
    </row>
    <row r="1659" spans="1:5" ht="14.5" customHeight="1" x14ac:dyDescent="0.35">
      <c r="A1659" s="196" t="str">
        <f>"46.0303"</f>
        <v>46.0303</v>
      </c>
      <c r="B1659" s="196" t="s">
        <v>5760</v>
      </c>
      <c r="C1659" s="320" t="s">
        <v>4269</v>
      </c>
      <c r="D1659" s="321" t="s">
        <v>7379</v>
      </c>
      <c r="E1659" s="322" t="s">
        <v>7380</v>
      </c>
    </row>
    <row r="1660" spans="1:5" ht="14.5" customHeight="1" x14ac:dyDescent="0.35">
      <c r="A1660" s="196" t="str">
        <f>"46.0399"</f>
        <v>46.0399</v>
      </c>
      <c r="B1660" s="196" t="s">
        <v>5760</v>
      </c>
      <c r="C1660" s="320" t="s">
        <v>4269</v>
      </c>
      <c r="D1660" s="321" t="s">
        <v>7381</v>
      </c>
      <c r="E1660" s="322" t="s">
        <v>7382</v>
      </c>
    </row>
    <row r="1661" spans="1:5" ht="14.5" customHeight="1" x14ac:dyDescent="0.35">
      <c r="A1661" s="196" t="str">
        <f>"46.04"</f>
        <v>46.04</v>
      </c>
      <c r="B1661" s="196" t="s">
        <v>5760</v>
      </c>
      <c r="C1661" s="320" t="s">
        <v>4269</v>
      </c>
      <c r="D1661" s="321" t="s">
        <v>7383</v>
      </c>
      <c r="E1661" s="322" t="s">
        <v>7384</v>
      </c>
    </row>
    <row r="1662" spans="1:5" ht="14.5" customHeight="1" x14ac:dyDescent="0.35">
      <c r="A1662" s="196" t="str">
        <f>"46.0401"</f>
        <v>46.0401</v>
      </c>
      <c r="B1662" s="196" t="s">
        <v>5760</v>
      </c>
      <c r="C1662" s="320" t="s">
        <v>4269</v>
      </c>
      <c r="D1662" s="321" t="s">
        <v>7385</v>
      </c>
      <c r="E1662" s="322" t="s">
        <v>7386</v>
      </c>
    </row>
    <row r="1663" spans="1:5" ht="14.5" customHeight="1" x14ac:dyDescent="0.35">
      <c r="A1663" s="196" t="str">
        <f>"46.0402"</f>
        <v>46.0402</v>
      </c>
      <c r="B1663" s="196" t="s">
        <v>5760</v>
      </c>
      <c r="C1663" s="320" t="s">
        <v>4269</v>
      </c>
      <c r="D1663" s="321" t="s">
        <v>7387</v>
      </c>
      <c r="E1663" s="322" t="s">
        <v>7388</v>
      </c>
    </row>
    <row r="1664" spans="1:5" ht="14.5" customHeight="1" x14ac:dyDescent="0.35">
      <c r="A1664" s="196" t="str">
        <f>"46.0403"</f>
        <v>46.0403</v>
      </c>
      <c r="B1664" s="196" t="s">
        <v>5760</v>
      </c>
      <c r="C1664" s="320" t="s">
        <v>4269</v>
      </c>
      <c r="D1664" s="321" t="s">
        <v>7389</v>
      </c>
      <c r="E1664" s="322" t="s">
        <v>7390</v>
      </c>
    </row>
    <row r="1665" spans="1:5" ht="14.5" customHeight="1" x14ac:dyDescent="0.35">
      <c r="A1665" s="196" t="str">
        <f>"46.0404"</f>
        <v>46.0404</v>
      </c>
      <c r="B1665" s="196" t="s">
        <v>5760</v>
      </c>
      <c r="C1665" s="320" t="s">
        <v>4269</v>
      </c>
      <c r="D1665" s="321" t="s">
        <v>7391</v>
      </c>
      <c r="E1665" s="322" t="s">
        <v>7392</v>
      </c>
    </row>
    <row r="1666" spans="1:5" ht="14.5" customHeight="1" x14ac:dyDescent="0.35">
      <c r="A1666" s="196" t="str">
        <f>"46.0406"</f>
        <v>46.0406</v>
      </c>
      <c r="B1666" s="196" t="s">
        <v>5760</v>
      </c>
      <c r="C1666" s="320" t="s">
        <v>4269</v>
      </c>
      <c r="D1666" s="321" t="s">
        <v>7393</v>
      </c>
      <c r="E1666" s="322" t="s">
        <v>7394</v>
      </c>
    </row>
    <row r="1667" spans="1:5" ht="14.5" customHeight="1" x14ac:dyDescent="0.35">
      <c r="A1667" s="196" t="str">
        <f>"46.0408"</f>
        <v>46.0408</v>
      </c>
      <c r="B1667" s="196" t="s">
        <v>5760</v>
      </c>
      <c r="C1667" s="320" t="s">
        <v>4269</v>
      </c>
      <c r="D1667" s="321" t="s">
        <v>7395</v>
      </c>
      <c r="E1667" s="322" t="s">
        <v>7396</v>
      </c>
    </row>
    <row r="1668" spans="1:5" ht="14.5" customHeight="1" x14ac:dyDescent="0.35">
      <c r="A1668" s="196" t="str">
        <f>"46.0410"</f>
        <v>46.0410</v>
      </c>
      <c r="B1668" s="196" t="s">
        <v>5760</v>
      </c>
      <c r="C1668" s="320" t="s">
        <v>4269</v>
      </c>
      <c r="D1668" s="321" t="s">
        <v>7397</v>
      </c>
      <c r="E1668" s="322" t="s">
        <v>7398</v>
      </c>
    </row>
    <row r="1669" spans="1:5" ht="14.5" customHeight="1" x14ac:dyDescent="0.35">
      <c r="A1669" s="196" t="str">
        <f>"46.0411"</f>
        <v>46.0411</v>
      </c>
      <c r="B1669" s="196" t="s">
        <v>5760</v>
      </c>
      <c r="C1669" s="320" t="s">
        <v>4269</v>
      </c>
      <c r="D1669" s="321" t="s">
        <v>7399</v>
      </c>
      <c r="E1669" s="322" t="s">
        <v>7400</v>
      </c>
    </row>
    <row r="1670" spans="1:5" ht="14.5" customHeight="1" x14ac:dyDescent="0.35">
      <c r="A1670" s="196" t="str">
        <f>"46.0412"</f>
        <v>46.0412</v>
      </c>
      <c r="B1670" s="196" t="s">
        <v>5760</v>
      </c>
      <c r="C1670" s="320" t="s">
        <v>4269</v>
      </c>
      <c r="D1670" s="321" t="s">
        <v>7401</v>
      </c>
      <c r="E1670" s="322" t="s">
        <v>7402</v>
      </c>
    </row>
    <row r="1671" spans="1:5" ht="14.5" customHeight="1" x14ac:dyDescent="0.35">
      <c r="A1671" s="196" t="str">
        <f>"46.0413"</f>
        <v>46.0413</v>
      </c>
      <c r="B1671" s="196" t="s">
        <v>5760</v>
      </c>
      <c r="C1671" s="320" t="s">
        <v>4269</v>
      </c>
      <c r="D1671" s="321" t="s">
        <v>7403</v>
      </c>
      <c r="E1671" s="322" t="s">
        <v>7404</v>
      </c>
    </row>
    <row r="1672" spans="1:5" ht="14.5" customHeight="1" x14ac:dyDescent="0.35">
      <c r="A1672" s="196" t="str">
        <f>"46.0414"</f>
        <v>46.0414</v>
      </c>
      <c r="B1672" s="196" t="s">
        <v>5760</v>
      </c>
      <c r="C1672" s="320" t="s">
        <v>4269</v>
      </c>
      <c r="D1672" s="321" t="s">
        <v>7405</v>
      </c>
      <c r="E1672" s="322" t="s">
        <v>7406</v>
      </c>
    </row>
    <row r="1673" spans="1:5" ht="14.5" customHeight="1" x14ac:dyDescent="0.35">
      <c r="A1673" s="196" t="str">
        <f>"46.0415"</f>
        <v>46.0415</v>
      </c>
      <c r="B1673" s="196" t="s">
        <v>4265</v>
      </c>
      <c r="C1673" s="320" t="s">
        <v>4266</v>
      </c>
      <c r="D1673" s="321" t="s">
        <v>7407</v>
      </c>
      <c r="E1673" s="322" t="s">
        <v>7408</v>
      </c>
    </row>
    <row r="1674" spans="1:5" ht="14.5" customHeight="1" x14ac:dyDescent="0.35">
      <c r="A1674" s="196" t="str">
        <f>"46.0499"</f>
        <v>46.0499</v>
      </c>
      <c r="B1674" s="196" t="s">
        <v>5760</v>
      </c>
      <c r="C1674" s="320" t="s">
        <v>4269</v>
      </c>
      <c r="D1674" s="321" t="s">
        <v>7409</v>
      </c>
      <c r="E1674" s="322" t="s">
        <v>7410</v>
      </c>
    </row>
    <row r="1675" spans="1:5" ht="14.5" customHeight="1" x14ac:dyDescent="0.35">
      <c r="A1675" s="196" t="str">
        <f>"46.05"</f>
        <v>46.05</v>
      </c>
      <c r="B1675" s="196" t="s">
        <v>5760</v>
      </c>
      <c r="C1675" s="320" t="s">
        <v>4269</v>
      </c>
      <c r="D1675" s="321" t="s">
        <v>7411</v>
      </c>
      <c r="E1675" s="322" t="s">
        <v>7412</v>
      </c>
    </row>
    <row r="1676" spans="1:5" ht="14.5" customHeight="1" x14ac:dyDescent="0.35">
      <c r="A1676" s="196" t="str">
        <f>"46.0502"</f>
        <v>46.0502</v>
      </c>
      <c r="B1676" s="196" t="s">
        <v>5760</v>
      </c>
      <c r="C1676" s="320" t="s">
        <v>4269</v>
      </c>
      <c r="D1676" s="321" t="s">
        <v>7413</v>
      </c>
      <c r="E1676" s="322" t="s">
        <v>7414</v>
      </c>
    </row>
    <row r="1677" spans="1:5" ht="14.5" customHeight="1" x14ac:dyDescent="0.35">
      <c r="A1677" s="196" t="str">
        <f>"46.0503"</f>
        <v>46.0503</v>
      </c>
      <c r="B1677" s="196" t="s">
        <v>5760</v>
      </c>
      <c r="C1677" s="320" t="s">
        <v>4269</v>
      </c>
      <c r="D1677" s="321" t="s">
        <v>7415</v>
      </c>
      <c r="E1677" s="322" t="s">
        <v>7416</v>
      </c>
    </row>
    <row r="1678" spans="1:5" ht="14.5" customHeight="1" x14ac:dyDescent="0.35">
      <c r="A1678" s="196" t="str">
        <f>"46.0504"</f>
        <v>46.0504</v>
      </c>
      <c r="B1678" s="196" t="s">
        <v>5760</v>
      </c>
      <c r="C1678" s="320" t="s">
        <v>4269</v>
      </c>
      <c r="D1678" s="321" t="s">
        <v>7417</v>
      </c>
      <c r="E1678" s="322" t="s">
        <v>7418</v>
      </c>
    </row>
    <row r="1679" spans="1:5" ht="14.5" customHeight="1" x14ac:dyDescent="0.35">
      <c r="A1679" s="196" t="str">
        <f>"46.0505"</f>
        <v>46.0505</v>
      </c>
      <c r="B1679" s="196" t="s">
        <v>5760</v>
      </c>
      <c r="C1679" s="320" t="s">
        <v>4269</v>
      </c>
      <c r="D1679" s="321" t="s">
        <v>7419</v>
      </c>
      <c r="E1679" s="322" t="s">
        <v>7420</v>
      </c>
    </row>
    <row r="1680" spans="1:5" ht="14.5" customHeight="1" x14ac:dyDescent="0.35">
      <c r="A1680" s="196" t="str">
        <f>"46.0599"</f>
        <v>46.0599</v>
      </c>
      <c r="B1680" s="196" t="s">
        <v>5760</v>
      </c>
      <c r="C1680" s="320" t="s">
        <v>4269</v>
      </c>
      <c r="D1680" s="321" t="s">
        <v>7421</v>
      </c>
      <c r="E1680" s="322" t="s">
        <v>7422</v>
      </c>
    </row>
    <row r="1681" spans="1:5" ht="14.5" customHeight="1" x14ac:dyDescent="0.35">
      <c r="A1681" s="196" t="str">
        <f>"46.99"</f>
        <v>46.99</v>
      </c>
      <c r="B1681" s="196" t="s">
        <v>5760</v>
      </c>
      <c r="C1681" s="320" t="s">
        <v>4269</v>
      </c>
      <c r="D1681" s="321" t="s">
        <v>7423</v>
      </c>
      <c r="E1681" s="322" t="s">
        <v>7424</v>
      </c>
    </row>
    <row r="1682" spans="1:5" ht="14.5" customHeight="1" x14ac:dyDescent="0.35">
      <c r="A1682" s="196" t="str">
        <f>"46.9999"</f>
        <v>46.9999</v>
      </c>
      <c r="B1682" s="196" t="s">
        <v>5760</v>
      </c>
      <c r="C1682" s="320" t="s">
        <v>4269</v>
      </c>
      <c r="D1682" s="321" t="s">
        <v>7423</v>
      </c>
      <c r="E1682" s="322" t="s">
        <v>7425</v>
      </c>
    </row>
    <row r="1683" spans="1:5" ht="14.5" customHeight="1" x14ac:dyDescent="0.35">
      <c r="A1683" s="196" t="str">
        <f>"47"</f>
        <v>47</v>
      </c>
      <c r="B1683" s="196" t="s">
        <v>5760</v>
      </c>
      <c r="C1683" s="320" t="s">
        <v>4269</v>
      </c>
      <c r="D1683" s="321" t="s">
        <v>7426</v>
      </c>
      <c r="E1683" s="322" t="s">
        <v>7427</v>
      </c>
    </row>
    <row r="1684" spans="1:5" ht="14.5" customHeight="1" x14ac:dyDescent="0.35">
      <c r="A1684" s="196" t="str">
        <f>"47.00"</f>
        <v>47.00</v>
      </c>
      <c r="B1684" s="196" t="s">
        <v>5760</v>
      </c>
      <c r="C1684" s="320" t="s">
        <v>4269</v>
      </c>
      <c r="D1684" s="321" t="s">
        <v>7428</v>
      </c>
      <c r="E1684" s="322" t="s">
        <v>7429</v>
      </c>
    </row>
    <row r="1685" spans="1:5" ht="14.5" customHeight="1" x14ac:dyDescent="0.35">
      <c r="A1685" s="196" t="str">
        <f>"47.0000"</f>
        <v>47.0000</v>
      </c>
      <c r="B1685" s="196" t="s">
        <v>5760</v>
      </c>
      <c r="C1685" s="320" t="s">
        <v>4269</v>
      </c>
      <c r="D1685" s="321" t="s">
        <v>7428</v>
      </c>
      <c r="E1685" s="322" t="s">
        <v>7430</v>
      </c>
    </row>
    <row r="1686" spans="1:5" ht="14.5" customHeight="1" x14ac:dyDescent="0.35">
      <c r="A1686" s="196" t="str">
        <f>"47.01"</f>
        <v>47.01</v>
      </c>
      <c r="B1686" s="196" t="s">
        <v>4265</v>
      </c>
      <c r="C1686" s="320" t="s">
        <v>4266</v>
      </c>
      <c r="D1686" s="321" t="s">
        <v>7431</v>
      </c>
      <c r="E1686" s="322" t="s">
        <v>7432</v>
      </c>
    </row>
    <row r="1687" spans="1:5" ht="14.5" customHeight="1" x14ac:dyDescent="0.35">
      <c r="A1687" s="196" t="str">
        <f>"47.0101"</f>
        <v>47.0101</v>
      </c>
      <c r="B1687" s="196" t="s">
        <v>4265</v>
      </c>
      <c r="C1687" s="320" t="s">
        <v>4266</v>
      </c>
      <c r="D1687" s="321" t="s">
        <v>7433</v>
      </c>
      <c r="E1687" s="322" t="s">
        <v>7434</v>
      </c>
    </row>
    <row r="1688" spans="1:5" ht="14.5" customHeight="1" x14ac:dyDescent="0.35">
      <c r="A1688" s="196" t="str">
        <f>"47.0102"</f>
        <v>47.0102</v>
      </c>
      <c r="B1688" s="196" t="s">
        <v>5760</v>
      </c>
      <c r="C1688" s="320" t="s">
        <v>4269</v>
      </c>
      <c r="D1688" s="321" t="s">
        <v>7435</v>
      </c>
      <c r="E1688" s="322" t="s">
        <v>7436</v>
      </c>
    </row>
    <row r="1689" spans="1:5" ht="14.5" customHeight="1" x14ac:dyDescent="0.35">
      <c r="A1689" s="196" t="str">
        <f>"47.0103"</f>
        <v>47.0103</v>
      </c>
      <c r="B1689" s="196" t="s">
        <v>4265</v>
      </c>
      <c r="C1689" s="320" t="s">
        <v>4266</v>
      </c>
      <c r="D1689" s="321" t="s">
        <v>7437</v>
      </c>
      <c r="E1689" s="322" t="s">
        <v>7438</v>
      </c>
    </row>
    <row r="1690" spans="1:5" ht="14.5" customHeight="1" x14ac:dyDescent="0.35">
      <c r="A1690" s="196" t="str">
        <f>"47.0104"</f>
        <v>47.0104</v>
      </c>
      <c r="B1690" s="196" t="s">
        <v>5760</v>
      </c>
      <c r="C1690" s="320" t="s">
        <v>4269</v>
      </c>
      <c r="D1690" s="321" t="s">
        <v>7439</v>
      </c>
      <c r="E1690" s="322" t="s">
        <v>7440</v>
      </c>
    </row>
    <row r="1691" spans="1:5" ht="14.5" customHeight="1" x14ac:dyDescent="0.35">
      <c r="A1691" s="196" t="str">
        <f>"47.0105"</f>
        <v>47.0105</v>
      </c>
      <c r="B1691" s="196" t="s">
        <v>5760</v>
      </c>
      <c r="C1691" s="320" t="s">
        <v>4269</v>
      </c>
      <c r="D1691" s="321" t="s">
        <v>7441</v>
      </c>
      <c r="E1691" s="322" t="s">
        <v>7442</v>
      </c>
    </row>
    <row r="1692" spans="1:5" ht="14.5" customHeight="1" x14ac:dyDescent="0.35">
      <c r="A1692" s="196" t="str">
        <f>"47.0106"</f>
        <v>47.0106</v>
      </c>
      <c r="B1692" s="196" t="s">
        <v>5760</v>
      </c>
      <c r="C1692" s="320" t="s">
        <v>4269</v>
      </c>
      <c r="D1692" s="321" t="s">
        <v>7443</v>
      </c>
      <c r="E1692" s="322" t="s">
        <v>7444</v>
      </c>
    </row>
    <row r="1693" spans="1:5" ht="14.5" customHeight="1" x14ac:dyDescent="0.35">
      <c r="A1693" s="196" t="str">
        <f>"47.0110"</f>
        <v>47.0110</v>
      </c>
      <c r="B1693" s="196" t="s">
        <v>5760</v>
      </c>
      <c r="C1693" s="320" t="s">
        <v>4269</v>
      </c>
      <c r="D1693" s="321" t="s">
        <v>7445</v>
      </c>
      <c r="E1693" s="322" t="s">
        <v>7446</v>
      </c>
    </row>
    <row r="1694" spans="1:5" ht="14.5" customHeight="1" x14ac:dyDescent="0.35">
      <c r="A1694" s="196" t="str">
        <f>"47.0199"</f>
        <v>47.0199</v>
      </c>
      <c r="B1694" s="196" t="s">
        <v>4265</v>
      </c>
      <c r="C1694" s="320" t="s">
        <v>4266</v>
      </c>
      <c r="D1694" s="321" t="s">
        <v>7447</v>
      </c>
      <c r="E1694" s="322" t="s">
        <v>7448</v>
      </c>
    </row>
    <row r="1695" spans="1:5" ht="14.5" customHeight="1" x14ac:dyDescent="0.35">
      <c r="A1695" s="196" t="str">
        <f>"47.02"</f>
        <v>47.02</v>
      </c>
      <c r="B1695" s="196" t="s">
        <v>5760</v>
      </c>
      <c r="C1695" s="320" t="s">
        <v>4269</v>
      </c>
      <c r="D1695" s="321" t="s">
        <v>7449</v>
      </c>
      <c r="E1695" s="322" t="s">
        <v>7450</v>
      </c>
    </row>
    <row r="1696" spans="1:5" ht="14.5" customHeight="1" x14ac:dyDescent="0.35">
      <c r="A1696" s="196" t="str">
        <f>"47.0201"</f>
        <v>47.0201</v>
      </c>
      <c r="B1696" s="196" t="s">
        <v>5760</v>
      </c>
      <c r="C1696" s="320" t="s">
        <v>4269</v>
      </c>
      <c r="D1696" s="321" t="s">
        <v>7451</v>
      </c>
      <c r="E1696" s="322" t="s">
        <v>7452</v>
      </c>
    </row>
    <row r="1697" spans="1:5" ht="14.5" customHeight="1" x14ac:dyDescent="0.35">
      <c r="A1697" s="196" t="str">
        <f>"47.03"</f>
        <v>47.03</v>
      </c>
      <c r="B1697" s="196" t="s">
        <v>4265</v>
      </c>
      <c r="C1697" s="320" t="s">
        <v>4266</v>
      </c>
      <c r="D1697" s="321" t="s">
        <v>7453</v>
      </c>
      <c r="E1697" s="322" t="s">
        <v>7454</v>
      </c>
    </row>
    <row r="1698" spans="1:5" ht="14.5" customHeight="1" x14ac:dyDescent="0.35">
      <c r="A1698" s="196" t="str">
        <f>"47.0302"</f>
        <v>47.0302</v>
      </c>
      <c r="B1698" s="196" t="s">
        <v>5760</v>
      </c>
      <c r="C1698" s="320" t="s">
        <v>4269</v>
      </c>
      <c r="D1698" s="321" t="s">
        <v>7455</v>
      </c>
      <c r="E1698" s="322" t="s">
        <v>7456</v>
      </c>
    </row>
    <row r="1699" spans="1:5" ht="14.5" customHeight="1" x14ac:dyDescent="0.35">
      <c r="A1699" s="196" t="str">
        <f>"47.0303"</f>
        <v>47.0303</v>
      </c>
      <c r="B1699" s="196" t="s">
        <v>4265</v>
      </c>
      <c r="C1699" s="320" t="s">
        <v>4266</v>
      </c>
      <c r="D1699" s="321" t="s">
        <v>7457</v>
      </c>
      <c r="E1699" s="322" t="s">
        <v>7458</v>
      </c>
    </row>
    <row r="1700" spans="1:5" ht="14.5" customHeight="1" x14ac:dyDescent="0.35">
      <c r="A1700" s="196" t="str">
        <f>"47.0399"</f>
        <v>47.0399</v>
      </c>
      <c r="B1700" s="196" t="s">
        <v>4265</v>
      </c>
      <c r="C1700" s="320" t="s">
        <v>4266</v>
      </c>
      <c r="D1700" s="321" t="s">
        <v>7459</v>
      </c>
      <c r="E1700" s="322" t="s">
        <v>7460</v>
      </c>
    </row>
    <row r="1701" spans="1:5" ht="14.5" customHeight="1" x14ac:dyDescent="0.35">
      <c r="A1701" s="196" t="str">
        <f>"47.04"</f>
        <v>47.04</v>
      </c>
      <c r="B1701" s="196" t="s">
        <v>4265</v>
      </c>
      <c r="C1701" s="320" t="s">
        <v>4266</v>
      </c>
      <c r="D1701" s="321" t="s">
        <v>7461</v>
      </c>
      <c r="E1701" s="322" t="s">
        <v>7462</v>
      </c>
    </row>
    <row r="1702" spans="1:5" ht="14.5" customHeight="1" x14ac:dyDescent="0.35">
      <c r="A1702" s="196" t="str">
        <f>"47.0402"</f>
        <v>47.0402</v>
      </c>
      <c r="B1702" s="196" t="s">
        <v>5760</v>
      </c>
      <c r="C1702" s="320" t="s">
        <v>4269</v>
      </c>
      <c r="D1702" s="321" t="s">
        <v>7463</v>
      </c>
      <c r="E1702" s="322" t="s">
        <v>7464</v>
      </c>
    </row>
    <row r="1703" spans="1:5" ht="14.5" customHeight="1" x14ac:dyDescent="0.35">
      <c r="A1703" s="196" t="str">
        <f>"47.0403"</f>
        <v>47.0403</v>
      </c>
      <c r="B1703" s="196" t="s">
        <v>5760</v>
      </c>
      <c r="C1703" s="320" t="s">
        <v>4269</v>
      </c>
      <c r="D1703" s="321" t="s">
        <v>7465</v>
      </c>
      <c r="E1703" s="322" t="s">
        <v>7466</v>
      </c>
    </row>
    <row r="1704" spans="1:5" ht="14.5" customHeight="1" x14ac:dyDescent="0.35">
      <c r="A1704" s="196" t="str">
        <f>"47.0404"</f>
        <v>47.0404</v>
      </c>
      <c r="B1704" s="196" t="s">
        <v>5760</v>
      </c>
      <c r="C1704" s="320" t="s">
        <v>4269</v>
      </c>
      <c r="D1704" s="321" t="s">
        <v>7467</v>
      </c>
      <c r="E1704" s="322" t="s">
        <v>7468</v>
      </c>
    </row>
    <row r="1705" spans="1:5" ht="14.5" customHeight="1" x14ac:dyDescent="0.35">
      <c r="A1705" s="196" t="str">
        <f>"47.0408"</f>
        <v>47.0408</v>
      </c>
      <c r="B1705" s="196" t="s">
        <v>5760</v>
      </c>
      <c r="C1705" s="320" t="s">
        <v>4269</v>
      </c>
      <c r="D1705" s="321" t="s">
        <v>7469</v>
      </c>
      <c r="E1705" s="322" t="s">
        <v>7470</v>
      </c>
    </row>
    <row r="1706" spans="1:5" ht="14.5" customHeight="1" x14ac:dyDescent="0.35">
      <c r="A1706" s="196" t="str">
        <f>"47.0409"</f>
        <v>47.0409</v>
      </c>
      <c r="B1706" s="196" t="s">
        <v>5760</v>
      </c>
      <c r="C1706" s="320" t="s">
        <v>4269</v>
      </c>
      <c r="D1706" s="321" t="s">
        <v>7471</v>
      </c>
      <c r="E1706" s="322" t="s">
        <v>7472</v>
      </c>
    </row>
    <row r="1707" spans="1:5" ht="14.5" customHeight="1" x14ac:dyDescent="0.35">
      <c r="A1707" s="196" t="str">
        <f>"47.0499"</f>
        <v>47.0499</v>
      </c>
      <c r="B1707" s="196" t="s">
        <v>4265</v>
      </c>
      <c r="C1707" s="320" t="s">
        <v>4266</v>
      </c>
      <c r="D1707" s="321" t="s">
        <v>7473</v>
      </c>
      <c r="E1707" s="322" t="s">
        <v>7474</v>
      </c>
    </row>
    <row r="1708" spans="1:5" ht="14.5" customHeight="1" x14ac:dyDescent="0.35">
      <c r="A1708" s="196" t="str">
        <f>"47.06"</f>
        <v>47.06</v>
      </c>
      <c r="B1708" s="196" t="s">
        <v>4265</v>
      </c>
      <c r="C1708" s="320" t="s">
        <v>4266</v>
      </c>
      <c r="D1708" s="321" t="s">
        <v>7475</v>
      </c>
      <c r="E1708" s="322" t="s">
        <v>7476</v>
      </c>
    </row>
    <row r="1709" spans="1:5" ht="14.5" customHeight="1" x14ac:dyDescent="0.35">
      <c r="A1709" s="196" t="str">
        <f>"47.0600"</f>
        <v>47.0600</v>
      </c>
      <c r="B1709" s="196" t="s">
        <v>4265</v>
      </c>
      <c r="C1709" s="320" t="s">
        <v>4266</v>
      </c>
      <c r="D1709" s="321" t="s">
        <v>7477</v>
      </c>
      <c r="E1709" s="322" t="s">
        <v>7478</v>
      </c>
    </row>
    <row r="1710" spans="1:5" ht="14.5" customHeight="1" x14ac:dyDescent="0.35">
      <c r="A1710" s="196" t="str">
        <f>"47.0603"</f>
        <v>47.0603</v>
      </c>
      <c r="B1710" s="196" t="s">
        <v>5760</v>
      </c>
      <c r="C1710" s="320" t="s">
        <v>4269</v>
      </c>
      <c r="D1710" s="321" t="s">
        <v>7479</v>
      </c>
      <c r="E1710" s="322" t="s">
        <v>7480</v>
      </c>
    </row>
    <row r="1711" spans="1:5" ht="14.5" customHeight="1" x14ac:dyDescent="0.35">
      <c r="A1711" s="196" t="str">
        <f>"47.0604"</f>
        <v>47.0604</v>
      </c>
      <c r="B1711" s="196" t="s">
        <v>5760</v>
      </c>
      <c r="C1711" s="320" t="s">
        <v>4269</v>
      </c>
      <c r="D1711" s="321" t="s">
        <v>7481</v>
      </c>
      <c r="E1711" s="322" t="s">
        <v>7482</v>
      </c>
    </row>
    <row r="1712" spans="1:5" ht="14.5" customHeight="1" x14ac:dyDescent="0.35">
      <c r="A1712" s="196" t="str">
        <f>"47.0605"</f>
        <v>47.0605</v>
      </c>
      <c r="B1712" s="196" t="s">
        <v>5760</v>
      </c>
      <c r="C1712" s="320" t="s">
        <v>4269</v>
      </c>
      <c r="D1712" s="321" t="s">
        <v>7483</v>
      </c>
      <c r="E1712" s="322" t="s">
        <v>7484</v>
      </c>
    </row>
    <row r="1713" spans="1:5" ht="14.5" customHeight="1" x14ac:dyDescent="0.35">
      <c r="A1713" s="196" t="str">
        <f>"47.0606"</f>
        <v>47.0606</v>
      </c>
      <c r="B1713" s="196" t="s">
        <v>5760</v>
      </c>
      <c r="C1713" s="320" t="s">
        <v>4269</v>
      </c>
      <c r="D1713" s="321" t="s">
        <v>7485</v>
      </c>
      <c r="E1713" s="322" t="s">
        <v>7486</v>
      </c>
    </row>
    <row r="1714" spans="1:5" ht="14.5" customHeight="1" x14ac:dyDescent="0.35">
      <c r="A1714" s="196" t="str">
        <f>"47.0607"</f>
        <v>47.0607</v>
      </c>
      <c r="B1714" s="196" t="s">
        <v>5760</v>
      </c>
      <c r="C1714" s="320" t="s">
        <v>4269</v>
      </c>
      <c r="D1714" s="321" t="s">
        <v>7487</v>
      </c>
      <c r="E1714" s="322" t="s">
        <v>7488</v>
      </c>
    </row>
    <row r="1715" spans="1:5" ht="14.5" customHeight="1" x14ac:dyDescent="0.35">
      <c r="A1715" s="196" t="str">
        <f>"47.0608"</f>
        <v>47.0608</v>
      </c>
      <c r="B1715" s="196" t="s">
        <v>5760</v>
      </c>
      <c r="C1715" s="320" t="s">
        <v>4269</v>
      </c>
      <c r="D1715" s="321" t="s">
        <v>7489</v>
      </c>
      <c r="E1715" s="322" t="s">
        <v>7490</v>
      </c>
    </row>
    <row r="1716" spans="1:5" ht="14.5" customHeight="1" x14ac:dyDescent="0.35">
      <c r="A1716" s="196" t="str">
        <f>"47.0609"</f>
        <v>47.0609</v>
      </c>
      <c r="B1716" s="196" t="s">
        <v>5760</v>
      </c>
      <c r="C1716" s="320" t="s">
        <v>4269</v>
      </c>
      <c r="D1716" s="321" t="s">
        <v>7491</v>
      </c>
      <c r="E1716" s="322" t="s">
        <v>7492</v>
      </c>
    </row>
    <row r="1717" spans="1:5" ht="14.5" customHeight="1" x14ac:dyDescent="0.35">
      <c r="A1717" s="196" t="str">
        <f>"47.0610"</f>
        <v>47.0610</v>
      </c>
      <c r="B1717" s="196" t="s">
        <v>5760</v>
      </c>
      <c r="C1717" s="320" t="s">
        <v>4269</v>
      </c>
      <c r="D1717" s="321" t="s">
        <v>7493</v>
      </c>
      <c r="E1717" s="322" t="s">
        <v>7494</v>
      </c>
    </row>
    <row r="1718" spans="1:5" ht="14.5" customHeight="1" x14ac:dyDescent="0.35">
      <c r="A1718" s="196" t="str">
        <f>"47.0611"</f>
        <v>47.0611</v>
      </c>
      <c r="B1718" s="196" t="s">
        <v>5760</v>
      </c>
      <c r="C1718" s="320" t="s">
        <v>4269</v>
      </c>
      <c r="D1718" s="321" t="s">
        <v>7495</v>
      </c>
      <c r="E1718" s="322" t="s">
        <v>7496</v>
      </c>
    </row>
    <row r="1719" spans="1:5" ht="14.5" customHeight="1" x14ac:dyDescent="0.35">
      <c r="A1719" s="196" t="str">
        <f>"47.0612"</f>
        <v>47.0612</v>
      </c>
      <c r="B1719" s="196" t="s">
        <v>5760</v>
      </c>
      <c r="C1719" s="320" t="s">
        <v>4269</v>
      </c>
      <c r="D1719" s="321" t="s">
        <v>7497</v>
      </c>
      <c r="E1719" s="322" t="s">
        <v>7498</v>
      </c>
    </row>
    <row r="1720" spans="1:5" ht="14.5" customHeight="1" x14ac:dyDescent="0.35">
      <c r="A1720" s="196" t="str">
        <f>"47.0613"</f>
        <v>47.0613</v>
      </c>
      <c r="B1720" s="196" t="s">
        <v>5760</v>
      </c>
      <c r="C1720" s="320" t="s">
        <v>4269</v>
      </c>
      <c r="D1720" s="321" t="s">
        <v>7499</v>
      </c>
      <c r="E1720" s="322" t="s">
        <v>7500</v>
      </c>
    </row>
    <row r="1721" spans="1:5" ht="14.5" customHeight="1" x14ac:dyDescent="0.35">
      <c r="A1721" s="196" t="str">
        <f>"47.0614"</f>
        <v>47.0614</v>
      </c>
      <c r="B1721" s="196" t="s">
        <v>5760</v>
      </c>
      <c r="C1721" s="320" t="s">
        <v>4269</v>
      </c>
      <c r="D1721" s="321" t="s">
        <v>7501</v>
      </c>
      <c r="E1721" s="322" t="s">
        <v>7502</v>
      </c>
    </row>
    <row r="1722" spans="1:5" ht="14.5" customHeight="1" x14ac:dyDescent="0.35">
      <c r="A1722" s="196" t="str">
        <f>"47.0615"</f>
        <v>47.0615</v>
      </c>
      <c r="B1722" s="196" t="s">
        <v>5760</v>
      </c>
      <c r="C1722" s="320" t="s">
        <v>4269</v>
      </c>
      <c r="D1722" s="321" t="s">
        <v>7503</v>
      </c>
      <c r="E1722" s="322" t="s">
        <v>7504</v>
      </c>
    </row>
    <row r="1723" spans="1:5" ht="14.5" customHeight="1" x14ac:dyDescent="0.35">
      <c r="A1723" s="196" t="str">
        <f>"47.0616"</f>
        <v>47.0616</v>
      </c>
      <c r="B1723" s="196" t="s">
        <v>5760</v>
      </c>
      <c r="C1723" s="320" t="s">
        <v>4269</v>
      </c>
      <c r="D1723" s="321" t="s">
        <v>7505</v>
      </c>
      <c r="E1723" s="322" t="s">
        <v>7506</v>
      </c>
    </row>
    <row r="1724" spans="1:5" ht="14.5" customHeight="1" x14ac:dyDescent="0.35">
      <c r="A1724" s="196" t="str">
        <f>"47.0617"</f>
        <v>47.0617</v>
      </c>
      <c r="B1724" s="196" t="s">
        <v>5760</v>
      </c>
      <c r="C1724" s="320" t="s">
        <v>4269</v>
      </c>
      <c r="D1724" s="321" t="s">
        <v>7507</v>
      </c>
      <c r="E1724" s="322" t="s">
        <v>7508</v>
      </c>
    </row>
    <row r="1725" spans="1:5" ht="14.5" customHeight="1" x14ac:dyDescent="0.35">
      <c r="A1725" s="196" t="str">
        <f>"47.0618"</f>
        <v>47.0618</v>
      </c>
      <c r="B1725" s="196" t="s">
        <v>5760</v>
      </c>
      <c r="C1725" s="320" t="s">
        <v>4269</v>
      </c>
      <c r="D1725" s="321" t="s">
        <v>7509</v>
      </c>
      <c r="E1725" s="322" t="s">
        <v>7510</v>
      </c>
    </row>
    <row r="1726" spans="1:5" ht="14.5" customHeight="1" x14ac:dyDescent="0.35">
      <c r="A1726" s="196" t="str">
        <f>"47.0699"</f>
        <v>47.0699</v>
      </c>
      <c r="B1726" s="196" t="s">
        <v>4265</v>
      </c>
      <c r="C1726" s="320" t="s">
        <v>4266</v>
      </c>
      <c r="D1726" s="321" t="s">
        <v>7511</v>
      </c>
      <c r="E1726" s="322" t="s">
        <v>7512</v>
      </c>
    </row>
    <row r="1727" spans="1:5" s="327" customFormat="1" ht="14.5" customHeight="1" x14ac:dyDescent="0.35">
      <c r="A1727" s="323" t="str">
        <f>"47.07"</f>
        <v>47.07</v>
      </c>
      <c r="B1727" s="323" t="s">
        <v>4297</v>
      </c>
      <c r="C1727" s="324" t="s">
        <v>4269</v>
      </c>
      <c r="D1727" s="325" t="s">
        <v>7513</v>
      </c>
      <c r="E1727" s="326" t="s">
        <v>7514</v>
      </c>
    </row>
    <row r="1728" spans="1:5" s="327" customFormat="1" ht="14.5" customHeight="1" x14ac:dyDescent="0.35">
      <c r="A1728" s="323" t="str">
        <f>"47.0701"</f>
        <v>47.0701</v>
      </c>
      <c r="B1728" s="323" t="s">
        <v>4297</v>
      </c>
      <c r="C1728" s="324" t="s">
        <v>4269</v>
      </c>
      <c r="D1728" s="325" t="s">
        <v>7515</v>
      </c>
      <c r="E1728" s="326" t="s">
        <v>7516</v>
      </c>
    </row>
    <row r="1729" spans="1:5" s="327" customFormat="1" ht="14.5" customHeight="1" x14ac:dyDescent="0.35">
      <c r="A1729" s="323" t="str">
        <f>"47.0703"</f>
        <v>47.0703</v>
      </c>
      <c r="B1729" s="323" t="s">
        <v>4297</v>
      </c>
      <c r="C1729" s="324" t="s">
        <v>4269</v>
      </c>
      <c r="D1729" s="325" t="s">
        <v>7517</v>
      </c>
      <c r="E1729" s="326" t="s">
        <v>7518</v>
      </c>
    </row>
    <row r="1730" spans="1:5" s="327" customFormat="1" ht="14.5" customHeight="1" x14ac:dyDescent="0.35">
      <c r="A1730" s="323" t="str">
        <f>"47.0704"</f>
        <v>47.0704</v>
      </c>
      <c r="B1730" s="323" t="s">
        <v>4297</v>
      </c>
      <c r="C1730" s="324" t="s">
        <v>4269</v>
      </c>
      <c r="D1730" s="325" t="s">
        <v>7519</v>
      </c>
      <c r="E1730" s="326" t="s">
        <v>7520</v>
      </c>
    </row>
    <row r="1731" spans="1:5" s="327" customFormat="1" ht="14.5" customHeight="1" x14ac:dyDescent="0.35">
      <c r="A1731" s="323" t="str">
        <f>"47.0705"</f>
        <v>47.0705</v>
      </c>
      <c r="B1731" s="323" t="s">
        <v>4297</v>
      </c>
      <c r="C1731" s="324" t="s">
        <v>4269</v>
      </c>
      <c r="D1731" s="325" t="s">
        <v>7521</v>
      </c>
      <c r="E1731" s="326" t="s">
        <v>7522</v>
      </c>
    </row>
    <row r="1732" spans="1:5" s="327" customFormat="1" ht="14.5" customHeight="1" x14ac:dyDescent="0.35">
      <c r="A1732" s="323" t="str">
        <f>"47.0706"</f>
        <v>47.0706</v>
      </c>
      <c r="B1732" s="323" t="s">
        <v>4297</v>
      </c>
      <c r="C1732" s="324" t="s">
        <v>4269</v>
      </c>
      <c r="D1732" s="325" t="s">
        <v>7523</v>
      </c>
      <c r="E1732" s="326" t="s">
        <v>7524</v>
      </c>
    </row>
    <row r="1733" spans="1:5" s="327" customFormat="1" ht="14.5" customHeight="1" x14ac:dyDescent="0.35">
      <c r="A1733" s="323" t="str">
        <f>"47.0799"</f>
        <v>47.0799</v>
      </c>
      <c r="B1733" s="323" t="s">
        <v>4297</v>
      </c>
      <c r="C1733" s="324" t="s">
        <v>4269</v>
      </c>
      <c r="D1733" s="325" t="s">
        <v>7525</v>
      </c>
      <c r="E1733" s="326" t="s">
        <v>7526</v>
      </c>
    </row>
    <row r="1734" spans="1:5" ht="14.5" customHeight="1" x14ac:dyDescent="0.35">
      <c r="A1734" s="196" t="str">
        <f>"47.99"</f>
        <v>47.99</v>
      </c>
      <c r="B1734" s="196" t="s">
        <v>5760</v>
      </c>
      <c r="C1734" s="320" t="s">
        <v>4269</v>
      </c>
      <c r="D1734" s="321" t="s">
        <v>7527</v>
      </c>
      <c r="E1734" s="322" t="s">
        <v>7528</v>
      </c>
    </row>
    <row r="1735" spans="1:5" ht="14.5" customHeight="1" x14ac:dyDescent="0.35">
      <c r="A1735" s="196" t="str">
        <f>"47.9999"</f>
        <v>47.9999</v>
      </c>
      <c r="B1735" s="196" t="s">
        <v>5760</v>
      </c>
      <c r="C1735" s="320" t="s">
        <v>4269</v>
      </c>
      <c r="D1735" s="321" t="s">
        <v>7527</v>
      </c>
      <c r="E1735" s="322" t="s">
        <v>7529</v>
      </c>
    </row>
    <row r="1736" spans="1:5" ht="14.5" customHeight="1" x14ac:dyDescent="0.35">
      <c r="A1736" s="196" t="str">
        <f>"48"</f>
        <v>48</v>
      </c>
      <c r="B1736" s="196" t="s">
        <v>5760</v>
      </c>
      <c r="C1736" s="320" t="s">
        <v>4269</v>
      </c>
      <c r="D1736" s="321" t="s">
        <v>7530</v>
      </c>
      <c r="E1736" s="322" t="s">
        <v>7531</v>
      </c>
    </row>
    <row r="1737" spans="1:5" ht="14.5" customHeight="1" x14ac:dyDescent="0.35">
      <c r="A1737" s="196" t="str">
        <f>"48.00"</f>
        <v>48.00</v>
      </c>
      <c r="B1737" s="196" t="s">
        <v>5760</v>
      </c>
      <c r="C1737" s="320" t="s">
        <v>4269</v>
      </c>
      <c r="D1737" s="321" t="s">
        <v>7532</v>
      </c>
      <c r="E1737" s="322" t="s">
        <v>7533</v>
      </c>
    </row>
    <row r="1738" spans="1:5" ht="14.5" customHeight="1" x14ac:dyDescent="0.35">
      <c r="A1738" s="196" t="str">
        <f>"48.0000"</f>
        <v>48.0000</v>
      </c>
      <c r="B1738" s="196" t="s">
        <v>5760</v>
      </c>
      <c r="C1738" s="320" t="s">
        <v>4269</v>
      </c>
      <c r="D1738" s="321" t="s">
        <v>7532</v>
      </c>
      <c r="E1738" s="322" t="s">
        <v>7534</v>
      </c>
    </row>
    <row r="1739" spans="1:5" ht="14.5" customHeight="1" x14ac:dyDescent="0.35">
      <c r="A1739" s="196" t="str">
        <f>"48.03"</f>
        <v>48.03</v>
      </c>
      <c r="B1739" s="196" t="s">
        <v>5760</v>
      </c>
      <c r="C1739" s="320" t="s">
        <v>4269</v>
      </c>
      <c r="D1739" s="321" t="s">
        <v>7535</v>
      </c>
      <c r="E1739" s="322" t="s">
        <v>7536</v>
      </c>
    </row>
    <row r="1740" spans="1:5" ht="14.5" customHeight="1" x14ac:dyDescent="0.35">
      <c r="A1740" s="196" t="str">
        <f>"48.0303"</f>
        <v>48.0303</v>
      </c>
      <c r="B1740" s="196" t="s">
        <v>5760</v>
      </c>
      <c r="C1740" s="320" t="s">
        <v>4269</v>
      </c>
      <c r="D1740" s="321" t="s">
        <v>7537</v>
      </c>
      <c r="E1740" s="322" t="s">
        <v>7538</v>
      </c>
    </row>
    <row r="1741" spans="1:5" ht="14.5" customHeight="1" x14ac:dyDescent="0.35">
      <c r="A1741" s="196" t="str">
        <f>"48.0304"</f>
        <v>48.0304</v>
      </c>
      <c r="B1741" s="196" t="s">
        <v>5760</v>
      </c>
      <c r="C1741" s="320" t="s">
        <v>4269</v>
      </c>
      <c r="D1741" s="321" t="s">
        <v>7539</v>
      </c>
      <c r="E1741" s="322" t="s">
        <v>7540</v>
      </c>
    </row>
    <row r="1742" spans="1:5" ht="14.5" customHeight="1" x14ac:dyDescent="0.35">
      <c r="A1742" s="196" t="str">
        <f>"48.0399"</f>
        <v>48.0399</v>
      </c>
      <c r="B1742" s="196" t="s">
        <v>5760</v>
      </c>
      <c r="C1742" s="320" t="s">
        <v>4269</v>
      </c>
      <c r="D1742" s="321" t="s">
        <v>7541</v>
      </c>
      <c r="E1742" s="322" t="s">
        <v>7542</v>
      </c>
    </row>
    <row r="1743" spans="1:5" ht="14.5" customHeight="1" x14ac:dyDescent="0.35">
      <c r="A1743" s="196" t="str">
        <f>"48.05"</f>
        <v>48.05</v>
      </c>
      <c r="B1743" s="196" t="s">
        <v>5760</v>
      </c>
      <c r="C1743" s="320" t="s">
        <v>4269</v>
      </c>
      <c r="D1743" s="321" t="s">
        <v>7543</v>
      </c>
      <c r="E1743" s="322" t="s">
        <v>7544</v>
      </c>
    </row>
    <row r="1744" spans="1:5" ht="14.5" customHeight="1" x14ac:dyDescent="0.35">
      <c r="A1744" s="196" t="str">
        <f>"48.0501"</f>
        <v>48.0501</v>
      </c>
      <c r="B1744" s="196" t="s">
        <v>5760</v>
      </c>
      <c r="C1744" s="320" t="s">
        <v>4269</v>
      </c>
      <c r="D1744" s="321" t="s">
        <v>7545</v>
      </c>
      <c r="E1744" s="322" t="s">
        <v>7546</v>
      </c>
    </row>
    <row r="1745" spans="1:5" ht="14.5" customHeight="1" x14ac:dyDescent="0.35">
      <c r="A1745" s="196" t="str">
        <f>"48.0503"</f>
        <v>48.0503</v>
      </c>
      <c r="B1745" s="196" t="s">
        <v>5760</v>
      </c>
      <c r="C1745" s="320" t="s">
        <v>4269</v>
      </c>
      <c r="D1745" s="321" t="s">
        <v>7547</v>
      </c>
      <c r="E1745" s="322" t="s">
        <v>7548</v>
      </c>
    </row>
    <row r="1746" spans="1:5" ht="14.5" customHeight="1" x14ac:dyDescent="0.35">
      <c r="A1746" s="196" t="str">
        <f>"48.0506"</f>
        <v>48.0506</v>
      </c>
      <c r="B1746" s="196" t="s">
        <v>5760</v>
      </c>
      <c r="C1746" s="320" t="s">
        <v>4269</v>
      </c>
      <c r="D1746" s="321" t="s">
        <v>7549</v>
      </c>
      <c r="E1746" s="322" t="s">
        <v>7550</v>
      </c>
    </row>
    <row r="1747" spans="1:5" ht="14.5" customHeight="1" x14ac:dyDescent="0.35">
      <c r="A1747" s="196" t="str">
        <f>"48.0507"</f>
        <v>48.0507</v>
      </c>
      <c r="B1747" s="196" t="s">
        <v>5760</v>
      </c>
      <c r="C1747" s="320" t="s">
        <v>4269</v>
      </c>
      <c r="D1747" s="321" t="s">
        <v>7551</v>
      </c>
      <c r="E1747" s="322" t="s">
        <v>7552</v>
      </c>
    </row>
    <row r="1748" spans="1:5" ht="14.5" customHeight="1" x14ac:dyDescent="0.35">
      <c r="A1748" s="196" t="str">
        <f>"48.0508"</f>
        <v>48.0508</v>
      </c>
      <c r="B1748" s="196" t="s">
        <v>5760</v>
      </c>
      <c r="C1748" s="320" t="s">
        <v>4269</v>
      </c>
      <c r="D1748" s="321" t="s">
        <v>7553</v>
      </c>
      <c r="E1748" s="322" t="s">
        <v>7554</v>
      </c>
    </row>
    <row r="1749" spans="1:5" ht="14.5" customHeight="1" x14ac:dyDescent="0.35">
      <c r="A1749" s="196" t="str">
        <f>"48.0509"</f>
        <v>48.0509</v>
      </c>
      <c r="B1749" s="196" t="s">
        <v>5760</v>
      </c>
      <c r="C1749" s="320" t="s">
        <v>4269</v>
      </c>
      <c r="D1749" s="321" t="s">
        <v>7555</v>
      </c>
      <c r="E1749" s="322" t="s">
        <v>7556</v>
      </c>
    </row>
    <row r="1750" spans="1:5" ht="14.5" customHeight="1" x14ac:dyDescent="0.35">
      <c r="A1750" s="196" t="str">
        <f>"48.0510"</f>
        <v>48.0510</v>
      </c>
      <c r="B1750" s="196" t="s">
        <v>5760</v>
      </c>
      <c r="C1750" s="320" t="s">
        <v>4269</v>
      </c>
      <c r="D1750" s="321" t="s">
        <v>7557</v>
      </c>
      <c r="E1750" s="322" t="s">
        <v>7558</v>
      </c>
    </row>
    <row r="1751" spans="1:5" ht="14.5" customHeight="1" x14ac:dyDescent="0.35">
      <c r="A1751" s="196" t="str">
        <f>"48.0511"</f>
        <v>48.0511</v>
      </c>
      <c r="B1751" s="196" t="s">
        <v>5760</v>
      </c>
      <c r="C1751" s="320" t="s">
        <v>4269</v>
      </c>
      <c r="D1751" s="321" t="s">
        <v>7559</v>
      </c>
      <c r="E1751" s="322" t="s">
        <v>7560</v>
      </c>
    </row>
    <row r="1752" spans="1:5" ht="14.5" customHeight="1" x14ac:dyDescent="0.35">
      <c r="A1752" s="196" t="str">
        <f>"48.0599"</f>
        <v>48.0599</v>
      </c>
      <c r="B1752" s="196" t="s">
        <v>5760</v>
      </c>
      <c r="C1752" s="320" t="s">
        <v>4269</v>
      </c>
      <c r="D1752" s="321" t="s">
        <v>7561</v>
      </c>
      <c r="E1752" s="322" t="s">
        <v>7562</v>
      </c>
    </row>
    <row r="1753" spans="1:5" ht="14.5" customHeight="1" x14ac:dyDescent="0.35">
      <c r="A1753" s="196" t="str">
        <f>"48.07"</f>
        <v>48.07</v>
      </c>
      <c r="B1753" s="196" t="s">
        <v>5760</v>
      </c>
      <c r="C1753" s="320" t="s">
        <v>4269</v>
      </c>
      <c r="D1753" s="321" t="s">
        <v>7563</v>
      </c>
      <c r="E1753" s="322" t="s">
        <v>7564</v>
      </c>
    </row>
    <row r="1754" spans="1:5" ht="14.5" customHeight="1" x14ac:dyDescent="0.35">
      <c r="A1754" s="196" t="str">
        <f>"48.0701"</f>
        <v>48.0701</v>
      </c>
      <c r="B1754" s="196" t="s">
        <v>5760</v>
      </c>
      <c r="C1754" s="320" t="s">
        <v>4269</v>
      </c>
      <c r="D1754" s="321" t="s">
        <v>7565</v>
      </c>
      <c r="E1754" s="322" t="s">
        <v>7566</v>
      </c>
    </row>
    <row r="1755" spans="1:5" ht="14.5" customHeight="1" x14ac:dyDescent="0.35">
      <c r="A1755" s="196" t="str">
        <f>"48.0702"</f>
        <v>48.0702</v>
      </c>
      <c r="B1755" s="196" t="s">
        <v>5760</v>
      </c>
      <c r="C1755" s="320" t="s">
        <v>4269</v>
      </c>
      <c r="D1755" s="321" t="s">
        <v>7567</v>
      </c>
      <c r="E1755" s="322" t="s">
        <v>7568</v>
      </c>
    </row>
    <row r="1756" spans="1:5" ht="14.5" customHeight="1" x14ac:dyDescent="0.35">
      <c r="A1756" s="196" t="str">
        <f>"48.0703"</f>
        <v>48.0703</v>
      </c>
      <c r="B1756" s="196" t="s">
        <v>5760</v>
      </c>
      <c r="C1756" s="320" t="s">
        <v>4269</v>
      </c>
      <c r="D1756" s="321" t="s">
        <v>7569</v>
      </c>
      <c r="E1756" s="322" t="s">
        <v>7570</v>
      </c>
    </row>
    <row r="1757" spans="1:5" s="327" customFormat="1" ht="14.5" customHeight="1" x14ac:dyDescent="0.35">
      <c r="A1757" s="323" t="str">
        <f>"48.0704"</f>
        <v>48.0704</v>
      </c>
      <c r="B1757" s="323" t="s">
        <v>4297</v>
      </c>
      <c r="C1757" s="324" t="s">
        <v>4269</v>
      </c>
      <c r="D1757" s="325" t="s">
        <v>7571</v>
      </c>
      <c r="E1757" s="326" t="s">
        <v>7572</v>
      </c>
    </row>
    <row r="1758" spans="1:5" ht="14.5" customHeight="1" x14ac:dyDescent="0.35">
      <c r="A1758" s="196" t="str">
        <f>"48.0799"</f>
        <v>48.0799</v>
      </c>
      <c r="B1758" s="196" t="s">
        <v>5760</v>
      </c>
      <c r="C1758" s="320" t="s">
        <v>4269</v>
      </c>
      <c r="D1758" s="321" t="s">
        <v>7573</v>
      </c>
      <c r="E1758" s="322" t="s">
        <v>7574</v>
      </c>
    </row>
    <row r="1759" spans="1:5" ht="14.5" customHeight="1" x14ac:dyDescent="0.35">
      <c r="A1759" s="196" t="str">
        <f>"48.08"</f>
        <v>48.08</v>
      </c>
      <c r="B1759" s="196" t="s">
        <v>5760</v>
      </c>
      <c r="C1759" s="320" t="s">
        <v>4269</v>
      </c>
      <c r="D1759" s="321" t="s">
        <v>7575</v>
      </c>
      <c r="E1759" s="322" t="s">
        <v>7576</v>
      </c>
    </row>
    <row r="1760" spans="1:5" ht="14.5" customHeight="1" x14ac:dyDescent="0.35">
      <c r="A1760" s="196" t="str">
        <f>"48.0801"</f>
        <v>48.0801</v>
      </c>
      <c r="B1760" s="196" t="s">
        <v>5760</v>
      </c>
      <c r="C1760" s="320" t="s">
        <v>4269</v>
      </c>
      <c r="D1760" s="321" t="s">
        <v>7575</v>
      </c>
      <c r="E1760" s="322" t="s">
        <v>7577</v>
      </c>
    </row>
    <row r="1761" spans="1:5" ht="14.5" customHeight="1" x14ac:dyDescent="0.35">
      <c r="A1761" s="196" t="str">
        <f>"48.99"</f>
        <v>48.99</v>
      </c>
      <c r="B1761" s="196" t="s">
        <v>5760</v>
      </c>
      <c r="C1761" s="320" t="s">
        <v>4269</v>
      </c>
      <c r="D1761" s="321" t="s">
        <v>7578</v>
      </c>
      <c r="E1761" s="322" t="s">
        <v>7579</v>
      </c>
    </row>
    <row r="1762" spans="1:5" ht="14.5" customHeight="1" x14ac:dyDescent="0.35">
      <c r="A1762" s="196" t="str">
        <f>"48.9999"</f>
        <v>48.9999</v>
      </c>
      <c r="B1762" s="196" t="s">
        <v>5760</v>
      </c>
      <c r="C1762" s="320" t="s">
        <v>4269</v>
      </c>
      <c r="D1762" s="321" t="s">
        <v>7578</v>
      </c>
      <c r="E1762" s="322" t="s">
        <v>7580</v>
      </c>
    </row>
    <row r="1763" spans="1:5" ht="14.5" customHeight="1" x14ac:dyDescent="0.35">
      <c r="A1763" s="196" t="str">
        <f>"49"</f>
        <v>49</v>
      </c>
      <c r="B1763" s="196" t="s">
        <v>5760</v>
      </c>
      <c r="C1763" s="320" t="s">
        <v>4269</v>
      </c>
      <c r="D1763" s="321" t="s">
        <v>7581</v>
      </c>
      <c r="E1763" s="322" t="s">
        <v>7582</v>
      </c>
    </row>
    <row r="1764" spans="1:5" ht="14.5" customHeight="1" x14ac:dyDescent="0.35">
      <c r="A1764" s="196" t="str">
        <f>"49.01"</f>
        <v>49.01</v>
      </c>
      <c r="B1764" s="196" t="s">
        <v>5760</v>
      </c>
      <c r="C1764" s="320" t="s">
        <v>4269</v>
      </c>
      <c r="D1764" s="321" t="s">
        <v>7583</v>
      </c>
      <c r="E1764" s="322" t="s">
        <v>7584</v>
      </c>
    </row>
    <row r="1765" spans="1:5" ht="14.5" customHeight="1" x14ac:dyDescent="0.35">
      <c r="A1765" s="196" t="str">
        <f>"49.0101"</f>
        <v>49.0101</v>
      </c>
      <c r="B1765" s="196" t="s">
        <v>5760</v>
      </c>
      <c r="C1765" s="320" t="s">
        <v>4269</v>
      </c>
      <c r="D1765" s="321" t="s">
        <v>7585</v>
      </c>
      <c r="E1765" s="322" t="s">
        <v>7586</v>
      </c>
    </row>
    <row r="1766" spans="1:5" ht="14.5" customHeight="1" x14ac:dyDescent="0.35">
      <c r="A1766" s="196" t="str">
        <f>"49.0102"</f>
        <v>49.0102</v>
      </c>
      <c r="B1766" s="196" t="s">
        <v>5760</v>
      </c>
      <c r="C1766" s="320" t="s">
        <v>4269</v>
      </c>
      <c r="D1766" s="321" t="s">
        <v>7587</v>
      </c>
      <c r="E1766" s="322" t="s">
        <v>7588</v>
      </c>
    </row>
    <row r="1767" spans="1:5" ht="14.5" customHeight="1" x14ac:dyDescent="0.35">
      <c r="A1767" s="196" t="str">
        <f>"49.0104"</f>
        <v>49.0104</v>
      </c>
      <c r="B1767" s="196" t="s">
        <v>5760</v>
      </c>
      <c r="C1767" s="320" t="s">
        <v>4269</v>
      </c>
      <c r="D1767" s="321" t="s">
        <v>7589</v>
      </c>
      <c r="E1767" s="322" t="s">
        <v>7590</v>
      </c>
    </row>
    <row r="1768" spans="1:5" ht="14.5" customHeight="1" x14ac:dyDescent="0.35">
      <c r="A1768" s="196" t="str">
        <f>"49.0105"</f>
        <v>49.0105</v>
      </c>
      <c r="B1768" s="196" t="s">
        <v>5760</v>
      </c>
      <c r="C1768" s="320" t="s">
        <v>4269</v>
      </c>
      <c r="D1768" s="321" t="s">
        <v>7591</v>
      </c>
      <c r="E1768" s="322" t="s">
        <v>7592</v>
      </c>
    </row>
    <row r="1769" spans="1:5" ht="14.5" customHeight="1" x14ac:dyDescent="0.35">
      <c r="A1769" s="196" t="str">
        <f>"49.0106"</f>
        <v>49.0106</v>
      </c>
      <c r="B1769" s="196" t="s">
        <v>5760</v>
      </c>
      <c r="C1769" s="320" t="s">
        <v>4269</v>
      </c>
      <c r="D1769" s="321" t="s">
        <v>7593</v>
      </c>
      <c r="E1769" s="322" t="s">
        <v>7594</v>
      </c>
    </row>
    <row r="1770" spans="1:5" ht="14.5" customHeight="1" x14ac:dyDescent="0.35">
      <c r="A1770" s="196" t="str">
        <f>"49.0108"</f>
        <v>49.0108</v>
      </c>
      <c r="B1770" s="196" t="s">
        <v>5760</v>
      </c>
      <c r="C1770" s="320" t="s">
        <v>4269</v>
      </c>
      <c r="D1770" s="321" t="s">
        <v>7595</v>
      </c>
      <c r="E1770" s="322" t="s">
        <v>7596</v>
      </c>
    </row>
    <row r="1771" spans="1:5" ht="14.5" customHeight="1" x14ac:dyDescent="0.35">
      <c r="A1771" s="196" t="str">
        <f>"49.0199"</f>
        <v>49.0199</v>
      </c>
      <c r="B1771" s="196" t="s">
        <v>5760</v>
      </c>
      <c r="C1771" s="320" t="s">
        <v>4269</v>
      </c>
      <c r="D1771" s="321" t="s">
        <v>7597</v>
      </c>
      <c r="E1771" s="322" t="s">
        <v>7598</v>
      </c>
    </row>
    <row r="1772" spans="1:5" ht="14.5" customHeight="1" x14ac:dyDescent="0.35">
      <c r="A1772" s="196" t="str">
        <f>"49.02"</f>
        <v>49.02</v>
      </c>
      <c r="B1772" s="196" t="s">
        <v>5760</v>
      </c>
      <c r="C1772" s="320" t="s">
        <v>4269</v>
      </c>
      <c r="D1772" s="321" t="s">
        <v>7599</v>
      </c>
      <c r="E1772" s="322" t="s">
        <v>7600</v>
      </c>
    </row>
    <row r="1773" spans="1:5" ht="14.5" customHeight="1" x14ac:dyDescent="0.35">
      <c r="A1773" s="196" t="str">
        <f>"49.0202"</f>
        <v>49.0202</v>
      </c>
      <c r="B1773" s="196" t="s">
        <v>5760</v>
      </c>
      <c r="C1773" s="320" t="s">
        <v>4269</v>
      </c>
      <c r="D1773" s="321" t="s">
        <v>7601</v>
      </c>
      <c r="E1773" s="322" t="s">
        <v>7602</v>
      </c>
    </row>
    <row r="1774" spans="1:5" ht="14.5" customHeight="1" x14ac:dyDescent="0.35">
      <c r="A1774" s="196" t="str">
        <f>"49.0205"</f>
        <v>49.0205</v>
      </c>
      <c r="B1774" s="196" t="s">
        <v>5760</v>
      </c>
      <c r="C1774" s="320" t="s">
        <v>4269</v>
      </c>
      <c r="D1774" s="321" t="s">
        <v>7603</v>
      </c>
      <c r="E1774" s="322" t="s">
        <v>7604</v>
      </c>
    </row>
    <row r="1775" spans="1:5" ht="14.5" customHeight="1" x14ac:dyDescent="0.35">
      <c r="A1775" s="196" t="str">
        <f>"49.0206"</f>
        <v>49.0206</v>
      </c>
      <c r="B1775" s="196" t="s">
        <v>4265</v>
      </c>
      <c r="C1775" s="320" t="s">
        <v>4266</v>
      </c>
      <c r="D1775" s="321" t="s">
        <v>7605</v>
      </c>
      <c r="E1775" s="322" t="s">
        <v>7606</v>
      </c>
    </row>
    <row r="1776" spans="1:5" ht="14.5" customHeight="1" x14ac:dyDescent="0.35">
      <c r="A1776" s="196" t="str">
        <f>"49.0207"</f>
        <v>49.0207</v>
      </c>
      <c r="B1776" s="196" t="s">
        <v>5760</v>
      </c>
      <c r="C1776" s="320" t="s">
        <v>4269</v>
      </c>
      <c r="D1776" s="321" t="s">
        <v>7607</v>
      </c>
      <c r="E1776" s="322" t="s">
        <v>7608</v>
      </c>
    </row>
    <row r="1777" spans="1:5" ht="14.5" customHeight="1" x14ac:dyDescent="0.35">
      <c r="A1777" s="196" t="str">
        <f>"49.0208"</f>
        <v>49.0208</v>
      </c>
      <c r="B1777" s="196" t="s">
        <v>5760</v>
      </c>
      <c r="C1777" s="320" t="s">
        <v>4269</v>
      </c>
      <c r="D1777" s="321" t="s">
        <v>7609</v>
      </c>
      <c r="E1777" s="322" t="s">
        <v>7610</v>
      </c>
    </row>
    <row r="1778" spans="1:5" s="327" customFormat="1" ht="14.5" customHeight="1" x14ac:dyDescent="0.35">
      <c r="A1778" s="323" t="str">
        <f>"49.0209"</f>
        <v>49.0209</v>
      </c>
      <c r="B1778" s="323" t="s">
        <v>4297</v>
      </c>
      <c r="C1778" s="324" t="s">
        <v>4269</v>
      </c>
      <c r="D1778" s="325" t="s">
        <v>7611</v>
      </c>
      <c r="E1778" s="326" t="s">
        <v>7612</v>
      </c>
    </row>
    <row r="1779" spans="1:5" ht="14.5" customHeight="1" x14ac:dyDescent="0.35">
      <c r="A1779" s="196" t="str">
        <f>"49.0299"</f>
        <v>49.0299</v>
      </c>
      <c r="B1779" s="196" t="s">
        <v>5760</v>
      </c>
      <c r="C1779" s="320" t="s">
        <v>4269</v>
      </c>
      <c r="D1779" s="321" t="s">
        <v>7613</v>
      </c>
      <c r="E1779" s="322" t="s">
        <v>7614</v>
      </c>
    </row>
    <row r="1780" spans="1:5" ht="14.5" customHeight="1" x14ac:dyDescent="0.35">
      <c r="A1780" s="196" t="str">
        <f>"49.03"</f>
        <v>49.03</v>
      </c>
      <c r="B1780" s="196" t="s">
        <v>5760</v>
      </c>
      <c r="C1780" s="320" t="s">
        <v>4269</v>
      </c>
      <c r="D1780" s="321" t="s">
        <v>7615</v>
      </c>
      <c r="E1780" s="322" t="s">
        <v>7616</v>
      </c>
    </row>
    <row r="1781" spans="1:5" ht="14.5" customHeight="1" x14ac:dyDescent="0.35">
      <c r="A1781" s="196" t="str">
        <f>"49.0303"</f>
        <v>49.0303</v>
      </c>
      <c r="B1781" s="196" t="s">
        <v>5760</v>
      </c>
      <c r="C1781" s="320" t="s">
        <v>4269</v>
      </c>
      <c r="D1781" s="321" t="s">
        <v>7617</v>
      </c>
      <c r="E1781" s="322" t="s">
        <v>7618</v>
      </c>
    </row>
    <row r="1782" spans="1:5" ht="14.5" customHeight="1" x14ac:dyDescent="0.35">
      <c r="A1782" s="196" t="str">
        <f>"49.0304"</f>
        <v>49.0304</v>
      </c>
      <c r="B1782" s="196" t="s">
        <v>5760</v>
      </c>
      <c r="C1782" s="320" t="s">
        <v>4269</v>
      </c>
      <c r="D1782" s="321" t="s">
        <v>7619</v>
      </c>
      <c r="E1782" s="322" t="s">
        <v>7620</v>
      </c>
    </row>
    <row r="1783" spans="1:5" ht="14.5" customHeight="1" x14ac:dyDescent="0.35">
      <c r="A1783" s="196" t="str">
        <f>"49.0309"</f>
        <v>49.0309</v>
      </c>
      <c r="B1783" s="196" t="s">
        <v>5760</v>
      </c>
      <c r="C1783" s="320" t="s">
        <v>4269</v>
      </c>
      <c r="D1783" s="321" t="s">
        <v>7621</v>
      </c>
      <c r="E1783" s="322" t="s">
        <v>7622</v>
      </c>
    </row>
    <row r="1784" spans="1:5" ht="14.5" customHeight="1" x14ac:dyDescent="0.35">
      <c r="A1784" s="196" t="str">
        <f>"49.0399"</f>
        <v>49.0399</v>
      </c>
      <c r="B1784" s="196" t="s">
        <v>5760</v>
      </c>
      <c r="C1784" s="320" t="s">
        <v>4269</v>
      </c>
      <c r="D1784" s="321" t="s">
        <v>7623</v>
      </c>
      <c r="E1784" s="322" t="s">
        <v>7624</v>
      </c>
    </row>
    <row r="1785" spans="1:5" ht="14.5" customHeight="1" x14ac:dyDescent="0.35">
      <c r="A1785" s="196" t="str">
        <f>"49.99"</f>
        <v>49.99</v>
      </c>
      <c r="B1785" s="196" t="s">
        <v>5760</v>
      </c>
      <c r="C1785" s="320" t="s">
        <v>4269</v>
      </c>
      <c r="D1785" s="321" t="s">
        <v>7625</v>
      </c>
      <c r="E1785" s="322" t="s">
        <v>7626</v>
      </c>
    </row>
    <row r="1786" spans="1:5" ht="14.5" customHeight="1" x14ac:dyDescent="0.35">
      <c r="A1786" s="196" t="str">
        <f>"49.9999"</f>
        <v>49.9999</v>
      </c>
      <c r="B1786" s="196" t="s">
        <v>5760</v>
      </c>
      <c r="C1786" s="320" t="s">
        <v>4269</v>
      </c>
      <c r="D1786" s="321" t="s">
        <v>7625</v>
      </c>
      <c r="E1786" s="322" t="s">
        <v>7627</v>
      </c>
    </row>
    <row r="1787" spans="1:5" ht="14.5" customHeight="1" x14ac:dyDescent="0.35">
      <c r="A1787" s="196" t="str">
        <f>"50"</f>
        <v>50</v>
      </c>
      <c r="B1787" s="196" t="s">
        <v>5760</v>
      </c>
      <c r="C1787" s="320" t="s">
        <v>4269</v>
      </c>
      <c r="D1787" s="321" t="s">
        <v>7628</v>
      </c>
      <c r="E1787" s="322" t="s">
        <v>7629</v>
      </c>
    </row>
    <row r="1788" spans="1:5" ht="14.5" customHeight="1" x14ac:dyDescent="0.35">
      <c r="A1788" s="196" t="str">
        <f>"50.01"</f>
        <v>50.01</v>
      </c>
      <c r="B1788" s="196" t="s">
        <v>5760</v>
      </c>
      <c r="C1788" s="320" t="s">
        <v>4269</v>
      </c>
      <c r="D1788" s="321" t="s">
        <v>7630</v>
      </c>
      <c r="E1788" s="322" t="s">
        <v>7631</v>
      </c>
    </row>
    <row r="1789" spans="1:5" ht="14.5" customHeight="1" x14ac:dyDescent="0.35">
      <c r="A1789" s="196" t="str">
        <f>"50.0101"</f>
        <v>50.0101</v>
      </c>
      <c r="B1789" s="196" t="s">
        <v>5760</v>
      </c>
      <c r="C1789" s="320" t="s">
        <v>4269</v>
      </c>
      <c r="D1789" s="321" t="s">
        <v>7630</v>
      </c>
      <c r="E1789" s="322" t="s">
        <v>7632</v>
      </c>
    </row>
    <row r="1790" spans="1:5" ht="14.5" customHeight="1" x14ac:dyDescent="0.35">
      <c r="A1790" s="196" t="str">
        <f>"50.0102"</f>
        <v>50.0102</v>
      </c>
      <c r="B1790" s="196" t="s">
        <v>5760</v>
      </c>
      <c r="C1790" s="320" t="s">
        <v>4269</v>
      </c>
      <c r="D1790" s="321" t="s">
        <v>7633</v>
      </c>
      <c r="E1790" s="322" t="s">
        <v>7634</v>
      </c>
    </row>
    <row r="1791" spans="1:5" ht="14.5" customHeight="1" x14ac:dyDescent="0.35">
      <c r="A1791" s="196" t="str">
        <f>"50.02"</f>
        <v>50.02</v>
      </c>
      <c r="B1791" s="196" t="s">
        <v>5760</v>
      </c>
      <c r="C1791" s="320" t="s">
        <v>4269</v>
      </c>
      <c r="D1791" s="321" t="s">
        <v>7635</v>
      </c>
      <c r="E1791" s="322" t="s">
        <v>7636</v>
      </c>
    </row>
    <row r="1792" spans="1:5" ht="14.5" customHeight="1" x14ac:dyDescent="0.35">
      <c r="A1792" s="196" t="str">
        <f>"50.0201"</f>
        <v>50.0201</v>
      </c>
      <c r="B1792" s="196" t="s">
        <v>5760</v>
      </c>
      <c r="C1792" s="320" t="s">
        <v>4269</v>
      </c>
      <c r="D1792" s="321" t="s">
        <v>7635</v>
      </c>
      <c r="E1792" s="322" t="s">
        <v>7637</v>
      </c>
    </row>
    <row r="1793" spans="1:5" ht="14.5" customHeight="1" x14ac:dyDescent="0.35">
      <c r="A1793" s="196" t="str">
        <f>"50.03"</f>
        <v>50.03</v>
      </c>
      <c r="B1793" s="196" t="s">
        <v>5760</v>
      </c>
      <c r="C1793" s="320" t="s">
        <v>4269</v>
      </c>
      <c r="D1793" s="321" t="s">
        <v>7638</v>
      </c>
      <c r="E1793" s="322" t="s">
        <v>7639</v>
      </c>
    </row>
    <row r="1794" spans="1:5" ht="14.5" customHeight="1" x14ac:dyDescent="0.35">
      <c r="A1794" s="196" t="str">
        <f>"50.0301"</f>
        <v>50.0301</v>
      </c>
      <c r="B1794" s="196" t="s">
        <v>5760</v>
      </c>
      <c r="C1794" s="320" t="s">
        <v>4269</v>
      </c>
      <c r="D1794" s="321" t="s">
        <v>7640</v>
      </c>
      <c r="E1794" s="322" t="s">
        <v>7641</v>
      </c>
    </row>
    <row r="1795" spans="1:5" ht="14.5" customHeight="1" x14ac:dyDescent="0.35">
      <c r="A1795" s="196" t="str">
        <f>"50.0302"</f>
        <v>50.0302</v>
      </c>
      <c r="B1795" s="196" t="s">
        <v>5760</v>
      </c>
      <c r="C1795" s="320" t="s">
        <v>4269</v>
      </c>
      <c r="D1795" s="321" t="s">
        <v>7642</v>
      </c>
      <c r="E1795" s="322" t="s">
        <v>7643</v>
      </c>
    </row>
    <row r="1796" spans="1:5" ht="14.5" customHeight="1" x14ac:dyDescent="0.35">
      <c r="A1796" s="196" t="str">
        <f>"50.0399"</f>
        <v>50.0399</v>
      </c>
      <c r="B1796" s="196" t="s">
        <v>5760</v>
      </c>
      <c r="C1796" s="320" t="s">
        <v>4269</v>
      </c>
      <c r="D1796" s="321" t="s">
        <v>7644</v>
      </c>
      <c r="E1796" s="322" t="s">
        <v>7645</v>
      </c>
    </row>
    <row r="1797" spans="1:5" ht="14.5" customHeight="1" x14ac:dyDescent="0.35">
      <c r="A1797" s="196" t="str">
        <f>"50.04"</f>
        <v>50.04</v>
      </c>
      <c r="B1797" s="196" t="s">
        <v>5760</v>
      </c>
      <c r="C1797" s="320" t="s">
        <v>4269</v>
      </c>
      <c r="D1797" s="321" t="s">
        <v>7646</v>
      </c>
      <c r="E1797" s="322" t="s">
        <v>7647</v>
      </c>
    </row>
    <row r="1798" spans="1:5" ht="14.5" customHeight="1" x14ac:dyDescent="0.35">
      <c r="A1798" s="196" t="str">
        <f>"50.0401"</f>
        <v>50.0401</v>
      </c>
      <c r="B1798" s="196" t="s">
        <v>5760</v>
      </c>
      <c r="C1798" s="320" t="s">
        <v>4269</v>
      </c>
      <c r="D1798" s="321" t="s">
        <v>7648</v>
      </c>
      <c r="E1798" s="322" t="s">
        <v>7649</v>
      </c>
    </row>
    <row r="1799" spans="1:5" ht="14.5" customHeight="1" x14ac:dyDescent="0.35">
      <c r="A1799" s="196" t="str">
        <f>"50.0402"</f>
        <v>50.0402</v>
      </c>
      <c r="B1799" s="196" t="s">
        <v>5760</v>
      </c>
      <c r="C1799" s="320" t="s">
        <v>4269</v>
      </c>
      <c r="D1799" s="321" t="s">
        <v>7650</v>
      </c>
      <c r="E1799" s="322" t="s">
        <v>7651</v>
      </c>
    </row>
    <row r="1800" spans="1:5" ht="14.5" customHeight="1" x14ac:dyDescent="0.35">
      <c r="A1800" s="196" t="str">
        <f>"50.0404"</f>
        <v>50.0404</v>
      </c>
      <c r="B1800" s="196" t="s">
        <v>5760</v>
      </c>
      <c r="C1800" s="320" t="s">
        <v>4269</v>
      </c>
      <c r="D1800" s="321" t="s">
        <v>7652</v>
      </c>
      <c r="E1800" s="322" t="s">
        <v>7653</v>
      </c>
    </row>
    <row r="1801" spans="1:5" ht="14.5" customHeight="1" x14ac:dyDescent="0.35">
      <c r="A1801" s="196" t="str">
        <f>"50.0406"</f>
        <v>50.0406</v>
      </c>
      <c r="B1801" s="196" t="s">
        <v>5760</v>
      </c>
      <c r="C1801" s="320" t="s">
        <v>4269</v>
      </c>
      <c r="D1801" s="321" t="s">
        <v>7654</v>
      </c>
      <c r="E1801" s="322" t="s">
        <v>7655</v>
      </c>
    </row>
    <row r="1802" spans="1:5" ht="14.5" customHeight="1" x14ac:dyDescent="0.35">
      <c r="A1802" s="196" t="str">
        <f>"50.0407"</f>
        <v>50.0407</v>
      </c>
      <c r="B1802" s="196" t="s">
        <v>5760</v>
      </c>
      <c r="C1802" s="320" t="s">
        <v>4269</v>
      </c>
      <c r="D1802" s="321" t="s">
        <v>7656</v>
      </c>
      <c r="E1802" s="322" t="s">
        <v>7657</v>
      </c>
    </row>
    <row r="1803" spans="1:5" ht="14.5" customHeight="1" x14ac:dyDescent="0.35">
      <c r="A1803" s="196" t="str">
        <f>"50.0408"</f>
        <v>50.0408</v>
      </c>
      <c r="B1803" s="196" t="s">
        <v>5760</v>
      </c>
      <c r="C1803" s="320" t="s">
        <v>4269</v>
      </c>
      <c r="D1803" s="321" t="s">
        <v>7658</v>
      </c>
      <c r="E1803" s="322" t="s">
        <v>7659</v>
      </c>
    </row>
    <row r="1804" spans="1:5" ht="14.5" customHeight="1" x14ac:dyDescent="0.35">
      <c r="A1804" s="196" t="str">
        <f>"50.0409"</f>
        <v>50.0409</v>
      </c>
      <c r="B1804" s="196" t="s">
        <v>5760</v>
      </c>
      <c r="C1804" s="320" t="s">
        <v>4269</v>
      </c>
      <c r="D1804" s="321" t="s">
        <v>7660</v>
      </c>
      <c r="E1804" s="322" t="s">
        <v>7661</v>
      </c>
    </row>
    <row r="1805" spans="1:5" ht="14.5" customHeight="1" x14ac:dyDescent="0.35">
      <c r="A1805" s="196" t="str">
        <f>"50.0410"</f>
        <v>50.0410</v>
      </c>
      <c r="B1805" s="196" t="s">
        <v>5760</v>
      </c>
      <c r="C1805" s="320" t="s">
        <v>4269</v>
      </c>
      <c r="D1805" s="321" t="s">
        <v>7662</v>
      </c>
      <c r="E1805" s="322" t="s">
        <v>7663</v>
      </c>
    </row>
    <row r="1806" spans="1:5" ht="14.5" customHeight="1" x14ac:dyDescent="0.35">
      <c r="A1806" s="196" t="str">
        <f>"50.0411"</f>
        <v>50.0411</v>
      </c>
      <c r="B1806" s="196" t="s">
        <v>5760</v>
      </c>
      <c r="C1806" s="320" t="s">
        <v>4269</v>
      </c>
      <c r="D1806" s="321" t="s">
        <v>7664</v>
      </c>
      <c r="E1806" s="322" t="s">
        <v>7665</v>
      </c>
    </row>
    <row r="1807" spans="1:5" ht="14.5" customHeight="1" x14ac:dyDescent="0.35">
      <c r="A1807" s="196" t="str">
        <f>"50.0499"</f>
        <v>50.0499</v>
      </c>
      <c r="B1807" s="196" t="s">
        <v>5760</v>
      </c>
      <c r="C1807" s="320" t="s">
        <v>4269</v>
      </c>
      <c r="D1807" s="321" t="s">
        <v>7666</v>
      </c>
      <c r="E1807" s="322" t="s">
        <v>7667</v>
      </c>
    </row>
    <row r="1808" spans="1:5" ht="14.5" customHeight="1" x14ac:dyDescent="0.35">
      <c r="A1808" s="196" t="str">
        <f>"50.05"</f>
        <v>50.05</v>
      </c>
      <c r="B1808" s="196" t="s">
        <v>5760</v>
      </c>
      <c r="C1808" s="320" t="s">
        <v>4269</v>
      </c>
      <c r="D1808" s="321" t="s">
        <v>7668</v>
      </c>
      <c r="E1808" s="322" t="s">
        <v>7669</v>
      </c>
    </row>
    <row r="1809" spans="1:5" ht="14.5" customHeight="1" x14ac:dyDescent="0.35">
      <c r="A1809" s="196" t="str">
        <f>"50.0501"</f>
        <v>50.0501</v>
      </c>
      <c r="B1809" s="196" t="s">
        <v>5760</v>
      </c>
      <c r="C1809" s="320" t="s">
        <v>4269</v>
      </c>
      <c r="D1809" s="321" t="s">
        <v>7670</v>
      </c>
      <c r="E1809" s="322" t="s">
        <v>7671</v>
      </c>
    </row>
    <row r="1810" spans="1:5" ht="14.5" customHeight="1" x14ac:dyDescent="0.35">
      <c r="A1810" s="196" t="str">
        <f>"50.0502"</f>
        <v>50.0502</v>
      </c>
      <c r="B1810" s="196" t="s">
        <v>5760</v>
      </c>
      <c r="C1810" s="320" t="s">
        <v>4269</v>
      </c>
      <c r="D1810" s="321" t="s">
        <v>7672</v>
      </c>
      <c r="E1810" s="322" t="s">
        <v>7673</v>
      </c>
    </row>
    <row r="1811" spans="1:5" ht="14.5" customHeight="1" x14ac:dyDescent="0.35">
      <c r="A1811" s="196" t="str">
        <f>"50.0504"</f>
        <v>50.0504</v>
      </c>
      <c r="B1811" s="196" t="s">
        <v>5760</v>
      </c>
      <c r="C1811" s="320" t="s">
        <v>4269</v>
      </c>
      <c r="D1811" s="321" t="s">
        <v>7674</v>
      </c>
      <c r="E1811" s="322" t="s">
        <v>7675</v>
      </c>
    </row>
    <row r="1812" spans="1:5" ht="14.5" customHeight="1" x14ac:dyDescent="0.35">
      <c r="A1812" s="196" t="str">
        <f>"50.0505"</f>
        <v>50.0505</v>
      </c>
      <c r="B1812" s="196" t="s">
        <v>5760</v>
      </c>
      <c r="C1812" s="320" t="s">
        <v>4269</v>
      </c>
      <c r="D1812" s="321" t="s">
        <v>7676</v>
      </c>
      <c r="E1812" s="322" t="s">
        <v>7677</v>
      </c>
    </row>
    <row r="1813" spans="1:5" ht="14.5" customHeight="1" x14ac:dyDescent="0.35">
      <c r="A1813" s="196" t="str">
        <f>"50.0506"</f>
        <v>50.0506</v>
      </c>
      <c r="B1813" s="196" t="s">
        <v>5760</v>
      </c>
      <c r="C1813" s="320" t="s">
        <v>4269</v>
      </c>
      <c r="D1813" s="321" t="s">
        <v>7678</v>
      </c>
      <c r="E1813" s="322" t="s">
        <v>7679</v>
      </c>
    </row>
    <row r="1814" spans="1:5" ht="14.5" customHeight="1" x14ac:dyDescent="0.35">
      <c r="A1814" s="196" t="str">
        <f>"50.0507"</f>
        <v>50.0507</v>
      </c>
      <c r="B1814" s="196" t="s">
        <v>5760</v>
      </c>
      <c r="C1814" s="320" t="s">
        <v>4269</v>
      </c>
      <c r="D1814" s="321" t="s">
        <v>7680</v>
      </c>
      <c r="E1814" s="322" t="s">
        <v>7681</v>
      </c>
    </row>
    <row r="1815" spans="1:5" ht="14.5" customHeight="1" x14ac:dyDescent="0.35">
      <c r="A1815" s="196" t="str">
        <f>"50.0509"</f>
        <v>50.0509</v>
      </c>
      <c r="B1815" s="196" t="s">
        <v>5760</v>
      </c>
      <c r="C1815" s="320" t="s">
        <v>4269</v>
      </c>
      <c r="D1815" s="321" t="s">
        <v>7682</v>
      </c>
      <c r="E1815" s="322" t="s">
        <v>7683</v>
      </c>
    </row>
    <row r="1816" spans="1:5" ht="14.5" customHeight="1" x14ac:dyDescent="0.35">
      <c r="A1816" s="196" t="str">
        <f>"50.0510"</f>
        <v>50.0510</v>
      </c>
      <c r="B1816" s="196" t="s">
        <v>5760</v>
      </c>
      <c r="C1816" s="320" t="s">
        <v>4269</v>
      </c>
      <c r="D1816" s="321" t="s">
        <v>7684</v>
      </c>
      <c r="E1816" s="322" t="s">
        <v>7685</v>
      </c>
    </row>
    <row r="1817" spans="1:5" s="327" customFormat="1" ht="14.5" customHeight="1" x14ac:dyDescent="0.35">
      <c r="A1817" s="323" t="str">
        <f>"50.0511"</f>
        <v>50.0511</v>
      </c>
      <c r="B1817" s="323" t="s">
        <v>4297</v>
      </c>
      <c r="C1817" s="324" t="s">
        <v>4269</v>
      </c>
      <c r="D1817" s="325" t="s">
        <v>7686</v>
      </c>
      <c r="E1817" s="326" t="s">
        <v>7687</v>
      </c>
    </row>
    <row r="1818" spans="1:5" s="327" customFormat="1" ht="14.5" customHeight="1" x14ac:dyDescent="0.35">
      <c r="A1818" s="323" t="str">
        <f>"50.0512"</f>
        <v>50.0512</v>
      </c>
      <c r="B1818" s="323" t="s">
        <v>4297</v>
      </c>
      <c r="C1818" s="324" t="s">
        <v>4269</v>
      </c>
      <c r="D1818" s="325" t="s">
        <v>7688</v>
      </c>
      <c r="E1818" s="326" t="s">
        <v>7689</v>
      </c>
    </row>
    <row r="1819" spans="1:5" ht="14.5" customHeight="1" x14ac:dyDescent="0.35">
      <c r="A1819" s="196" t="str">
        <f>"50.0599"</f>
        <v>50.0599</v>
      </c>
      <c r="B1819" s="196" t="s">
        <v>5760</v>
      </c>
      <c r="C1819" s="320" t="s">
        <v>4269</v>
      </c>
      <c r="D1819" s="321" t="s">
        <v>7690</v>
      </c>
      <c r="E1819" s="322" t="s">
        <v>7691</v>
      </c>
    </row>
    <row r="1820" spans="1:5" ht="14.5" customHeight="1" x14ac:dyDescent="0.35">
      <c r="A1820" s="196" t="str">
        <f>"50.06"</f>
        <v>50.06</v>
      </c>
      <c r="B1820" s="196" t="s">
        <v>5760</v>
      </c>
      <c r="C1820" s="320" t="s">
        <v>4269</v>
      </c>
      <c r="D1820" s="321" t="s">
        <v>7692</v>
      </c>
      <c r="E1820" s="322" t="s">
        <v>7693</v>
      </c>
    </row>
    <row r="1821" spans="1:5" ht="14.5" customHeight="1" x14ac:dyDescent="0.35">
      <c r="A1821" s="196" t="str">
        <f>"50.0601"</f>
        <v>50.0601</v>
      </c>
      <c r="B1821" s="196" t="s">
        <v>4265</v>
      </c>
      <c r="C1821" s="320" t="s">
        <v>4266</v>
      </c>
      <c r="D1821" s="321" t="s">
        <v>7694</v>
      </c>
      <c r="E1821" s="322" t="s">
        <v>7695</v>
      </c>
    </row>
    <row r="1822" spans="1:5" ht="14.5" customHeight="1" x14ac:dyDescent="0.35">
      <c r="A1822" s="196" t="str">
        <f>"50.0602"</f>
        <v>50.0602</v>
      </c>
      <c r="B1822" s="196" t="s">
        <v>5760</v>
      </c>
      <c r="C1822" s="320" t="s">
        <v>4269</v>
      </c>
      <c r="D1822" s="321" t="s">
        <v>7696</v>
      </c>
      <c r="E1822" s="322" t="s">
        <v>7697</v>
      </c>
    </row>
    <row r="1823" spans="1:5" ht="14.5" customHeight="1" x14ac:dyDescent="0.35">
      <c r="A1823" s="196" t="str">
        <f>"50.0605"</f>
        <v>50.0605</v>
      </c>
      <c r="B1823" s="196" t="s">
        <v>5760</v>
      </c>
      <c r="C1823" s="320" t="s">
        <v>4269</v>
      </c>
      <c r="D1823" s="321" t="s">
        <v>7698</v>
      </c>
      <c r="E1823" s="322" t="s">
        <v>7699</v>
      </c>
    </row>
    <row r="1824" spans="1:5" ht="14.5" customHeight="1" x14ac:dyDescent="0.35">
      <c r="A1824" s="196" t="str">
        <f>"50.0607"</f>
        <v>50.0607</v>
      </c>
      <c r="B1824" s="196" t="s">
        <v>5760</v>
      </c>
      <c r="C1824" s="320" t="s">
        <v>4269</v>
      </c>
      <c r="D1824" s="321" t="s">
        <v>7700</v>
      </c>
      <c r="E1824" s="322" t="s">
        <v>7701</v>
      </c>
    </row>
    <row r="1825" spans="1:5" ht="14.5" customHeight="1" x14ac:dyDescent="0.35">
      <c r="A1825" s="196" t="str">
        <f>"50.0699"</f>
        <v>50.0699</v>
      </c>
      <c r="B1825" s="196" t="s">
        <v>5760</v>
      </c>
      <c r="C1825" s="320" t="s">
        <v>4269</v>
      </c>
      <c r="D1825" s="321" t="s">
        <v>7702</v>
      </c>
      <c r="E1825" s="322" t="s">
        <v>7703</v>
      </c>
    </row>
    <row r="1826" spans="1:5" ht="14.5" customHeight="1" x14ac:dyDescent="0.35">
      <c r="A1826" s="196" t="str">
        <f>"50.07"</f>
        <v>50.07</v>
      </c>
      <c r="B1826" s="196" t="s">
        <v>5760</v>
      </c>
      <c r="C1826" s="320" t="s">
        <v>4269</v>
      </c>
      <c r="D1826" s="321" t="s">
        <v>7704</v>
      </c>
      <c r="E1826" s="322" t="s">
        <v>7705</v>
      </c>
    </row>
    <row r="1827" spans="1:5" ht="14.5" customHeight="1" x14ac:dyDescent="0.35">
      <c r="A1827" s="196" t="str">
        <f>"50.0701"</f>
        <v>50.0701</v>
      </c>
      <c r="B1827" s="196" t="s">
        <v>5760</v>
      </c>
      <c r="C1827" s="320" t="s">
        <v>4269</v>
      </c>
      <c r="D1827" s="321" t="s">
        <v>7706</v>
      </c>
      <c r="E1827" s="322" t="s">
        <v>7707</v>
      </c>
    </row>
    <row r="1828" spans="1:5" ht="14.5" customHeight="1" x14ac:dyDescent="0.35">
      <c r="A1828" s="196" t="str">
        <f>"50.0702"</f>
        <v>50.0702</v>
      </c>
      <c r="B1828" s="196" t="s">
        <v>5760</v>
      </c>
      <c r="C1828" s="320" t="s">
        <v>4269</v>
      </c>
      <c r="D1828" s="321" t="s">
        <v>7708</v>
      </c>
      <c r="E1828" s="322" t="s">
        <v>7709</v>
      </c>
    </row>
    <row r="1829" spans="1:5" ht="14.5" customHeight="1" x14ac:dyDescent="0.35">
      <c r="A1829" s="196" t="str">
        <f>"50.0703"</f>
        <v>50.0703</v>
      </c>
      <c r="B1829" s="196" t="s">
        <v>5760</v>
      </c>
      <c r="C1829" s="320" t="s">
        <v>4269</v>
      </c>
      <c r="D1829" s="321" t="s">
        <v>7710</v>
      </c>
      <c r="E1829" s="322" t="s">
        <v>7711</v>
      </c>
    </row>
    <row r="1830" spans="1:5" ht="14.5" customHeight="1" x14ac:dyDescent="0.35">
      <c r="A1830" s="196" t="str">
        <f>"50.0705"</f>
        <v>50.0705</v>
      </c>
      <c r="B1830" s="196" t="s">
        <v>5760</v>
      </c>
      <c r="C1830" s="320" t="s">
        <v>4269</v>
      </c>
      <c r="D1830" s="321" t="s">
        <v>7712</v>
      </c>
      <c r="E1830" s="322" t="s">
        <v>7713</v>
      </c>
    </row>
    <row r="1831" spans="1:5" ht="14.5" customHeight="1" x14ac:dyDescent="0.35">
      <c r="A1831" s="196" t="str">
        <f>"50.0706"</f>
        <v>50.0706</v>
      </c>
      <c r="B1831" s="196" t="s">
        <v>5760</v>
      </c>
      <c r="C1831" s="320" t="s">
        <v>4269</v>
      </c>
      <c r="D1831" s="321" t="s">
        <v>7714</v>
      </c>
      <c r="E1831" s="322" t="s">
        <v>7715</v>
      </c>
    </row>
    <row r="1832" spans="1:5" ht="14.5" customHeight="1" x14ac:dyDescent="0.35">
      <c r="A1832" s="196" t="str">
        <f>"50.0708"</f>
        <v>50.0708</v>
      </c>
      <c r="B1832" s="196" t="s">
        <v>5760</v>
      </c>
      <c r="C1832" s="320" t="s">
        <v>4269</v>
      </c>
      <c r="D1832" s="321" t="s">
        <v>7716</v>
      </c>
      <c r="E1832" s="322" t="s">
        <v>7717</v>
      </c>
    </row>
    <row r="1833" spans="1:5" ht="14.5" customHeight="1" x14ac:dyDescent="0.35">
      <c r="A1833" s="196" t="str">
        <f>"50.0709"</f>
        <v>50.0709</v>
      </c>
      <c r="B1833" s="196" t="s">
        <v>5760</v>
      </c>
      <c r="C1833" s="320" t="s">
        <v>4269</v>
      </c>
      <c r="D1833" s="321" t="s">
        <v>7718</v>
      </c>
      <c r="E1833" s="322" t="s">
        <v>7719</v>
      </c>
    </row>
    <row r="1834" spans="1:5" ht="14.5" customHeight="1" x14ac:dyDescent="0.35">
      <c r="A1834" s="196" t="str">
        <f>"50.0710"</f>
        <v>50.0710</v>
      </c>
      <c r="B1834" s="196" t="s">
        <v>5760</v>
      </c>
      <c r="C1834" s="320" t="s">
        <v>4269</v>
      </c>
      <c r="D1834" s="321" t="s">
        <v>7720</v>
      </c>
      <c r="E1834" s="322" t="s">
        <v>7721</v>
      </c>
    </row>
    <row r="1835" spans="1:5" ht="14.5" customHeight="1" x14ac:dyDescent="0.35">
      <c r="A1835" s="196" t="str">
        <f>"50.0711"</f>
        <v>50.0711</v>
      </c>
      <c r="B1835" s="196" t="s">
        <v>5760</v>
      </c>
      <c r="C1835" s="320" t="s">
        <v>4269</v>
      </c>
      <c r="D1835" s="321" t="s">
        <v>7722</v>
      </c>
      <c r="E1835" s="322" t="s">
        <v>7723</v>
      </c>
    </row>
    <row r="1836" spans="1:5" ht="14.5" customHeight="1" x14ac:dyDescent="0.35">
      <c r="A1836" s="196" t="str">
        <f>"50.0712"</f>
        <v>50.0712</v>
      </c>
      <c r="B1836" s="196" t="s">
        <v>5760</v>
      </c>
      <c r="C1836" s="320" t="s">
        <v>4269</v>
      </c>
      <c r="D1836" s="321" t="s">
        <v>7724</v>
      </c>
      <c r="E1836" s="322" t="s">
        <v>7725</v>
      </c>
    </row>
    <row r="1837" spans="1:5" ht="14.5" customHeight="1" x14ac:dyDescent="0.35">
      <c r="A1837" s="196" t="str">
        <f>"50.0713"</f>
        <v>50.0713</v>
      </c>
      <c r="B1837" s="196" t="s">
        <v>4265</v>
      </c>
      <c r="C1837" s="320" t="s">
        <v>4266</v>
      </c>
      <c r="D1837" s="321" t="s">
        <v>7726</v>
      </c>
      <c r="E1837" s="322" t="s">
        <v>7727</v>
      </c>
    </row>
    <row r="1838" spans="1:5" s="327" customFormat="1" ht="14.5" customHeight="1" x14ac:dyDescent="0.35">
      <c r="A1838" s="323" t="str">
        <f>"50.0714"</f>
        <v>50.0714</v>
      </c>
      <c r="B1838" s="323" t="s">
        <v>4297</v>
      </c>
      <c r="C1838" s="324" t="s">
        <v>4269</v>
      </c>
      <c r="D1838" s="325" t="s">
        <v>7728</v>
      </c>
      <c r="E1838" s="326" t="s">
        <v>7729</v>
      </c>
    </row>
    <row r="1839" spans="1:5" ht="14.5" customHeight="1" x14ac:dyDescent="0.35">
      <c r="A1839" s="196" t="str">
        <f>"50.0799"</f>
        <v>50.0799</v>
      </c>
      <c r="B1839" s="196" t="s">
        <v>5760</v>
      </c>
      <c r="C1839" s="320" t="s">
        <v>4269</v>
      </c>
      <c r="D1839" s="321" t="s">
        <v>7730</v>
      </c>
      <c r="E1839" s="322" t="s">
        <v>7731</v>
      </c>
    </row>
    <row r="1840" spans="1:5" ht="14.5" customHeight="1" x14ac:dyDescent="0.35">
      <c r="A1840" s="196" t="str">
        <f>"50.09"</f>
        <v>50.09</v>
      </c>
      <c r="B1840" s="196" t="s">
        <v>5760</v>
      </c>
      <c r="C1840" s="320" t="s">
        <v>4269</v>
      </c>
      <c r="D1840" s="321" t="s">
        <v>6760</v>
      </c>
      <c r="E1840" s="322" t="s">
        <v>7732</v>
      </c>
    </row>
    <row r="1841" spans="1:5" ht="14.5" customHeight="1" x14ac:dyDescent="0.35">
      <c r="A1841" s="196" t="str">
        <f>"50.0901"</f>
        <v>50.0901</v>
      </c>
      <c r="B1841" s="196" t="s">
        <v>5760</v>
      </c>
      <c r="C1841" s="320" t="s">
        <v>4269</v>
      </c>
      <c r="D1841" s="321" t="s">
        <v>7733</v>
      </c>
      <c r="E1841" s="322" t="s">
        <v>7734</v>
      </c>
    </row>
    <row r="1842" spans="1:5" ht="14.5" customHeight="1" x14ac:dyDescent="0.35">
      <c r="A1842" s="196" t="str">
        <f>"50.0902"</f>
        <v>50.0902</v>
      </c>
      <c r="B1842" s="196" t="s">
        <v>5760</v>
      </c>
      <c r="C1842" s="320" t="s">
        <v>4269</v>
      </c>
      <c r="D1842" s="321" t="s">
        <v>7735</v>
      </c>
      <c r="E1842" s="322" t="s">
        <v>7736</v>
      </c>
    </row>
    <row r="1843" spans="1:5" ht="14.5" customHeight="1" x14ac:dyDescent="0.35">
      <c r="A1843" s="196" t="str">
        <f>"50.0903"</f>
        <v>50.0903</v>
      </c>
      <c r="B1843" s="196" t="s">
        <v>5760</v>
      </c>
      <c r="C1843" s="320" t="s">
        <v>4269</v>
      </c>
      <c r="D1843" s="321" t="s">
        <v>7737</v>
      </c>
      <c r="E1843" s="322" t="s">
        <v>7738</v>
      </c>
    </row>
    <row r="1844" spans="1:5" ht="14.5" customHeight="1" x14ac:dyDescent="0.35">
      <c r="A1844" s="196" t="str">
        <f>"50.0904"</f>
        <v>50.0904</v>
      </c>
      <c r="B1844" s="196" t="s">
        <v>5760</v>
      </c>
      <c r="C1844" s="320" t="s">
        <v>4269</v>
      </c>
      <c r="D1844" s="321" t="s">
        <v>7739</v>
      </c>
      <c r="E1844" s="322" t="s">
        <v>7740</v>
      </c>
    </row>
    <row r="1845" spans="1:5" ht="14.5" customHeight="1" x14ac:dyDescent="0.35">
      <c r="A1845" s="196" t="str">
        <f>"50.0905"</f>
        <v>50.0905</v>
      </c>
      <c r="B1845" s="196" t="s">
        <v>5760</v>
      </c>
      <c r="C1845" s="320" t="s">
        <v>4269</v>
      </c>
      <c r="D1845" s="321" t="s">
        <v>7741</v>
      </c>
      <c r="E1845" s="322" t="s">
        <v>7742</v>
      </c>
    </row>
    <row r="1846" spans="1:5" ht="14.5" customHeight="1" x14ac:dyDescent="0.35">
      <c r="A1846" s="196" t="str">
        <f>"50.0906"</f>
        <v>50.0906</v>
      </c>
      <c r="B1846" s="196" t="s">
        <v>5760</v>
      </c>
      <c r="C1846" s="320" t="s">
        <v>4269</v>
      </c>
      <c r="D1846" s="321" t="s">
        <v>7743</v>
      </c>
      <c r="E1846" s="322" t="s">
        <v>7744</v>
      </c>
    </row>
    <row r="1847" spans="1:5" ht="14.5" customHeight="1" x14ac:dyDescent="0.35">
      <c r="A1847" s="196" t="str">
        <f>"50.0907"</f>
        <v>50.0907</v>
      </c>
      <c r="B1847" s="196" t="s">
        <v>5760</v>
      </c>
      <c r="C1847" s="320" t="s">
        <v>4269</v>
      </c>
      <c r="D1847" s="321" t="s">
        <v>7745</v>
      </c>
      <c r="E1847" s="322" t="s">
        <v>7746</v>
      </c>
    </row>
    <row r="1848" spans="1:5" ht="14.5" customHeight="1" x14ac:dyDescent="0.35">
      <c r="A1848" s="196" t="str">
        <f>"50.0908"</f>
        <v>50.0908</v>
      </c>
      <c r="B1848" s="196" t="s">
        <v>5760</v>
      </c>
      <c r="C1848" s="320" t="s">
        <v>4269</v>
      </c>
      <c r="D1848" s="321" t="s">
        <v>7747</v>
      </c>
      <c r="E1848" s="322" t="s">
        <v>7748</v>
      </c>
    </row>
    <row r="1849" spans="1:5" ht="14.5" customHeight="1" x14ac:dyDescent="0.35">
      <c r="A1849" s="196" t="str">
        <f>"50.0910"</f>
        <v>50.0910</v>
      </c>
      <c r="B1849" s="196" t="s">
        <v>5760</v>
      </c>
      <c r="C1849" s="320" t="s">
        <v>4269</v>
      </c>
      <c r="D1849" s="321" t="s">
        <v>7749</v>
      </c>
      <c r="E1849" s="322" t="s">
        <v>7750</v>
      </c>
    </row>
    <row r="1850" spans="1:5" ht="14.5" customHeight="1" x14ac:dyDescent="0.35">
      <c r="A1850" s="196" t="str">
        <f>"50.0911"</f>
        <v>50.0911</v>
      </c>
      <c r="B1850" s="196" t="s">
        <v>5760</v>
      </c>
      <c r="C1850" s="320" t="s">
        <v>4269</v>
      </c>
      <c r="D1850" s="321" t="s">
        <v>7751</v>
      </c>
      <c r="E1850" s="322" t="s">
        <v>7752</v>
      </c>
    </row>
    <row r="1851" spans="1:5" ht="14.5" customHeight="1" x14ac:dyDescent="0.35">
      <c r="A1851" s="196" t="str">
        <f>"50.0912"</f>
        <v>50.0912</v>
      </c>
      <c r="B1851" s="196" t="s">
        <v>5760</v>
      </c>
      <c r="C1851" s="320" t="s">
        <v>4269</v>
      </c>
      <c r="D1851" s="321" t="s">
        <v>7753</v>
      </c>
      <c r="E1851" s="322" t="s">
        <v>7754</v>
      </c>
    </row>
    <row r="1852" spans="1:5" ht="14.5" customHeight="1" x14ac:dyDescent="0.35">
      <c r="A1852" s="196" t="str">
        <f>"50.0913"</f>
        <v>50.0913</v>
      </c>
      <c r="B1852" s="196" t="s">
        <v>5760</v>
      </c>
      <c r="C1852" s="320" t="s">
        <v>4269</v>
      </c>
      <c r="D1852" s="321" t="s">
        <v>7755</v>
      </c>
      <c r="E1852" s="322" t="s">
        <v>7756</v>
      </c>
    </row>
    <row r="1853" spans="1:5" ht="14.5" customHeight="1" x14ac:dyDescent="0.35">
      <c r="A1853" s="196" t="str">
        <f>"50.0914"</f>
        <v>50.0914</v>
      </c>
      <c r="B1853" s="196" t="s">
        <v>5760</v>
      </c>
      <c r="C1853" s="320" t="s">
        <v>4269</v>
      </c>
      <c r="D1853" s="321" t="s">
        <v>7757</v>
      </c>
      <c r="E1853" s="322" t="s">
        <v>7758</v>
      </c>
    </row>
    <row r="1854" spans="1:5" ht="14.5" customHeight="1" x14ac:dyDescent="0.35">
      <c r="A1854" s="196" t="str">
        <f>"50.0915"</f>
        <v>50.0915</v>
      </c>
      <c r="B1854" s="196" t="s">
        <v>5760</v>
      </c>
      <c r="C1854" s="320" t="s">
        <v>4269</v>
      </c>
      <c r="D1854" s="321" t="s">
        <v>7759</v>
      </c>
      <c r="E1854" s="322" t="s">
        <v>7760</v>
      </c>
    </row>
    <row r="1855" spans="1:5" ht="14.5" customHeight="1" x14ac:dyDescent="0.35">
      <c r="A1855" s="196" t="str">
        <f>"50.0916"</f>
        <v>50.0916</v>
      </c>
      <c r="B1855" s="196" t="s">
        <v>5760</v>
      </c>
      <c r="C1855" s="320" t="s">
        <v>4269</v>
      </c>
      <c r="D1855" s="321" t="s">
        <v>7761</v>
      </c>
      <c r="E1855" s="322" t="s">
        <v>7762</v>
      </c>
    </row>
    <row r="1856" spans="1:5" s="327" customFormat="1" ht="14.5" customHeight="1" x14ac:dyDescent="0.35">
      <c r="A1856" s="323" t="str">
        <f>"50.0917"</f>
        <v>50.0917</v>
      </c>
      <c r="B1856" s="323" t="s">
        <v>4297</v>
      </c>
      <c r="C1856" s="324" t="s">
        <v>4269</v>
      </c>
      <c r="D1856" s="325" t="s">
        <v>7763</v>
      </c>
      <c r="E1856" s="326" t="s">
        <v>7764</v>
      </c>
    </row>
    <row r="1857" spans="1:5" ht="14.5" customHeight="1" x14ac:dyDescent="0.35">
      <c r="A1857" s="196" t="str">
        <f>"50.0999"</f>
        <v>50.0999</v>
      </c>
      <c r="B1857" s="196" t="s">
        <v>5760</v>
      </c>
      <c r="C1857" s="320" t="s">
        <v>4269</v>
      </c>
      <c r="D1857" s="321" t="s">
        <v>7765</v>
      </c>
      <c r="E1857" s="322" t="s">
        <v>7766</v>
      </c>
    </row>
    <row r="1858" spans="1:5" ht="14.5" customHeight="1" x14ac:dyDescent="0.35">
      <c r="A1858" s="196" t="str">
        <f>"50.10"</f>
        <v>50.10</v>
      </c>
      <c r="B1858" s="196" t="s">
        <v>5760</v>
      </c>
      <c r="C1858" s="320" t="s">
        <v>4269</v>
      </c>
      <c r="D1858" s="321" t="s">
        <v>7767</v>
      </c>
      <c r="E1858" s="322" t="s">
        <v>7768</v>
      </c>
    </row>
    <row r="1859" spans="1:5" ht="14.5" customHeight="1" x14ac:dyDescent="0.35">
      <c r="A1859" s="196" t="str">
        <f>"50.1001"</f>
        <v>50.1001</v>
      </c>
      <c r="B1859" s="196" t="s">
        <v>5760</v>
      </c>
      <c r="C1859" s="320" t="s">
        <v>4269</v>
      </c>
      <c r="D1859" s="321" t="s">
        <v>7769</v>
      </c>
      <c r="E1859" s="322" t="s">
        <v>7770</v>
      </c>
    </row>
    <row r="1860" spans="1:5" ht="14.5" customHeight="1" x14ac:dyDescent="0.35">
      <c r="A1860" s="196" t="str">
        <f>"50.1002"</f>
        <v>50.1002</v>
      </c>
      <c r="B1860" s="196" t="s">
        <v>5760</v>
      </c>
      <c r="C1860" s="320" t="s">
        <v>4269</v>
      </c>
      <c r="D1860" s="321" t="s">
        <v>7771</v>
      </c>
      <c r="E1860" s="322" t="s">
        <v>7772</v>
      </c>
    </row>
    <row r="1861" spans="1:5" ht="14.5" customHeight="1" x14ac:dyDescent="0.35">
      <c r="A1861" s="196" t="str">
        <f>"50.1003"</f>
        <v>50.1003</v>
      </c>
      <c r="B1861" s="196" t="s">
        <v>5760</v>
      </c>
      <c r="C1861" s="320" t="s">
        <v>4269</v>
      </c>
      <c r="D1861" s="321" t="s">
        <v>7773</v>
      </c>
      <c r="E1861" s="322" t="s">
        <v>7774</v>
      </c>
    </row>
    <row r="1862" spans="1:5" ht="14.5" customHeight="1" x14ac:dyDescent="0.35">
      <c r="A1862" s="196" t="str">
        <f>"50.1004"</f>
        <v>50.1004</v>
      </c>
      <c r="B1862" s="196" t="s">
        <v>5760</v>
      </c>
      <c r="C1862" s="320" t="s">
        <v>4269</v>
      </c>
      <c r="D1862" s="321" t="s">
        <v>7775</v>
      </c>
      <c r="E1862" s="322" t="s">
        <v>7776</v>
      </c>
    </row>
    <row r="1863" spans="1:5" ht="14.5" customHeight="1" x14ac:dyDescent="0.35">
      <c r="A1863" s="196" t="str">
        <f>"50.1099"</f>
        <v>50.1099</v>
      </c>
      <c r="B1863" s="196" t="s">
        <v>5760</v>
      </c>
      <c r="C1863" s="320" t="s">
        <v>4269</v>
      </c>
      <c r="D1863" s="321" t="s">
        <v>7777</v>
      </c>
      <c r="E1863" s="322" t="s">
        <v>7778</v>
      </c>
    </row>
    <row r="1864" spans="1:5" s="327" customFormat="1" ht="14.5" customHeight="1" x14ac:dyDescent="0.35">
      <c r="A1864" s="323" t="str">
        <f>"50.11"</f>
        <v>50.11</v>
      </c>
      <c r="B1864" s="323" t="s">
        <v>4297</v>
      </c>
      <c r="C1864" s="324" t="s">
        <v>4269</v>
      </c>
      <c r="D1864" s="325" t="s">
        <v>7779</v>
      </c>
      <c r="E1864" s="326" t="s">
        <v>7780</v>
      </c>
    </row>
    <row r="1865" spans="1:5" s="327" customFormat="1" ht="14.5" customHeight="1" x14ac:dyDescent="0.35">
      <c r="A1865" s="323" t="str">
        <f>"50.1101"</f>
        <v>50.1101</v>
      </c>
      <c r="B1865" s="323" t="s">
        <v>4297</v>
      </c>
      <c r="C1865" s="324" t="s">
        <v>4269</v>
      </c>
      <c r="D1865" s="325" t="s">
        <v>7779</v>
      </c>
      <c r="E1865" s="326" t="s">
        <v>7781</v>
      </c>
    </row>
    <row r="1866" spans="1:5" ht="14.5" customHeight="1" x14ac:dyDescent="0.35">
      <c r="A1866" s="196" t="str">
        <f>"50.99"</f>
        <v>50.99</v>
      </c>
      <c r="B1866" s="196" t="s">
        <v>5760</v>
      </c>
      <c r="C1866" s="320" t="s">
        <v>4269</v>
      </c>
      <c r="D1866" s="321" t="s">
        <v>7782</v>
      </c>
      <c r="E1866" s="322" t="s">
        <v>7783</v>
      </c>
    </row>
    <row r="1867" spans="1:5" ht="14.5" customHeight="1" x14ac:dyDescent="0.35">
      <c r="A1867" s="196" t="str">
        <f>"50.9999"</f>
        <v>50.9999</v>
      </c>
      <c r="B1867" s="196" t="s">
        <v>5760</v>
      </c>
      <c r="C1867" s="320" t="s">
        <v>4269</v>
      </c>
      <c r="D1867" s="321" t="s">
        <v>7782</v>
      </c>
      <c r="E1867" s="322" t="s">
        <v>7784</v>
      </c>
    </row>
    <row r="1868" spans="1:5" ht="14.5" customHeight="1" x14ac:dyDescent="0.35">
      <c r="A1868" s="196" t="str">
        <f>"51"</f>
        <v>51</v>
      </c>
      <c r="B1868" s="196" t="s">
        <v>5760</v>
      </c>
      <c r="C1868" s="320" t="s">
        <v>4269</v>
      </c>
      <c r="D1868" s="321" t="s">
        <v>7785</v>
      </c>
      <c r="E1868" s="322" t="s">
        <v>7786</v>
      </c>
    </row>
    <row r="1869" spans="1:5" ht="14.5" customHeight="1" x14ac:dyDescent="0.35">
      <c r="A1869" s="196" t="str">
        <f>"51.00"</f>
        <v>51.00</v>
      </c>
      <c r="B1869" s="196" t="s">
        <v>5760</v>
      </c>
      <c r="C1869" s="320" t="s">
        <v>4269</v>
      </c>
      <c r="D1869" s="321" t="s">
        <v>7787</v>
      </c>
      <c r="E1869" s="322" t="s">
        <v>7788</v>
      </c>
    </row>
    <row r="1870" spans="1:5" ht="14.5" customHeight="1" x14ac:dyDescent="0.35">
      <c r="A1870" s="196" t="str">
        <f>"51.0000"</f>
        <v>51.0000</v>
      </c>
      <c r="B1870" s="196" t="s">
        <v>5760</v>
      </c>
      <c r="C1870" s="320" t="s">
        <v>4269</v>
      </c>
      <c r="D1870" s="321" t="s">
        <v>7787</v>
      </c>
      <c r="E1870" s="322" t="s">
        <v>7789</v>
      </c>
    </row>
    <row r="1871" spans="1:5" ht="14.5" customHeight="1" x14ac:dyDescent="0.35">
      <c r="A1871" s="196" t="str">
        <f>"51.0001"</f>
        <v>51.0001</v>
      </c>
      <c r="B1871" s="196" t="s">
        <v>5760</v>
      </c>
      <c r="C1871" s="320" t="s">
        <v>4269</v>
      </c>
      <c r="D1871" s="321" t="s">
        <v>7790</v>
      </c>
      <c r="E1871" s="322" t="s">
        <v>7791</v>
      </c>
    </row>
    <row r="1872" spans="1:5" ht="14.5" customHeight="1" x14ac:dyDescent="0.35">
      <c r="A1872" s="196" t="str">
        <f>"51.01"</f>
        <v>51.01</v>
      </c>
      <c r="B1872" s="196" t="s">
        <v>5760</v>
      </c>
      <c r="C1872" s="320" t="s">
        <v>4269</v>
      </c>
      <c r="D1872" s="321" t="s">
        <v>7792</v>
      </c>
      <c r="E1872" s="322" t="s">
        <v>7793</v>
      </c>
    </row>
    <row r="1873" spans="1:5" ht="14.5" customHeight="1" x14ac:dyDescent="0.35">
      <c r="A1873" s="196" t="str">
        <f>"51.0101"</f>
        <v>51.0101</v>
      </c>
      <c r="B1873" s="196" t="s">
        <v>5760</v>
      </c>
      <c r="C1873" s="320" t="s">
        <v>4269</v>
      </c>
      <c r="D1873" s="321" t="s">
        <v>7792</v>
      </c>
      <c r="E1873" s="322" t="s">
        <v>7794</v>
      </c>
    </row>
    <row r="1874" spans="1:5" ht="14.5" customHeight="1" x14ac:dyDescent="0.35">
      <c r="A1874" s="196" t="str">
        <f>"51.02"</f>
        <v>51.02</v>
      </c>
      <c r="B1874" s="196" t="s">
        <v>5760</v>
      </c>
      <c r="C1874" s="320" t="s">
        <v>4269</v>
      </c>
      <c r="D1874" s="321" t="s">
        <v>7795</v>
      </c>
      <c r="E1874" s="322" t="s">
        <v>7796</v>
      </c>
    </row>
    <row r="1875" spans="1:5" ht="14.5" customHeight="1" x14ac:dyDescent="0.35">
      <c r="A1875" s="196" t="str">
        <f>"51.0201"</f>
        <v>51.0201</v>
      </c>
      <c r="B1875" s="196" t="s">
        <v>5760</v>
      </c>
      <c r="C1875" s="320" t="s">
        <v>4269</v>
      </c>
      <c r="D1875" s="321" t="s">
        <v>7797</v>
      </c>
      <c r="E1875" s="322" t="s">
        <v>7798</v>
      </c>
    </row>
    <row r="1876" spans="1:5" ht="14.5" customHeight="1" x14ac:dyDescent="0.35">
      <c r="A1876" s="196" t="str">
        <f>"51.0202"</f>
        <v>51.0202</v>
      </c>
      <c r="B1876" s="196" t="s">
        <v>5760</v>
      </c>
      <c r="C1876" s="320" t="s">
        <v>4269</v>
      </c>
      <c r="D1876" s="321" t="s">
        <v>7799</v>
      </c>
      <c r="E1876" s="322" t="s">
        <v>7800</v>
      </c>
    </row>
    <row r="1877" spans="1:5" ht="14.5" customHeight="1" x14ac:dyDescent="0.35">
      <c r="A1877" s="196" t="str">
        <f>"51.0203"</f>
        <v>51.0203</v>
      </c>
      <c r="B1877" s="196" t="s">
        <v>5760</v>
      </c>
      <c r="C1877" s="320" t="s">
        <v>4269</v>
      </c>
      <c r="D1877" s="321" t="s">
        <v>7801</v>
      </c>
      <c r="E1877" s="322" t="s">
        <v>7802</v>
      </c>
    </row>
    <row r="1878" spans="1:5" ht="14.5" customHeight="1" x14ac:dyDescent="0.35">
      <c r="A1878" s="196" t="str">
        <f>"51.0204"</f>
        <v>51.0204</v>
      </c>
      <c r="B1878" s="196" t="s">
        <v>5760</v>
      </c>
      <c r="C1878" s="320" t="s">
        <v>4269</v>
      </c>
      <c r="D1878" s="321" t="s">
        <v>7803</v>
      </c>
      <c r="E1878" s="322" t="s">
        <v>7804</v>
      </c>
    </row>
    <row r="1879" spans="1:5" ht="14.5" customHeight="1" x14ac:dyDescent="0.35">
      <c r="A1879" s="196" t="str">
        <f>"51.0299"</f>
        <v>51.0299</v>
      </c>
      <c r="B1879" s="196" t="s">
        <v>5760</v>
      </c>
      <c r="C1879" s="320" t="s">
        <v>4269</v>
      </c>
      <c r="D1879" s="321" t="s">
        <v>7805</v>
      </c>
      <c r="E1879" s="322" t="s">
        <v>7806</v>
      </c>
    </row>
    <row r="1880" spans="1:5" ht="14.5" customHeight="1" x14ac:dyDescent="0.35">
      <c r="A1880" s="196" t="str">
        <f>"51.04"</f>
        <v>51.04</v>
      </c>
      <c r="B1880" s="196" t="s">
        <v>5760</v>
      </c>
      <c r="C1880" s="320" t="s">
        <v>4269</v>
      </c>
      <c r="D1880" s="321" t="s">
        <v>7807</v>
      </c>
      <c r="E1880" s="322" t="s">
        <v>7808</v>
      </c>
    </row>
    <row r="1881" spans="1:5" ht="14.5" customHeight="1" x14ac:dyDescent="0.35">
      <c r="A1881" s="196" t="str">
        <f>"51.0401"</f>
        <v>51.0401</v>
      </c>
      <c r="B1881" s="196" t="s">
        <v>5760</v>
      </c>
      <c r="C1881" s="320" t="s">
        <v>4269</v>
      </c>
      <c r="D1881" s="321" t="s">
        <v>7807</v>
      </c>
      <c r="E1881" s="322" t="s">
        <v>7809</v>
      </c>
    </row>
    <row r="1882" spans="1:5" ht="14.5" customHeight="1" x14ac:dyDescent="0.35">
      <c r="A1882" s="196" t="str">
        <f>"51.05"</f>
        <v>51.05</v>
      </c>
      <c r="B1882" s="196" t="s">
        <v>5760</v>
      </c>
      <c r="C1882" s="320" t="s">
        <v>4269</v>
      </c>
      <c r="D1882" s="321" t="s">
        <v>7810</v>
      </c>
      <c r="E1882" s="322" t="s">
        <v>7811</v>
      </c>
    </row>
    <row r="1883" spans="1:5" ht="14.5" customHeight="1" x14ac:dyDescent="0.35">
      <c r="A1883" s="196" t="str">
        <f>"51.0501"</f>
        <v>51.0501</v>
      </c>
      <c r="B1883" s="196" t="s">
        <v>5760</v>
      </c>
      <c r="C1883" s="320" t="s">
        <v>4269</v>
      </c>
      <c r="D1883" s="321" t="s">
        <v>7812</v>
      </c>
      <c r="E1883" s="322" t="s">
        <v>7813</v>
      </c>
    </row>
    <row r="1884" spans="1:5" ht="14.5" customHeight="1" x14ac:dyDescent="0.35">
      <c r="A1884" s="196" t="str">
        <f>"51.0502"</f>
        <v>51.0502</v>
      </c>
      <c r="B1884" s="196" t="s">
        <v>5760</v>
      </c>
      <c r="C1884" s="320" t="s">
        <v>4269</v>
      </c>
      <c r="D1884" s="321" t="s">
        <v>7814</v>
      </c>
      <c r="E1884" s="322" t="s">
        <v>7815</v>
      </c>
    </row>
    <row r="1885" spans="1:5" ht="14.5" customHeight="1" x14ac:dyDescent="0.35">
      <c r="A1885" s="196" t="str">
        <f>"51.0503"</f>
        <v>51.0503</v>
      </c>
      <c r="B1885" s="196" t="s">
        <v>5760</v>
      </c>
      <c r="C1885" s="320" t="s">
        <v>4269</v>
      </c>
      <c r="D1885" s="321" t="s">
        <v>7816</v>
      </c>
      <c r="E1885" s="322" t="s">
        <v>7817</v>
      </c>
    </row>
    <row r="1886" spans="1:5" ht="14.5" customHeight="1" x14ac:dyDescent="0.35">
      <c r="A1886" s="196" t="str">
        <f>"51.0504"</f>
        <v>51.0504</v>
      </c>
      <c r="B1886" s="196" t="s">
        <v>5760</v>
      </c>
      <c r="C1886" s="320" t="s">
        <v>4269</v>
      </c>
      <c r="D1886" s="321" t="s">
        <v>7818</v>
      </c>
      <c r="E1886" s="322" t="s">
        <v>7819</v>
      </c>
    </row>
    <row r="1887" spans="1:5" ht="14.5" customHeight="1" x14ac:dyDescent="0.35">
      <c r="A1887" s="196" t="str">
        <f>"51.0505"</f>
        <v>51.0505</v>
      </c>
      <c r="B1887" s="196" t="s">
        <v>5760</v>
      </c>
      <c r="C1887" s="320" t="s">
        <v>4269</v>
      </c>
      <c r="D1887" s="321" t="s">
        <v>7820</v>
      </c>
      <c r="E1887" s="322" t="s">
        <v>7821</v>
      </c>
    </row>
    <row r="1888" spans="1:5" ht="14.5" customHeight="1" x14ac:dyDescent="0.35">
      <c r="A1888" s="196" t="str">
        <f>"51.0506"</f>
        <v>51.0506</v>
      </c>
      <c r="B1888" s="196" t="s">
        <v>5760</v>
      </c>
      <c r="C1888" s="320" t="s">
        <v>4269</v>
      </c>
      <c r="D1888" s="321" t="s">
        <v>7822</v>
      </c>
      <c r="E1888" s="322" t="s">
        <v>7823</v>
      </c>
    </row>
    <row r="1889" spans="1:5" ht="14.5" customHeight="1" x14ac:dyDescent="0.35">
      <c r="A1889" s="196" t="str">
        <f>"51.0507"</f>
        <v>51.0507</v>
      </c>
      <c r="B1889" s="196" t="s">
        <v>5760</v>
      </c>
      <c r="C1889" s="320" t="s">
        <v>4269</v>
      </c>
      <c r="D1889" s="321" t="s">
        <v>7824</v>
      </c>
      <c r="E1889" s="322" t="s">
        <v>7825</v>
      </c>
    </row>
    <row r="1890" spans="1:5" ht="14.5" customHeight="1" x14ac:dyDescent="0.35">
      <c r="A1890" s="196" t="str">
        <f>"51.0508"</f>
        <v>51.0508</v>
      </c>
      <c r="B1890" s="196" t="s">
        <v>5760</v>
      </c>
      <c r="C1890" s="320" t="s">
        <v>4269</v>
      </c>
      <c r="D1890" s="321" t="s">
        <v>7826</v>
      </c>
      <c r="E1890" s="322" t="s">
        <v>7827</v>
      </c>
    </row>
    <row r="1891" spans="1:5" ht="14.5" customHeight="1" x14ac:dyDescent="0.35">
      <c r="A1891" s="196" t="str">
        <f>"51.0509"</f>
        <v>51.0509</v>
      </c>
      <c r="B1891" s="196" t="s">
        <v>5760</v>
      </c>
      <c r="C1891" s="320" t="s">
        <v>4269</v>
      </c>
      <c r="D1891" s="321" t="s">
        <v>7828</v>
      </c>
      <c r="E1891" s="322" t="s">
        <v>7829</v>
      </c>
    </row>
    <row r="1892" spans="1:5" ht="14.5" customHeight="1" x14ac:dyDescent="0.35">
      <c r="A1892" s="196" t="str">
        <f>"51.0510"</f>
        <v>51.0510</v>
      </c>
      <c r="B1892" s="196" t="s">
        <v>5760</v>
      </c>
      <c r="C1892" s="320" t="s">
        <v>4269</v>
      </c>
      <c r="D1892" s="321" t="s">
        <v>7830</v>
      </c>
      <c r="E1892" s="322" t="s">
        <v>7831</v>
      </c>
    </row>
    <row r="1893" spans="1:5" ht="14.5" customHeight="1" x14ac:dyDescent="0.35">
      <c r="A1893" s="196" t="str">
        <f>"51.0511"</f>
        <v>51.0511</v>
      </c>
      <c r="B1893" s="196" t="s">
        <v>5760</v>
      </c>
      <c r="C1893" s="320" t="s">
        <v>4269</v>
      </c>
      <c r="D1893" s="321" t="s">
        <v>7832</v>
      </c>
      <c r="E1893" s="322" t="s">
        <v>7833</v>
      </c>
    </row>
    <row r="1894" spans="1:5" s="327" customFormat="1" ht="14.5" customHeight="1" x14ac:dyDescent="0.35">
      <c r="A1894" s="323" t="str">
        <f>"51.0512"</f>
        <v>51.0512</v>
      </c>
      <c r="B1894" s="323" t="s">
        <v>4297</v>
      </c>
      <c r="C1894" s="324" t="s">
        <v>4269</v>
      </c>
      <c r="D1894" s="325" t="s">
        <v>7834</v>
      </c>
      <c r="E1894" s="326" t="s">
        <v>7835</v>
      </c>
    </row>
    <row r="1895" spans="1:5" s="327" customFormat="1" ht="14.5" customHeight="1" x14ac:dyDescent="0.35">
      <c r="A1895" s="323" t="str">
        <f>"51.0513"</f>
        <v>51.0513</v>
      </c>
      <c r="B1895" s="323" t="s">
        <v>4297</v>
      </c>
      <c r="C1895" s="324" t="s">
        <v>4269</v>
      </c>
      <c r="D1895" s="325" t="s">
        <v>7836</v>
      </c>
      <c r="E1895" s="326" t="s">
        <v>7837</v>
      </c>
    </row>
    <row r="1896" spans="1:5" s="327" customFormat="1" ht="14.5" customHeight="1" x14ac:dyDescent="0.35">
      <c r="A1896" s="323" t="str">
        <f>"51.0514"</f>
        <v>51.0514</v>
      </c>
      <c r="B1896" s="323" t="s">
        <v>4297</v>
      </c>
      <c r="C1896" s="324" t="s">
        <v>4269</v>
      </c>
      <c r="D1896" s="325" t="s">
        <v>7838</v>
      </c>
      <c r="E1896" s="326" t="s">
        <v>7839</v>
      </c>
    </row>
    <row r="1897" spans="1:5" ht="14.5" customHeight="1" x14ac:dyDescent="0.35">
      <c r="A1897" s="196" t="str">
        <f>"51.0599"</f>
        <v>51.0599</v>
      </c>
      <c r="B1897" s="196" t="s">
        <v>5760</v>
      </c>
      <c r="C1897" s="320" t="s">
        <v>4269</v>
      </c>
      <c r="D1897" s="321" t="s">
        <v>7840</v>
      </c>
      <c r="E1897" s="322" t="s">
        <v>7841</v>
      </c>
    </row>
    <row r="1898" spans="1:5" ht="14.5" customHeight="1" x14ac:dyDescent="0.35">
      <c r="A1898" s="196" t="str">
        <f>"51.06"</f>
        <v>51.06</v>
      </c>
      <c r="B1898" s="196" t="s">
        <v>5760</v>
      </c>
      <c r="C1898" s="320" t="s">
        <v>4269</v>
      </c>
      <c r="D1898" s="321" t="s">
        <v>7842</v>
      </c>
      <c r="E1898" s="322" t="s">
        <v>7843</v>
      </c>
    </row>
    <row r="1899" spans="1:5" ht="14.5" customHeight="1" x14ac:dyDescent="0.35">
      <c r="A1899" s="196" t="str">
        <f>"51.0601"</f>
        <v>51.0601</v>
      </c>
      <c r="B1899" s="196" t="s">
        <v>5760</v>
      </c>
      <c r="C1899" s="320" t="s">
        <v>4269</v>
      </c>
      <c r="D1899" s="321" t="s">
        <v>7844</v>
      </c>
      <c r="E1899" s="322" t="s">
        <v>7845</v>
      </c>
    </row>
    <row r="1900" spans="1:5" ht="14.5" customHeight="1" x14ac:dyDescent="0.35">
      <c r="A1900" s="196" t="str">
        <f>"51.0602"</f>
        <v>51.0602</v>
      </c>
      <c r="B1900" s="196" t="s">
        <v>5760</v>
      </c>
      <c r="C1900" s="320" t="s">
        <v>4269</v>
      </c>
      <c r="D1900" s="321" t="s">
        <v>7846</v>
      </c>
      <c r="E1900" s="322" t="s">
        <v>7847</v>
      </c>
    </row>
    <row r="1901" spans="1:5" ht="14.5" customHeight="1" x14ac:dyDescent="0.35">
      <c r="A1901" s="196" t="str">
        <f>"51.0603"</f>
        <v>51.0603</v>
      </c>
      <c r="B1901" s="196" t="s">
        <v>5760</v>
      </c>
      <c r="C1901" s="320" t="s">
        <v>4269</v>
      </c>
      <c r="D1901" s="321" t="s">
        <v>7848</v>
      </c>
      <c r="E1901" s="322" t="s">
        <v>7849</v>
      </c>
    </row>
    <row r="1902" spans="1:5" ht="14.5" customHeight="1" x14ac:dyDescent="0.35">
      <c r="A1902" s="196" t="str">
        <f>"51.0699"</f>
        <v>51.0699</v>
      </c>
      <c r="B1902" s="196" t="s">
        <v>5760</v>
      </c>
      <c r="C1902" s="320" t="s">
        <v>4269</v>
      </c>
      <c r="D1902" s="321" t="s">
        <v>7850</v>
      </c>
      <c r="E1902" s="322" t="s">
        <v>7851</v>
      </c>
    </row>
    <row r="1903" spans="1:5" ht="14.5" customHeight="1" x14ac:dyDescent="0.35">
      <c r="A1903" s="196" t="str">
        <f>"51.07"</f>
        <v>51.07</v>
      </c>
      <c r="B1903" s="196" t="s">
        <v>5760</v>
      </c>
      <c r="C1903" s="320" t="s">
        <v>4269</v>
      </c>
      <c r="D1903" s="321" t="s">
        <v>7852</v>
      </c>
      <c r="E1903" s="322" t="s">
        <v>7853</v>
      </c>
    </row>
    <row r="1904" spans="1:5" ht="14.5" customHeight="1" x14ac:dyDescent="0.35">
      <c r="A1904" s="196" t="str">
        <f>"51.0701"</f>
        <v>51.0701</v>
      </c>
      <c r="B1904" s="196" t="s">
        <v>5760</v>
      </c>
      <c r="C1904" s="320" t="s">
        <v>4269</v>
      </c>
      <c r="D1904" s="321" t="s">
        <v>7854</v>
      </c>
      <c r="E1904" s="322" t="s">
        <v>7855</v>
      </c>
    </row>
    <row r="1905" spans="1:5" ht="14.5" customHeight="1" x14ac:dyDescent="0.35">
      <c r="A1905" s="196" t="str">
        <f>"51.0702"</f>
        <v>51.0702</v>
      </c>
      <c r="B1905" s="196" t="s">
        <v>5760</v>
      </c>
      <c r="C1905" s="320" t="s">
        <v>4269</v>
      </c>
      <c r="D1905" s="321" t="s">
        <v>7856</v>
      </c>
      <c r="E1905" s="322" t="s">
        <v>7857</v>
      </c>
    </row>
    <row r="1906" spans="1:5" ht="14.5" customHeight="1" x14ac:dyDescent="0.35">
      <c r="A1906" s="196" t="str">
        <f>"51.0703"</f>
        <v>51.0703</v>
      </c>
      <c r="B1906" s="196" t="s">
        <v>5760</v>
      </c>
      <c r="C1906" s="320" t="s">
        <v>4269</v>
      </c>
      <c r="D1906" s="321" t="s">
        <v>7858</v>
      </c>
      <c r="E1906" s="322" t="s">
        <v>7859</v>
      </c>
    </row>
    <row r="1907" spans="1:5" ht="14.5" customHeight="1" x14ac:dyDescent="0.35">
      <c r="A1907" s="196" t="str">
        <f>"51.0704"</f>
        <v>51.0704</v>
      </c>
      <c r="B1907" s="196" t="s">
        <v>5760</v>
      </c>
      <c r="C1907" s="320" t="s">
        <v>4269</v>
      </c>
      <c r="D1907" s="321" t="s">
        <v>7860</v>
      </c>
      <c r="E1907" s="322" t="s">
        <v>7861</v>
      </c>
    </row>
    <row r="1908" spans="1:5" ht="14.5" customHeight="1" x14ac:dyDescent="0.35">
      <c r="A1908" s="196" t="str">
        <f>"51.0705"</f>
        <v>51.0705</v>
      </c>
      <c r="B1908" s="196" t="s">
        <v>5760</v>
      </c>
      <c r="C1908" s="320" t="s">
        <v>4269</v>
      </c>
      <c r="D1908" s="321" t="s">
        <v>7862</v>
      </c>
      <c r="E1908" s="322" t="s">
        <v>7863</v>
      </c>
    </row>
    <row r="1909" spans="1:5" ht="14.5" customHeight="1" x14ac:dyDescent="0.35">
      <c r="A1909" s="196" t="str">
        <f>"51.0706"</f>
        <v>51.0706</v>
      </c>
      <c r="B1909" s="196" t="s">
        <v>5760</v>
      </c>
      <c r="C1909" s="320" t="s">
        <v>4269</v>
      </c>
      <c r="D1909" s="321" t="s">
        <v>7864</v>
      </c>
      <c r="E1909" s="322" t="s">
        <v>7865</v>
      </c>
    </row>
    <row r="1910" spans="1:5" ht="14.5" customHeight="1" x14ac:dyDescent="0.35">
      <c r="A1910" s="196" t="str">
        <f>"51.0707"</f>
        <v>51.0707</v>
      </c>
      <c r="B1910" s="196" t="s">
        <v>5760</v>
      </c>
      <c r="C1910" s="320" t="s">
        <v>4269</v>
      </c>
      <c r="D1910" s="321" t="s">
        <v>7866</v>
      </c>
      <c r="E1910" s="322" t="s">
        <v>7867</v>
      </c>
    </row>
    <row r="1911" spans="1:5" ht="14.5" customHeight="1" x14ac:dyDescent="0.35">
      <c r="A1911" s="196" t="str">
        <f>"51.0708"</f>
        <v>51.0708</v>
      </c>
      <c r="B1911" s="196" t="s">
        <v>5760</v>
      </c>
      <c r="C1911" s="320" t="s">
        <v>4269</v>
      </c>
      <c r="D1911" s="321" t="s">
        <v>7868</v>
      </c>
      <c r="E1911" s="322" t="s">
        <v>7869</v>
      </c>
    </row>
    <row r="1912" spans="1:5" ht="14.5" customHeight="1" x14ac:dyDescent="0.35">
      <c r="A1912" s="196" t="str">
        <f>"51.0709"</f>
        <v>51.0709</v>
      </c>
      <c r="B1912" s="196" t="s">
        <v>5760</v>
      </c>
      <c r="C1912" s="320" t="s">
        <v>4269</v>
      </c>
      <c r="D1912" s="321" t="s">
        <v>7870</v>
      </c>
      <c r="E1912" s="322" t="s">
        <v>7871</v>
      </c>
    </row>
    <row r="1913" spans="1:5" ht="14.5" customHeight="1" x14ac:dyDescent="0.35">
      <c r="A1913" s="196" t="str">
        <f>"51.0710"</f>
        <v>51.0710</v>
      </c>
      <c r="B1913" s="196" t="s">
        <v>5760</v>
      </c>
      <c r="C1913" s="320" t="s">
        <v>4269</v>
      </c>
      <c r="D1913" s="321" t="s">
        <v>7872</v>
      </c>
      <c r="E1913" s="322" t="s">
        <v>7873</v>
      </c>
    </row>
    <row r="1914" spans="1:5" ht="14.5" customHeight="1" x14ac:dyDescent="0.35">
      <c r="A1914" s="196" t="str">
        <f>"51.0711"</f>
        <v>51.0711</v>
      </c>
      <c r="B1914" s="196" t="s">
        <v>5760</v>
      </c>
      <c r="C1914" s="320" t="s">
        <v>4269</v>
      </c>
      <c r="D1914" s="321" t="s">
        <v>7874</v>
      </c>
      <c r="E1914" s="322" t="s">
        <v>7875</v>
      </c>
    </row>
    <row r="1915" spans="1:5" ht="14.5" customHeight="1" x14ac:dyDescent="0.35">
      <c r="A1915" s="196" t="str">
        <f>"51.0712"</f>
        <v>51.0712</v>
      </c>
      <c r="B1915" s="196" t="s">
        <v>5760</v>
      </c>
      <c r="C1915" s="320" t="s">
        <v>4269</v>
      </c>
      <c r="D1915" s="321" t="s">
        <v>7876</v>
      </c>
      <c r="E1915" s="322" t="s">
        <v>7877</v>
      </c>
    </row>
    <row r="1916" spans="1:5" ht="14.5" customHeight="1" x14ac:dyDescent="0.35">
      <c r="A1916" s="196" t="str">
        <f>"51.0713"</f>
        <v>51.0713</v>
      </c>
      <c r="B1916" s="196" t="s">
        <v>5760</v>
      </c>
      <c r="C1916" s="320" t="s">
        <v>4269</v>
      </c>
      <c r="D1916" s="321" t="s">
        <v>7878</v>
      </c>
      <c r="E1916" s="322" t="s">
        <v>7879</v>
      </c>
    </row>
    <row r="1917" spans="1:5" ht="14.5" customHeight="1" x14ac:dyDescent="0.35">
      <c r="A1917" s="196" t="str">
        <f>"51.0714"</f>
        <v>51.0714</v>
      </c>
      <c r="B1917" s="196" t="s">
        <v>5760</v>
      </c>
      <c r="C1917" s="320" t="s">
        <v>4269</v>
      </c>
      <c r="D1917" s="321" t="s">
        <v>7880</v>
      </c>
      <c r="E1917" s="322" t="s">
        <v>7881</v>
      </c>
    </row>
    <row r="1918" spans="1:5" ht="14.5" customHeight="1" x14ac:dyDescent="0.35">
      <c r="A1918" s="196" t="str">
        <f>"51.0715"</f>
        <v>51.0715</v>
      </c>
      <c r="B1918" s="196" t="s">
        <v>5760</v>
      </c>
      <c r="C1918" s="320" t="s">
        <v>4269</v>
      </c>
      <c r="D1918" s="321" t="s">
        <v>7882</v>
      </c>
      <c r="E1918" s="322" t="s">
        <v>7883</v>
      </c>
    </row>
    <row r="1919" spans="1:5" ht="14.5" customHeight="1" x14ac:dyDescent="0.35">
      <c r="A1919" s="196" t="str">
        <f>"51.0716"</f>
        <v>51.0716</v>
      </c>
      <c r="B1919" s="196" t="s">
        <v>5760</v>
      </c>
      <c r="C1919" s="320" t="s">
        <v>4269</v>
      </c>
      <c r="D1919" s="321" t="s">
        <v>7884</v>
      </c>
      <c r="E1919" s="322" t="s">
        <v>7885</v>
      </c>
    </row>
    <row r="1920" spans="1:5" ht="14.5" customHeight="1" x14ac:dyDescent="0.35">
      <c r="A1920" s="196" t="str">
        <f>"51.0717"</f>
        <v>51.0717</v>
      </c>
      <c r="B1920" s="196" t="s">
        <v>5760</v>
      </c>
      <c r="C1920" s="320" t="s">
        <v>4269</v>
      </c>
      <c r="D1920" s="321" t="s">
        <v>7886</v>
      </c>
      <c r="E1920" s="322" t="s">
        <v>7887</v>
      </c>
    </row>
    <row r="1921" spans="1:5" ht="14.5" customHeight="1" x14ac:dyDescent="0.35">
      <c r="A1921" s="196" t="str">
        <f>"51.0718"</f>
        <v>51.0718</v>
      </c>
      <c r="B1921" s="196" t="s">
        <v>5760</v>
      </c>
      <c r="C1921" s="320" t="s">
        <v>4269</v>
      </c>
      <c r="D1921" s="321" t="s">
        <v>7888</v>
      </c>
      <c r="E1921" s="322" t="s">
        <v>7889</v>
      </c>
    </row>
    <row r="1922" spans="1:5" ht="14.5" customHeight="1" x14ac:dyDescent="0.35">
      <c r="A1922" s="196" t="str">
        <f>"51.0719"</f>
        <v>51.0719</v>
      </c>
      <c r="B1922" s="196" t="s">
        <v>5760</v>
      </c>
      <c r="C1922" s="320" t="s">
        <v>4269</v>
      </c>
      <c r="D1922" s="321" t="s">
        <v>7890</v>
      </c>
      <c r="E1922" s="322" t="s">
        <v>7891</v>
      </c>
    </row>
    <row r="1923" spans="1:5" s="327" customFormat="1" ht="14.5" customHeight="1" x14ac:dyDescent="0.35">
      <c r="A1923" s="323" t="str">
        <f>"51.0720"</f>
        <v>51.0720</v>
      </c>
      <c r="B1923" s="323" t="s">
        <v>4297</v>
      </c>
      <c r="C1923" s="324" t="s">
        <v>4269</v>
      </c>
      <c r="D1923" s="325" t="s">
        <v>7892</v>
      </c>
      <c r="E1923" s="326" t="s">
        <v>7893</v>
      </c>
    </row>
    <row r="1924" spans="1:5" s="327" customFormat="1" ht="14.5" customHeight="1" x14ac:dyDescent="0.35">
      <c r="A1924" s="323" t="str">
        <f>"51.0721"</f>
        <v>51.0721</v>
      </c>
      <c r="B1924" s="323" t="s">
        <v>4297</v>
      </c>
      <c r="C1924" s="324" t="s">
        <v>4269</v>
      </c>
      <c r="D1924" s="325" t="s">
        <v>7894</v>
      </c>
      <c r="E1924" s="326" t="s">
        <v>7895</v>
      </c>
    </row>
    <row r="1925" spans="1:5" s="327" customFormat="1" ht="14.5" customHeight="1" x14ac:dyDescent="0.35">
      <c r="A1925" s="323" t="str">
        <f>"51.0722"</f>
        <v>51.0722</v>
      </c>
      <c r="B1925" s="323" t="s">
        <v>4297</v>
      </c>
      <c r="C1925" s="324" t="s">
        <v>4269</v>
      </c>
      <c r="D1925" s="325" t="s">
        <v>7896</v>
      </c>
      <c r="E1925" s="326" t="s">
        <v>7897</v>
      </c>
    </row>
    <row r="1926" spans="1:5" s="327" customFormat="1" ht="14.5" customHeight="1" x14ac:dyDescent="0.35">
      <c r="A1926" s="323" t="str">
        <f>"51.0723"</f>
        <v>51.0723</v>
      </c>
      <c r="B1926" s="323" t="s">
        <v>4297</v>
      </c>
      <c r="C1926" s="324" t="s">
        <v>4269</v>
      </c>
      <c r="D1926" s="325" t="s">
        <v>7898</v>
      </c>
      <c r="E1926" s="326" t="s">
        <v>7899</v>
      </c>
    </row>
    <row r="1927" spans="1:5" ht="14.5" customHeight="1" x14ac:dyDescent="0.35">
      <c r="A1927" s="196" t="str">
        <f>"51.0799"</f>
        <v>51.0799</v>
      </c>
      <c r="B1927" s="196" t="s">
        <v>5760</v>
      </c>
      <c r="C1927" s="320" t="s">
        <v>4269</v>
      </c>
      <c r="D1927" s="321" t="s">
        <v>7900</v>
      </c>
      <c r="E1927" s="322" t="s">
        <v>7901</v>
      </c>
    </row>
    <row r="1928" spans="1:5" ht="14.5" customHeight="1" x14ac:dyDescent="0.35">
      <c r="A1928" s="196" t="str">
        <f>"51.08"</f>
        <v>51.08</v>
      </c>
      <c r="B1928" s="196" t="s">
        <v>5760</v>
      </c>
      <c r="C1928" s="320" t="s">
        <v>4269</v>
      </c>
      <c r="D1928" s="321" t="s">
        <v>7902</v>
      </c>
      <c r="E1928" s="322" t="s">
        <v>7903</v>
      </c>
    </row>
    <row r="1929" spans="1:5" ht="14.5" customHeight="1" x14ac:dyDescent="0.35">
      <c r="A1929" s="196" t="str">
        <f>"51.0801"</f>
        <v>51.0801</v>
      </c>
      <c r="B1929" s="196" t="s">
        <v>5760</v>
      </c>
      <c r="C1929" s="320" t="s">
        <v>4269</v>
      </c>
      <c r="D1929" s="321" t="s">
        <v>7904</v>
      </c>
      <c r="E1929" s="322" t="s">
        <v>7905</v>
      </c>
    </row>
    <row r="1930" spans="1:5" ht="14.5" customHeight="1" x14ac:dyDescent="0.35">
      <c r="A1930" s="196" t="str">
        <f>"51.0802"</f>
        <v>51.0802</v>
      </c>
      <c r="B1930" s="196" t="s">
        <v>5760</v>
      </c>
      <c r="C1930" s="320" t="s">
        <v>4269</v>
      </c>
      <c r="D1930" s="321" t="s">
        <v>7906</v>
      </c>
      <c r="E1930" s="322" t="s">
        <v>7907</v>
      </c>
    </row>
    <row r="1931" spans="1:5" ht="14.5" customHeight="1" x14ac:dyDescent="0.35">
      <c r="A1931" s="196" t="str">
        <f>"51.0803"</f>
        <v>51.0803</v>
      </c>
      <c r="B1931" s="196" t="s">
        <v>5760</v>
      </c>
      <c r="C1931" s="320" t="s">
        <v>4269</v>
      </c>
      <c r="D1931" s="321" t="s">
        <v>7908</v>
      </c>
      <c r="E1931" s="322" t="s">
        <v>7909</v>
      </c>
    </row>
    <row r="1932" spans="1:5" ht="14.5" customHeight="1" x14ac:dyDescent="0.35">
      <c r="A1932" s="196" t="str">
        <f>"51.0805"</f>
        <v>51.0805</v>
      </c>
      <c r="B1932" s="196" t="s">
        <v>5760</v>
      </c>
      <c r="C1932" s="320" t="s">
        <v>4269</v>
      </c>
      <c r="D1932" s="321" t="s">
        <v>7910</v>
      </c>
      <c r="E1932" s="322" t="s">
        <v>7911</v>
      </c>
    </row>
    <row r="1933" spans="1:5" ht="14.5" customHeight="1" x14ac:dyDescent="0.35">
      <c r="A1933" s="196" t="str">
        <f>"51.0806"</f>
        <v>51.0806</v>
      </c>
      <c r="B1933" s="196" t="s">
        <v>4265</v>
      </c>
      <c r="C1933" s="320" t="s">
        <v>4266</v>
      </c>
      <c r="D1933" s="321" t="s">
        <v>7912</v>
      </c>
      <c r="E1933" s="322" t="s">
        <v>7913</v>
      </c>
    </row>
    <row r="1934" spans="1:5" s="332" customFormat="1" ht="14.5" customHeight="1" x14ac:dyDescent="0.35">
      <c r="A1934" s="328" t="str">
        <f>"51.0808"</f>
        <v>51.0808</v>
      </c>
      <c r="B1934" s="328" t="s">
        <v>4318</v>
      </c>
      <c r="C1934" s="329" t="s">
        <v>4269</v>
      </c>
      <c r="D1934" s="330" t="s">
        <v>4484</v>
      </c>
      <c r="E1934" s="331" t="s">
        <v>7914</v>
      </c>
    </row>
    <row r="1935" spans="1:5" ht="14.5" customHeight="1" x14ac:dyDescent="0.35">
      <c r="A1935" s="196" t="str">
        <f>"51.0809"</f>
        <v>51.0809</v>
      </c>
      <c r="B1935" s="196" t="s">
        <v>5760</v>
      </c>
      <c r="C1935" s="320" t="s">
        <v>4269</v>
      </c>
      <c r="D1935" s="321" t="s">
        <v>7915</v>
      </c>
      <c r="E1935" s="322" t="s">
        <v>7916</v>
      </c>
    </row>
    <row r="1936" spans="1:5" ht="14.5" customHeight="1" x14ac:dyDescent="0.35">
      <c r="A1936" s="196" t="str">
        <f>"51.0810"</f>
        <v>51.0810</v>
      </c>
      <c r="B1936" s="196" t="s">
        <v>5760</v>
      </c>
      <c r="C1936" s="320" t="s">
        <v>4269</v>
      </c>
      <c r="D1936" s="321" t="s">
        <v>7917</v>
      </c>
      <c r="E1936" s="322" t="s">
        <v>7918</v>
      </c>
    </row>
    <row r="1937" spans="1:5" ht="14.5" customHeight="1" x14ac:dyDescent="0.35">
      <c r="A1937" s="196" t="str">
        <f>"51.0811"</f>
        <v>51.0811</v>
      </c>
      <c r="B1937" s="196" t="s">
        <v>5760</v>
      </c>
      <c r="C1937" s="320" t="s">
        <v>4269</v>
      </c>
      <c r="D1937" s="321" t="s">
        <v>7919</v>
      </c>
      <c r="E1937" s="322" t="s">
        <v>7920</v>
      </c>
    </row>
    <row r="1938" spans="1:5" ht="14.5" customHeight="1" x14ac:dyDescent="0.35">
      <c r="A1938" s="196" t="str">
        <f>"51.0812"</f>
        <v>51.0812</v>
      </c>
      <c r="B1938" s="196" t="s">
        <v>5760</v>
      </c>
      <c r="C1938" s="320" t="s">
        <v>4269</v>
      </c>
      <c r="D1938" s="321" t="s">
        <v>7921</v>
      </c>
      <c r="E1938" s="322" t="s">
        <v>7922</v>
      </c>
    </row>
    <row r="1939" spans="1:5" ht="14.5" customHeight="1" x14ac:dyDescent="0.35">
      <c r="A1939" s="196" t="str">
        <f>"51.0813"</f>
        <v>51.0813</v>
      </c>
      <c r="B1939" s="196" t="s">
        <v>5760</v>
      </c>
      <c r="C1939" s="320" t="s">
        <v>4269</v>
      </c>
      <c r="D1939" s="321" t="s">
        <v>7923</v>
      </c>
      <c r="E1939" s="322" t="s">
        <v>7924</v>
      </c>
    </row>
    <row r="1940" spans="1:5" ht="14.5" customHeight="1" x14ac:dyDescent="0.35">
      <c r="A1940" s="196" t="str">
        <f>"51.0814"</f>
        <v>51.0814</v>
      </c>
      <c r="B1940" s="196" t="s">
        <v>5760</v>
      </c>
      <c r="C1940" s="320" t="s">
        <v>4269</v>
      </c>
      <c r="D1940" s="321" t="s">
        <v>7925</v>
      </c>
      <c r="E1940" s="322" t="s">
        <v>7926</v>
      </c>
    </row>
    <row r="1941" spans="1:5" ht="14.5" customHeight="1" x14ac:dyDescent="0.35">
      <c r="A1941" s="196" t="str">
        <f>"51.0815"</f>
        <v>51.0815</v>
      </c>
      <c r="B1941" s="196" t="s">
        <v>5760</v>
      </c>
      <c r="C1941" s="320" t="s">
        <v>4269</v>
      </c>
      <c r="D1941" s="321" t="s">
        <v>7927</v>
      </c>
      <c r="E1941" s="322" t="s">
        <v>7928</v>
      </c>
    </row>
    <row r="1942" spans="1:5" ht="14.5" customHeight="1" x14ac:dyDescent="0.35">
      <c r="A1942" s="196" t="str">
        <f>"51.0816"</f>
        <v>51.0816</v>
      </c>
      <c r="B1942" s="196" t="s">
        <v>5760</v>
      </c>
      <c r="C1942" s="320" t="s">
        <v>4269</v>
      </c>
      <c r="D1942" s="321" t="s">
        <v>7929</v>
      </c>
      <c r="E1942" s="322" t="s">
        <v>7930</v>
      </c>
    </row>
    <row r="1943" spans="1:5" s="327" customFormat="1" ht="14.5" customHeight="1" x14ac:dyDescent="0.35">
      <c r="A1943" s="323" t="str">
        <f>"51.0817"</f>
        <v>51.0817</v>
      </c>
      <c r="B1943" s="323" t="s">
        <v>4297</v>
      </c>
      <c r="C1943" s="324" t="s">
        <v>4269</v>
      </c>
      <c r="D1943" s="325" t="s">
        <v>4328</v>
      </c>
      <c r="E1943" s="326" t="s">
        <v>4329</v>
      </c>
    </row>
    <row r="1944" spans="1:5" ht="14.5" customHeight="1" x14ac:dyDescent="0.35">
      <c r="A1944" s="196" t="str">
        <f>"51.0899"</f>
        <v>51.0899</v>
      </c>
      <c r="B1944" s="196" t="s">
        <v>5760</v>
      </c>
      <c r="C1944" s="320" t="s">
        <v>4269</v>
      </c>
      <c r="D1944" s="321" t="s">
        <v>7931</v>
      </c>
      <c r="E1944" s="322" t="s">
        <v>7932</v>
      </c>
    </row>
    <row r="1945" spans="1:5" ht="14.5" customHeight="1" x14ac:dyDescent="0.35">
      <c r="A1945" s="196" t="str">
        <f>"51.09"</f>
        <v>51.09</v>
      </c>
      <c r="B1945" s="196" t="s">
        <v>5760</v>
      </c>
      <c r="C1945" s="320" t="s">
        <v>4269</v>
      </c>
      <c r="D1945" s="321" t="s">
        <v>7933</v>
      </c>
      <c r="E1945" s="322" t="s">
        <v>7934</v>
      </c>
    </row>
    <row r="1946" spans="1:5" ht="14.5" customHeight="1" x14ac:dyDescent="0.35">
      <c r="A1946" s="196" t="str">
        <f>"51.0901"</f>
        <v>51.0901</v>
      </c>
      <c r="B1946" s="196" t="s">
        <v>5760</v>
      </c>
      <c r="C1946" s="320" t="s">
        <v>4269</v>
      </c>
      <c r="D1946" s="321" t="s">
        <v>7935</v>
      </c>
      <c r="E1946" s="322" t="s">
        <v>7936</v>
      </c>
    </row>
    <row r="1947" spans="1:5" ht="14.5" customHeight="1" x14ac:dyDescent="0.35">
      <c r="A1947" s="196" t="str">
        <f>"51.0902"</f>
        <v>51.0902</v>
      </c>
      <c r="B1947" s="196" t="s">
        <v>5760</v>
      </c>
      <c r="C1947" s="320" t="s">
        <v>4269</v>
      </c>
      <c r="D1947" s="321" t="s">
        <v>7937</v>
      </c>
      <c r="E1947" s="322" t="s">
        <v>7938</v>
      </c>
    </row>
    <row r="1948" spans="1:5" ht="14.5" customHeight="1" x14ac:dyDescent="0.35">
      <c r="A1948" s="196" t="str">
        <f>"51.0903"</f>
        <v>51.0903</v>
      </c>
      <c r="B1948" s="196" t="s">
        <v>5760</v>
      </c>
      <c r="C1948" s="320" t="s">
        <v>4269</v>
      </c>
      <c r="D1948" s="321" t="s">
        <v>7939</v>
      </c>
      <c r="E1948" s="322" t="s">
        <v>7940</v>
      </c>
    </row>
    <row r="1949" spans="1:5" ht="14.5" customHeight="1" x14ac:dyDescent="0.35">
      <c r="A1949" s="196" t="str">
        <f>"51.0904"</f>
        <v>51.0904</v>
      </c>
      <c r="B1949" s="196" t="s">
        <v>5760</v>
      </c>
      <c r="C1949" s="320" t="s">
        <v>4269</v>
      </c>
      <c r="D1949" s="321" t="s">
        <v>7941</v>
      </c>
      <c r="E1949" s="322" t="s">
        <v>7942</v>
      </c>
    </row>
    <row r="1950" spans="1:5" ht="14.5" customHeight="1" x14ac:dyDescent="0.35">
      <c r="A1950" s="196" t="str">
        <f>"51.0905"</f>
        <v>51.0905</v>
      </c>
      <c r="B1950" s="196" t="s">
        <v>5760</v>
      </c>
      <c r="C1950" s="320" t="s">
        <v>4269</v>
      </c>
      <c r="D1950" s="321" t="s">
        <v>7943</v>
      </c>
      <c r="E1950" s="322" t="s">
        <v>7944</v>
      </c>
    </row>
    <row r="1951" spans="1:5" ht="14.5" customHeight="1" x14ac:dyDescent="0.35">
      <c r="A1951" s="196" t="str">
        <f>"51.0906"</f>
        <v>51.0906</v>
      </c>
      <c r="B1951" s="196" t="s">
        <v>5760</v>
      </c>
      <c r="C1951" s="320" t="s">
        <v>4269</v>
      </c>
      <c r="D1951" s="321" t="s">
        <v>7945</v>
      </c>
      <c r="E1951" s="322" t="s">
        <v>7946</v>
      </c>
    </row>
    <row r="1952" spans="1:5" ht="14.5" customHeight="1" x14ac:dyDescent="0.35">
      <c r="A1952" s="196" t="str">
        <f>"51.0907"</f>
        <v>51.0907</v>
      </c>
      <c r="B1952" s="196" t="s">
        <v>5760</v>
      </c>
      <c r="C1952" s="320" t="s">
        <v>4269</v>
      </c>
      <c r="D1952" s="321" t="s">
        <v>7947</v>
      </c>
      <c r="E1952" s="322" t="s">
        <v>7948</v>
      </c>
    </row>
    <row r="1953" spans="1:5" ht="14.5" customHeight="1" x14ac:dyDescent="0.35">
      <c r="A1953" s="196" t="str">
        <f>"51.0908"</f>
        <v>51.0908</v>
      </c>
      <c r="B1953" s="196" t="s">
        <v>5760</v>
      </c>
      <c r="C1953" s="320" t="s">
        <v>4269</v>
      </c>
      <c r="D1953" s="321" t="s">
        <v>7949</v>
      </c>
      <c r="E1953" s="322" t="s">
        <v>7950</v>
      </c>
    </row>
    <row r="1954" spans="1:5" ht="14.5" customHeight="1" x14ac:dyDescent="0.35">
      <c r="A1954" s="196" t="str">
        <f>"51.0909"</f>
        <v>51.0909</v>
      </c>
      <c r="B1954" s="196" t="s">
        <v>5760</v>
      </c>
      <c r="C1954" s="320" t="s">
        <v>4269</v>
      </c>
      <c r="D1954" s="321" t="s">
        <v>7951</v>
      </c>
      <c r="E1954" s="322" t="s">
        <v>7952</v>
      </c>
    </row>
    <row r="1955" spans="1:5" ht="14.5" customHeight="1" x14ac:dyDescent="0.35">
      <c r="A1955" s="196" t="str">
        <f>"51.0910"</f>
        <v>51.0910</v>
      </c>
      <c r="B1955" s="196" t="s">
        <v>5760</v>
      </c>
      <c r="C1955" s="320" t="s">
        <v>4269</v>
      </c>
      <c r="D1955" s="321" t="s">
        <v>7953</v>
      </c>
      <c r="E1955" s="322" t="s">
        <v>7954</v>
      </c>
    </row>
    <row r="1956" spans="1:5" ht="14.5" customHeight="1" x14ac:dyDescent="0.35">
      <c r="A1956" s="196" t="str">
        <f>"51.0911"</f>
        <v>51.0911</v>
      </c>
      <c r="B1956" s="196" t="s">
        <v>5760</v>
      </c>
      <c r="C1956" s="320" t="s">
        <v>4269</v>
      </c>
      <c r="D1956" s="321" t="s">
        <v>7955</v>
      </c>
      <c r="E1956" s="322" t="s">
        <v>7956</v>
      </c>
    </row>
    <row r="1957" spans="1:5" ht="14.5" customHeight="1" x14ac:dyDescent="0.35">
      <c r="A1957" s="196" t="str">
        <f>"51.0912"</f>
        <v>51.0912</v>
      </c>
      <c r="B1957" s="196" t="s">
        <v>5760</v>
      </c>
      <c r="C1957" s="320" t="s">
        <v>4269</v>
      </c>
      <c r="D1957" s="321" t="s">
        <v>7957</v>
      </c>
      <c r="E1957" s="322" t="s">
        <v>7958</v>
      </c>
    </row>
    <row r="1958" spans="1:5" ht="14.5" customHeight="1" x14ac:dyDescent="0.35">
      <c r="A1958" s="196" t="str">
        <f>"51.0913"</f>
        <v>51.0913</v>
      </c>
      <c r="B1958" s="196" t="s">
        <v>5760</v>
      </c>
      <c r="C1958" s="320" t="s">
        <v>4269</v>
      </c>
      <c r="D1958" s="321" t="s">
        <v>7959</v>
      </c>
      <c r="E1958" s="322" t="s">
        <v>7960</v>
      </c>
    </row>
    <row r="1959" spans="1:5" ht="14.5" customHeight="1" x14ac:dyDescent="0.35">
      <c r="A1959" s="196" t="str">
        <f>"51.0914"</f>
        <v>51.0914</v>
      </c>
      <c r="B1959" s="196" t="s">
        <v>5760</v>
      </c>
      <c r="C1959" s="320" t="s">
        <v>4269</v>
      </c>
      <c r="D1959" s="321" t="s">
        <v>7961</v>
      </c>
      <c r="E1959" s="322" t="s">
        <v>7962</v>
      </c>
    </row>
    <row r="1960" spans="1:5" ht="14.5" customHeight="1" x14ac:dyDescent="0.35">
      <c r="A1960" s="196" t="str">
        <f>"51.0915"</f>
        <v>51.0915</v>
      </c>
      <c r="B1960" s="196" t="s">
        <v>5760</v>
      </c>
      <c r="C1960" s="320" t="s">
        <v>4269</v>
      </c>
      <c r="D1960" s="321" t="s">
        <v>7963</v>
      </c>
      <c r="E1960" s="322" t="s">
        <v>7964</v>
      </c>
    </row>
    <row r="1961" spans="1:5" ht="14.5" customHeight="1" x14ac:dyDescent="0.35">
      <c r="A1961" s="196" t="str">
        <f>"51.0916"</f>
        <v>51.0916</v>
      </c>
      <c r="B1961" s="196" t="s">
        <v>5760</v>
      </c>
      <c r="C1961" s="320" t="s">
        <v>4269</v>
      </c>
      <c r="D1961" s="321" t="s">
        <v>7965</v>
      </c>
      <c r="E1961" s="322" t="s">
        <v>7966</v>
      </c>
    </row>
    <row r="1962" spans="1:5" ht="14.5" customHeight="1" x14ac:dyDescent="0.35">
      <c r="A1962" s="196" t="str">
        <f>"51.0917"</f>
        <v>51.0917</v>
      </c>
      <c r="B1962" s="196" t="s">
        <v>5760</v>
      </c>
      <c r="C1962" s="320" t="s">
        <v>4269</v>
      </c>
      <c r="D1962" s="321" t="s">
        <v>7967</v>
      </c>
      <c r="E1962" s="322" t="s">
        <v>7968</v>
      </c>
    </row>
    <row r="1963" spans="1:5" ht="14.5" customHeight="1" x14ac:dyDescent="0.35">
      <c r="A1963" s="196" t="str">
        <f>"51.0918"</f>
        <v>51.0918</v>
      </c>
      <c r="B1963" s="196" t="s">
        <v>5760</v>
      </c>
      <c r="C1963" s="320" t="s">
        <v>4269</v>
      </c>
      <c r="D1963" s="321" t="s">
        <v>7969</v>
      </c>
      <c r="E1963" s="322" t="s">
        <v>7970</v>
      </c>
    </row>
    <row r="1964" spans="1:5" ht="14.5" customHeight="1" x14ac:dyDescent="0.35">
      <c r="A1964" s="196" t="str">
        <f>"51.0919"</f>
        <v>51.0919</v>
      </c>
      <c r="B1964" s="196" t="s">
        <v>4265</v>
      </c>
      <c r="C1964" s="320" t="s">
        <v>4266</v>
      </c>
      <c r="D1964" s="321" t="s">
        <v>7971</v>
      </c>
      <c r="E1964" s="322" t="s">
        <v>7972</v>
      </c>
    </row>
    <row r="1965" spans="1:5" ht="14.5" customHeight="1" x14ac:dyDescent="0.35">
      <c r="A1965" s="196" t="str">
        <f>"51.0920"</f>
        <v>51.0920</v>
      </c>
      <c r="B1965" s="196" t="s">
        <v>5760</v>
      </c>
      <c r="C1965" s="320" t="s">
        <v>4269</v>
      </c>
      <c r="D1965" s="321" t="s">
        <v>7973</v>
      </c>
      <c r="E1965" s="322" t="s">
        <v>7974</v>
      </c>
    </row>
    <row r="1966" spans="1:5" s="327" customFormat="1" ht="14.5" customHeight="1" x14ac:dyDescent="0.35">
      <c r="A1966" s="323" t="str">
        <f>"51.0921"</f>
        <v>51.0921</v>
      </c>
      <c r="B1966" s="323" t="s">
        <v>4297</v>
      </c>
      <c r="C1966" s="324" t="s">
        <v>4269</v>
      </c>
      <c r="D1966" s="325" t="s">
        <v>7975</v>
      </c>
      <c r="E1966" s="326" t="s">
        <v>7976</v>
      </c>
    </row>
    <row r="1967" spans="1:5" s="327" customFormat="1" ht="14.5" customHeight="1" x14ac:dyDescent="0.35">
      <c r="A1967" s="323" t="str">
        <f>"51.0922"</f>
        <v>51.0922</v>
      </c>
      <c r="B1967" s="323" t="s">
        <v>4297</v>
      </c>
      <c r="C1967" s="324" t="s">
        <v>4269</v>
      </c>
      <c r="D1967" s="325" t="s">
        <v>7977</v>
      </c>
      <c r="E1967" s="326" t="s">
        <v>7978</v>
      </c>
    </row>
    <row r="1968" spans="1:5" s="327" customFormat="1" ht="14.5" customHeight="1" x14ac:dyDescent="0.35">
      <c r="A1968" s="323" t="str">
        <f>"51.0923"</f>
        <v>51.0923</v>
      </c>
      <c r="B1968" s="323" t="s">
        <v>4297</v>
      </c>
      <c r="C1968" s="324" t="s">
        <v>4269</v>
      </c>
      <c r="D1968" s="325" t="s">
        <v>7979</v>
      </c>
      <c r="E1968" s="326" t="s">
        <v>7980</v>
      </c>
    </row>
    <row r="1969" spans="1:5" s="327" customFormat="1" ht="14.5" customHeight="1" x14ac:dyDescent="0.35">
      <c r="A1969" s="323" t="str">
        <f>"51.0924"</f>
        <v>51.0924</v>
      </c>
      <c r="B1969" s="323" t="s">
        <v>4297</v>
      </c>
      <c r="C1969" s="324" t="s">
        <v>4269</v>
      </c>
      <c r="D1969" s="325" t="s">
        <v>4328</v>
      </c>
      <c r="E1969" s="326" t="s">
        <v>4329</v>
      </c>
    </row>
    <row r="1970" spans="1:5" ht="14.5" customHeight="1" x14ac:dyDescent="0.35">
      <c r="A1970" s="196" t="str">
        <f>"51.0999"</f>
        <v>51.0999</v>
      </c>
      <c r="B1970" s="196" t="s">
        <v>5760</v>
      </c>
      <c r="C1970" s="320" t="s">
        <v>4269</v>
      </c>
      <c r="D1970" s="321" t="s">
        <v>7981</v>
      </c>
      <c r="E1970" s="322" t="s">
        <v>7982</v>
      </c>
    </row>
    <row r="1971" spans="1:5" ht="14.5" customHeight="1" x14ac:dyDescent="0.35">
      <c r="A1971" s="196" t="str">
        <f>"51.10"</f>
        <v>51.10</v>
      </c>
      <c r="B1971" s="196" t="s">
        <v>5760</v>
      </c>
      <c r="C1971" s="320" t="s">
        <v>4269</v>
      </c>
      <c r="D1971" s="321" t="s">
        <v>7983</v>
      </c>
      <c r="E1971" s="322" t="s">
        <v>7984</v>
      </c>
    </row>
    <row r="1972" spans="1:5" ht="14.5" customHeight="1" x14ac:dyDescent="0.35">
      <c r="A1972" s="196" t="str">
        <f>"51.1001"</f>
        <v>51.1001</v>
      </c>
      <c r="B1972" s="196" t="s">
        <v>5760</v>
      </c>
      <c r="C1972" s="320" t="s">
        <v>4269</v>
      </c>
      <c r="D1972" s="321" t="s">
        <v>7985</v>
      </c>
      <c r="E1972" s="322" t="s">
        <v>7986</v>
      </c>
    </row>
    <row r="1973" spans="1:5" ht="14.5" customHeight="1" x14ac:dyDescent="0.35">
      <c r="A1973" s="196" t="str">
        <f>"51.1002"</f>
        <v>51.1002</v>
      </c>
      <c r="B1973" s="196" t="s">
        <v>5760</v>
      </c>
      <c r="C1973" s="320" t="s">
        <v>4269</v>
      </c>
      <c r="D1973" s="321" t="s">
        <v>7987</v>
      </c>
      <c r="E1973" s="322" t="s">
        <v>7988</v>
      </c>
    </row>
    <row r="1974" spans="1:5" ht="14.5" customHeight="1" x14ac:dyDescent="0.35">
      <c r="A1974" s="196" t="str">
        <f>"51.1003"</f>
        <v>51.1003</v>
      </c>
      <c r="B1974" s="196" t="s">
        <v>5760</v>
      </c>
      <c r="C1974" s="320" t="s">
        <v>4269</v>
      </c>
      <c r="D1974" s="321" t="s">
        <v>7989</v>
      </c>
      <c r="E1974" s="322" t="s">
        <v>7990</v>
      </c>
    </row>
    <row r="1975" spans="1:5" ht="14.5" customHeight="1" x14ac:dyDescent="0.35">
      <c r="A1975" s="196" t="str">
        <f>"51.1004"</f>
        <v>51.1004</v>
      </c>
      <c r="B1975" s="196" t="s">
        <v>5760</v>
      </c>
      <c r="C1975" s="320" t="s">
        <v>4269</v>
      </c>
      <c r="D1975" s="321" t="s">
        <v>7991</v>
      </c>
      <c r="E1975" s="322" t="s">
        <v>7992</v>
      </c>
    </row>
    <row r="1976" spans="1:5" ht="14.5" customHeight="1" x14ac:dyDescent="0.35">
      <c r="A1976" s="196" t="str">
        <f>"51.1005"</f>
        <v>51.1005</v>
      </c>
      <c r="B1976" s="196" t="s">
        <v>5760</v>
      </c>
      <c r="C1976" s="320" t="s">
        <v>4269</v>
      </c>
      <c r="D1976" s="321" t="s">
        <v>7993</v>
      </c>
      <c r="E1976" s="322" t="s">
        <v>7994</v>
      </c>
    </row>
    <row r="1977" spans="1:5" ht="14.5" customHeight="1" x14ac:dyDescent="0.35">
      <c r="A1977" s="196" t="str">
        <f>"51.1006"</f>
        <v>51.1006</v>
      </c>
      <c r="B1977" s="196" t="s">
        <v>5760</v>
      </c>
      <c r="C1977" s="320" t="s">
        <v>4269</v>
      </c>
      <c r="D1977" s="321" t="s">
        <v>7995</v>
      </c>
      <c r="E1977" s="322" t="s">
        <v>7996</v>
      </c>
    </row>
    <row r="1978" spans="1:5" ht="14.5" customHeight="1" x14ac:dyDescent="0.35">
      <c r="A1978" s="196" t="str">
        <f>"51.1007"</f>
        <v>51.1007</v>
      </c>
      <c r="B1978" s="196" t="s">
        <v>5760</v>
      </c>
      <c r="C1978" s="320" t="s">
        <v>4269</v>
      </c>
      <c r="D1978" s="321" t="s">
        <v>7997</v>
      </c>
      <c r="E1978" s="322" t="s">
        <v>7998</v>
      </c>
    </row>
    <row r="1979" spans="1:5" ht="14.5" customHeight="1" x14ac:dyDescent="0.35">
      <c r="A1979" s="196" t="str">
        <f>"51.1008"</f>
        <v>51.1008</v>
      </c>
      <c r="B1979" s="196" t="s">
        <v>5760</v>
      </c>
      <c r="C1979" s="320" t="s">
        <v>4269</v>
      </c>
      <c r="D1979" s="321" t="s">
        <v>7999</v>
      </c>
      <c r="E1979" s="322" t="s">
        <v>8000</v>
      </c>
    </row>
    <row r="1980" spans="1:5" ht="14.5" customHeight="1" x14ac:dyDescent="0.35">
      <c r="A1980" s="196" t="str">
        <f>"51.1009"</f>
        <v>51.1009</v>
      </c>
      <c r="B1980" s="196" t="s">
        <v>5760</v>
      </c>
      <c r="C1980" s="320" t="s">
        <v>4269</v>
      </c>
      <c r="D1980" s="321" t="s">
        <v>8001</v>
      </c>
      <c r="E1980" s="322" t="s">
        <v>8002</v>
      </c>
    </row>
    <row r="1981" spans="1:5" ht="14.5" customHeight="1" x14ac:dyDescent="0.35">
      <c r="A1981" s="196" t="str">
        <f>"51.1010"</f>
        <v>51.1010</v>
      </c>
      <c r="B1981" s="196" t="s">
        <v>5760</v>
      </c>
      <c r="C1981" s="320" t="s">
        <v>4269</v>
      </c>
      <c r="D1981" s="321" t="s">
        <v>8003</v>
      </c>
      <c r="E1981" s="322" t="s">
        <v>8004</v>
      </c>
    </row>
    <row r="1982" spans="1:5" ht="14.5" customHeight="1" x14ac:dyDescent="0.35">
      <c r="A1982" s="196" t="str">
        <f>"51.1011"</f>
        <v>51.1011</v>
      </c>
      <c r="B1982" s="196" t="s">
        <v>5760</v>
      </c>
      <c r="C1982" s="320" t="s">
        <v>4269</v>
      </c>
      <c r="D1982" s="321" t="s">
        <v>8005</v>
      </c>
      <c r="E1982" s="322" t="s">
        <v>8006</v>
      </c>
    </row>
    <row r="1983" spans="1:5" ht="14.5" customHeight="1" x14ac:dyDescent="0.35">
      <c r="A1983" s="196" t="str">
        <f>"51.1012"</f>
        <v>51.1012</v>
      </c>
      <c r="B1983" s="196" t="s">
        <v>5760</v>
      </c>
      <c r="C1983" s="320" t="s">
        <v>4269</v>
      </c>
      <c r="D1983" s="321" t="s">
        <v>8007</v>
      </c>
      <c r="E1983" s="322" t="s">
        <v>8008</v>
      </c>
    </row>
    <row r="1984" spans="1:5" ht="14.5" customHeight="1" x14ac:dyDescent="0.35">
      <c r="A1984" s="196" t="str">
        <f>"51.1099"</f>
        <v>51.1099</v>
      </c>
      <c r="B1984" s="196" t="s">
        <v>5760</v>
      </c>
      <c r="C1984" s="320" t="s">
        <v>4269</v>
      </c>
      <c r="D1984" s="321" t="s">
        <v>8009</v>
      </c>
      <c r="E1984" s="322" t="s">
        <v>8010</v>
      </c>
    </row>
    <row r="1985" spans="1:5" ht="14.5" customHeight="1" x14ac:dyDescent="0.35">
      <c r="A1985" s="196" t="str">
        <f>"51.11"</f>
        <v>51.11</v>
      </c>
      <c r="B1985" s="196" t="s">
        <v>5760</v>
      </c>
      <c r="C1985" s="320" t="s">
        <v>4269</v>
      </c>
      <c r="D1985" s="321" t="s">
        <v>8011</v>
      </c>
      <c r="E1985" s="322" t="s">
        <v>8012</v>
      </c>
    </row>
    <row r="1986" spans="1:5" ht="14.5" customHeight="1" x14ac:dyDescent="0.35">
      <c r="A1986" s="196" t="str">
        <f>"51.1101"</f>
        <v>51.1101</v>
      </c>
      <c r="B1986" s="196" t="s">
        <v>5760</v>
      </c>
      <c r="C1986" s="320" t="s">
        <v>4269</v>
      </c>
      <c r="D1986" s="321" t="s">
        <v>8013</v>
      </c>
      <c r="E1986" s="322" t="s">
        <v>8014</v>
      </c>
    </row>
    <row r="1987" spans="1:5" ht="14.5" customHeight="1" x14ac:dyDescent="0.35">
      <c r="A1987" s="196" t="str">
        <f>"51.1102"</f>
        <v>51.1102</v>
      </c>
      <c r="B1987" s="196" t="s">
        <v>5760</v>
      </c>
      <c r="C1987" s="320" t="s">
        <v>4269</v>
      </c>
      <c r="D1987" s="321" t="s">
        <v>8015</v>
      </c>
      <c r="E1987" s="322" t="s">
        <v>8016</v>
      </c>
    </row>
    <row r="1988" spans="1:5" ht="14.5" customHeight="1" x14ac:dyDescent="0.35">
      <c r="A1988" s="196" t="str">
        <f>"51.1103"</f>
        <v>51.1103</v>
      </c>
      <c r="B1988" s="196" t="s">
        <v>5760</v>
      </c>
      <c r="C1988" s="320" t="s">
        <v>4269</v>
      </c>
      <c r="D1988" s="321" t="s">
        <v>8017</v>
      </c>
      <c r="E1988" s="322" t="s">
        <v>8018</v>
      </c>
    </row>
    <row r="1989" spans="1:5" s="332" customFormat="1" ht="14.5" customHeight="1" x14ac:dyDescent="0.35">
      <c r="A1989" s="328" t="str">
        <f>"51.1104"</f>
        <v>51.1104</v>
      </c>
      <c r="B1989" s="328" t="s">
        <v>4318</v>
      </c>
      <c r="C1989" s="329" t="s">
        <v>4269</v>
      </c>
      <c r="D1989" s="330" t="s">
        <v>4437</v>
      </c>
      <c r="E1989" s="331" t="s">
        <v>8019</v>
      </c>
    </row>
    <row r="1990" spans="1:5" ht="14.5" customHeight="1" x14ac:dyDescent="0.35">
      <c r="A1990" s="196" t="str">
        <f>"51.1105"</f>
        <v>51.1105</v>
      </c>
      <c r="B1990" s="196" t="s">
        <v>5760</v>
      </c>
      <c r="C1990" s="320" t="s">
        <v>4269</v>
      </c>
      <c r="D1990" s="321" t="s">
        <v>8020</v>
      </c>
      <c r="E1990" s="322" t="s">
        <v>8021</v>
      </c>
    </row>
    <row r="1991" spans="1:5" ht="14.5" customHeight="1" x14ac:dyDescent="0.35">
      <c r="A1991" s="196" t="str">
        <f>"51.1106"</f>
        <v>51.1106</v>
      </c>
      <c r="B1991" s="196" t="s">
        <v>5760</v>
      </c>
      <c r="C1991" s="320" t="s">
        <v>4269</v>
      </c>
      <c r="D1991" s="321" t="s">
        <v>8022</v>
      </c>
      <c r="E1991" s="322" t="s">
        <v>8023</v>
      </c>
    </row>
    <row r="1992" spans="1:5" ht="14.5" customHeight="1" x14ac:dyDescent="0.35">
      <c r="A1992" s="196" t="str">
        <f>"51.1107"</f>
        <v>51.1107</v>
      </c>
      <c r="B1992" s="196" t="s">
        <v>5760</v>
      </c>
      <c r="C1992" s="320" t="s">
        <v>4269</v>
      </c>
      <c r="D1992" s="321" t="s">
        <v>8024</v>
      </c>
      <c r="E1992" s="322" t="s">
        <v>8025</v>
      </c>
    </row>
    <row r="1993" spans="1:5" ht="14.5" customHeight="1" x14ac:dyDescent="0.35">
      <c r="A1993" s="196" t="str">
        <f>"51.1108"</f>
        <v>51.1108</v>
      </c>
      <c r="B1993" s="196" t="s">
        <v>5760</v>
      </c>
      <c r="C1993" s="320" t="s">
        <v>4269</v>
      </c>
      <c r="D1993" s="321" t="s">
        <v>8026</v>
      </c>
      <c r="E1993" s="322" t="s">
        <v>8027</v>
      </c>
    </row>
    <row r="1994" spans="1:5" ht="14.5" customHeight="1" x14ac:dyDescent="0.35">
      <c r="A1994" s="196" t="str">
        <f>"51.1109"</f>
        <v>51.1109</v>
      </c>
      <c r="B1994" s="196" t="s">
        <v>5760</v>
      </c>
      <c r="C1994" s="320" t="s">
        <v>4269</v>
      </c>
      <c r="D1994" s="321" t="s">
        <v>8028</v>
      </c>
      <c r="E1994" s="322" t="s">
        <v>8029</v>
      </c>
    </row>
    <row r="1995" spans="1:5" s="327" customFormat="1" ht="14.5" customHeight="1" x14ac:dyDescent="0.35">
      <c r="A1995" s="323" t="str">
        <f>"51.1110"</f>
        <v>51.1110</v>
      </c>
      <c r="B1995" s="323" t="s">
        <v>4297</v>
      </c>
      <c r="C1995" s="324" t="s">
        <v>4269</v>
      </c>
      <c r="D1995" s="325" t="s">
        <v>8030</v>
      </c>
      <c r="E1995" s="326" t="s">
        <v>8031</v>
      </c>
    </row>
    <row r="1996" spans="1:5" s="327" customFormat="1" ht="14.5" customHeight="1" x14ac:dyDescent="0.35">
      <c r="A1996" s="323" t="str">
        <f>"51.1111"</f>
        <v>51.1111</v>
      </c>
      <c r="B1996" s="323" t="s">
        <v>4297</v>
      </c>
      <c r="C1996" s="324" t="s">
        <v>4269</v>
      </c>
      <c r="D1996" s="325" t="s">
        <v>8032</v>
      </c>
      <c r="E1996" s="326" t="s">
        <v>8033</v>
      </c>
    </row>
    <row r="1997" spans="1:5" ht="14.5" customHeight="1" x14ac:dyDescent="0.35">
      <c r="A1997" s="196" t="str">
        <f>"51.1199"</f>
        <v>51.1199</v>
      </c>
      <c r="B1997" s="196" t="s">
        <v>5760</v>
      </c>
      <c r="C1997" s="320" t="s">
        <v>4269</v>
      </c>
      <c r="D1997" s="321" t="s">
        <v>8034</v>
      </c>
      <c r="E1997" s="322" t="s">
        <v>8035</v>
      </c>
    </row>
    <row r="1998" spans="1:5" ht="14.5" customHeight="1" x14ac:dyDescent="0.35">
      <c r="A1998" s="196" t="str">
        <f>"51.12"</f>
        <v>51.12</v>
      </c>
      <c r="B1998" s="196" t="s">
        <v>4265</v>
      </c>
      <c r="C1998" s="320" t="s">
        <v>4266</v>
      </c>
      <c r="D1998" s="321" t="s">
        <v>8036</v>
      </c>
      <c r="E1998" s="322" t="s">
        <v>8037</v>
      </c>
    </row>
    <row r="1999" spans="1:5" ht="14.5" customHeight="1" x14ac:dyDescent="0.35">
      <c r="A1999" s="196" t="str">
        <f>"51.1201"</f>
        <v>51.1201</v>
      </c>
      <c r="B1999" s="196" t="s">
        <v>5760</v>
      </c>
      <c r="C1999" s="320" t="s">
        <v>4269</v>
      </c>
      <c r="D1999" s="321" t="s">
        <v>8036</v>
      </c>
      <c r="E1999" s="322" t="s">
        <v>8038</v>
      </c>
    </row>
    <row r="2000" spans="1:5" s="327" customFormat="1" ht="14.5" customHeight="1" x14ac:dyDescent="0.35">
      <c r="A2000" s="323" t="str">
        <f>"51.1202"</f>
        <v>51.1202</v>
      </c>
      <c r="B2000" s="323" t="s">
        <v>4403</v>
      </c>
      <c r="C2000" s="324" t="s">
        <v>4269</v>
      </c>
      <c r="D2000" s="325" t="s">
        <v>8039</v>
      </c>
      <c r="E2000" s="326" t="s">
        <v>8040</v>
      </c>
    </row>
    <row r="2001" spans="1:5" s="327" customFormat="1" ht="14.5" customHeight="1" x14ac:dyDescent="0.35">
      <c r="A2001" s="323" t="str">
        <f>"51.1203"</f>
        <v>51.1203</v>
      </c>
      <c r="B2001" s="323" t="s">
        <v>4403</v>
      </c>
      <c r="C2001" s="324" t="s">
        <v>4269</v>
      </c>
      <c r="D2001" s="325" t="s">
        <v>8041</v>
      </c>
      <c r="E2001" s="326" t="s">
        <v>8042</v>
      </c>
    </row>
    <row r="2002" spans="1:5" s="327" customFormat="1" ht="14.5" customHeight="1" x14ac:dyDescent="0.35">
      <c r="A2002" s="323" t="str">
        <f>"51.1299"</f>
        <v>51.1299</v>
      </c>
      <c r="B2002" s="323" t="s">
        <v>4297</v>
      </c>
      <c r="C2002" s="324" t="s">
        <v>4269</v>
      </c>
      <c r="D2002" s="325" t="s">
        <v>8043</v>
      </c>
      <c r="E2002" s="326" t="s">
        <v>8044</v>
      </c>
    </row>
    <row r="2003" spans="1:5" ht="14.5" customHeight="1" x14ac:dyDescent="0.35">
      <c r="A2003" s="196" t="str">
        <f>"51.14"</f>
        <v>51.14</v>
      </c>
      <c r="B2003" s="196" t="s">
        <v>4265</v>
      </c>
      <c r="C2003" s="320" t="s">
        <v>4266</v>
      </c>
      <c r="D2003" s="321" t="s">
        <v>8045</v>
      </c>
      <c r="E2003" s="322" t="s">
        <v>8046</v>
      </c>
    </row>
    <row r="2004" spans="1:5" ht="14.5" customHeight="1" x14ac:dyDescent="0.35">
      <c r="A2004" s="196" t="str">
        <f>"51.1401"</f>
        <v>51.1401</v>
      </c>
      <c r="B2004" s="196" t="s">
        <v>4265</v>
      </c>
      <c r="C2004" s="320" t="s">
        <v>4266</v>
      </c>
      <c r="D2004" s="321" t="s">
        <v>8047</v>
      </c>
      <c r="E2004" s="322" t="s">
        <v>8048</v>
      </c>
    </row>
    <row r="2005" spans="1:5" s="327" customFormat="1" ht="14.5" customHeight="1" x14ac:dyDescent="0.35">
      <c r="A2005" s="323" t="str">
        <f>"51.1402"</f>
        <v>51.1402</v>
      </c>
      <c r="B2005" s="323" t="s">
        <v>4297</v>
      </c>
      <c r="C2005" s="324" t="s">
        <v>4269</v>
      </c>
      <c r="D2005" s="325" t="s">
        <v>8049</v>
      </c>
      <c r="E2005" s="326" t="s">
        <v>8050</v>
      </c>
    </row>
    <row r="2006" spans="1:5" s="327" customFormat="1" ht="14.5" customHeight="1" x14ac:dyDescent="0.35">
      <c r="A2006" s="323" t="str">
        <f>"51.1403"</f>
        <v>51.1403</v>
      </c>
      <c r="B2006" s="323" t="s">
        <v>4297</v>
      </c>
      <c r="C2006" s="324" t="s">
        <v>4269</v>
      </c>
      <c r="D2006" s="325" t="s">
        <v>8051</v>
      </c>
      <c r="E2006" s="326" t="s">
        <v>8052</v>
      </c>
    </row>
    <row r="2007" spans="1:5" s="327" customFormat="1" ht="14.5" customHeight="1" x14ac:dyDescent="0.35">
      <c r="A2007" s="323" t="str">
        <f>"51.1404"</f>
        <v>51.1404</v>
      </c>
      <c r="B2007" s="323" t="s">
        <v>4297</v>
      </c>
      <c r="C2007" s="324" t="s">
        <v>4269</v>
      </c>
      <c r="D2007" s="325" t="s">
        <v>8053</v>
      </c>
      <c r="E2007" s="326" t="s">
        <v>8054</v>
      </c>
    </row>
    <row r="2008" spans="1:5" s="327" customFormat="1" ht="14.5" customHeight="1" x14ac:dyDescent="0.35">
      <c r="A2008" s="323" t="str">
        <f>"51.1405"</f>
        <v>51.1405</v>
      </c>
      <c r="B2008" s="323" t="s">
        <v>4297</v>
      </c>
      <c r="C2008" s="324" t="s">
        <v>4269</v>
      </c>
      <c r="D2008" s="325" t="s">
        <v>8055</v>
      </c>
      <c r="E2008" s="326" t="s">
        <v>8056</v>
      </c>
    </row>
    <row r="2009" spans="1:5" s="327" customFormat="1" ht="14.5" customHeight="1" x14ac:dyDescent="0.35">
      <c r="A2009" s="323" t="str">
        <f>"51.1499"</f>
        <v>51.1499</v>
      </c>
      <c r="B2009" s="323" t="s">
        <v>4297</v>
      </c>
      <c r="C2009" s="324" t="s">
        <v>4269</v>
      </c>
      <c r="D2009" s="325" t="s">
        <v>8057</v>
      </c>
      <c r="E2009" s="326" t="s">
        <v>8058</v>
      </c>
    </row>
    <row r="2010" spans="1:5" ht="14.5" customHeight="1" x14ac:dyDescent="0.35">
      <c r="A2010" s="196" t="str">
        <f>"51.15"</f>
        <v>51.15</v>
      </c>
      <c r="B2010" s="196" t="s">
        <v>5760</v>
      </c>
      <c r="C2010" s="320" t="s">
        <v>4269</v>
      </c>
      <c r="D2010" s="321" t="s">
        <v>8059</v>
      </c>
      <c r="E2010" s="322" t="s">
        <v>8060</v>
      </c>
    </row>
    <row r="2011" spans="1:5" ht="14.5" customHeight="1" x14ac:dyDescent="0.35">
      <c r="A2011" s="196" t="str">
        <f>"51.1501"</f>
        <v>51.1501</v>
      </c>
      <c r="B2011" s="196" t="s">
        <v>5760</v>
      </c>
      <c r="C2011" s="320" t="s">
        <v>4269</v>
      </c>
      <c r="D2011" s="321" t="s">
        <v>8061</v>
      </c>
      <c r="E2011" s="322" t="s">
        <v>8062</v>
      </c>
    </row>
    <row r="2012" spans="1:5" ht="14.5" customHeight="1" x14ac:dyDescent="0.35">
      <c r="A2012" s="196" t="str">
        <f>"51.1502"</f>
        <v>51.1502</v>
      </c>
      <c r="B2012" s="196" t="s">
        <v>5760</v>
      </c>
      <c r="C2012" s="320" t="s">
        <v>4269</v>
      </c>
      <c r="D2012" s="321" t="s">
        <v>8063</v>
      </c>
      <c r="E2012" s="322" t="s">
        <v>8064</v>
      </c>
    </row>
    <row r="2013" spans="1:5" ht="14.5" customHeight="1" x14ac:dyDescent="0.35">
      <c r="A2013" s="196" t="str">
        <f>"51.1503"</f>
        <v>51.1503</v>
      </c>
      <c r="B2013" s="196" t="s">
        <v>5760</v>
      </c>
      <c r="C2013" s="320" t="s">
        <v>4269</v>
      </c>
      <c r="D2013" s="321" t="s">
        <v>8065</v>
      </c>
      <c r="E2013" s="322" t="s">
        <v>8066</v>
      </c>
    </row>
    <row r="2014" spans="1:5" ht="14.5" customHeight="1" x14ac:dyDescent="0.35">
      <c r="A2014" s="196" t="str">
        <f>"51.1504"</f>
        <v>51.1504</v>
      </c>
      <c r="B2014" s="196" t="s">
        <v>5760</v>
      </c>
      <c r="C2014" s="320" t="s">
        <v>4269</v>
      </c>
      <c r="D2014" s="321" t="s">
        <v>8067</v>
      </c>
      <c r="E2014" s="322" t="s">
        <v>8068</v>
      </c>
    </row>
    <row r="2015" spans="1:5" ht="14.5" customHeight="1" x14ac:dyDescent="0.35">
      <c r="A2015" s="196" t="str">
        <f>"51.1505"</f>
        <v>51.1505</v>
      </c>
      <c r="B2015" s="196" t="s">
        <v>5760</v>
      </c>
      <c r="C2015" s="320" t="s">
        <v>4269</v>
      </c>
      <c r="D2015" s="321" t="s">
        <v>8069</v>
      </c>
      <c r="E2015" s="322" t="s">
        <v>8070</v>
      </c>
    </row>
    <row r="2016" spans="1:5" ht="14.5" customHeight="1" x14ac:dyDescent="0.35">
      <c r="A2016" s="196" t="str">
        <f>"51.1506"</f>
        <v>51.1506</v>
      </c>
      <c r="B2016" s="196" t="s">
        <v>5760</v>
      </c>
      <c r="C2016" s="320" t="s">
        <v>4269</v>
      </c>
      <c r="D2016" s="321" t="s">
        <v>8071</v>
      </c>
      <c r="E2016" s="322" t="s">
        <v>8072</v>
      </c>
    </row>
    <row r="2017" spans="1:5" ht="14.5" customHeight="1" x14ac:dyDescent="0.35">
      <c r="A2017" s="196" t="str">
        <f>"51.1507"</f>
        <v>51.1507</v>
      </c>
      <c r="B2017" s="196" t="s">
        <v>5760</v>
      </c>
      <c r="C2017" s="320" t="s">
        <v>4269</v>
      </c>
      <c r="D2017" s="321" t="s">
        <v>8073</v>
      </c>
      <c r="E2017" s="322" t="s">
        <v>8074</v>
      </c>
    </row>
    <row r="2018" spans="1:5" ht="14.5" customHeight="1" x14ac:dyDescent="0.35">
      <c r="A2018" s="196" t="str">
        <f>"51.1508"</f>
        <v>51.1508</v>
      </c>
      <c r="B2018" s="196" t="s">
        <v>5760</v>
      </c>
      <c r="C2018" s="320" t="s">
        <v>4269</v>
      </c>
      <c r="D2018" s="321" t="s">
        <v>8075</v>
      </c>
      <c r="E2018" s="322" t="s">
        <v>8076</v>
      </c>
    </row>
    <row r="2019" spans="1:5" ht="14.5" customHeight="1" x14ac:dyDescent="0.35">
      <c r="A2019" s="196" t="str">
        <f>"51.1509"</f>
        <v>51.1509</v>
      </c>
      <c r="B2019" s="196" t="s">
        <v>5760</v>
      </c>
      <c r="C2019" s="320" t="s">
        <v>4269</v>
      </c>
      <c r="D2019" s="321" t="s">
        <v>8077</v>
      </c>
      <c r="E2019" s="322" t="s">
        <v>8078</v>
      </c>
    </row>
    <row r="2020" spans="1:5" s="327" customFormat="1" ht="14.5" customHeight="1" x14ac:dyDescent="0.35">
      <c r="A2020" s="323" t="str">
        <f>"51.1510"</f>
        <v>51.1510</v>
      </c>
      <c r="B2020" s="323" t="s">
        <v>4297</v>
      </c>
      <c r="C2020" s="324" t="s">
        <v>4269</v>
      </c>
      <c r="D2020" s="325" t="s">
        <v>8079</v>
      </c>
      <c r="E2020" s="326" t="s">
        <v>8080</v>
      </c>
    </row>
    <row r="2021" spans="1:5" s="327" customFormat="1" ht="14.5" customHeight="1" x14ac:dyDescent="0.35">
      <c r="A2021" s="323" t="str">
        <f>"51.1511"</f>
        <v>51.1511</v>
      </c>
      <c r="B2021" s="323" t="s">
        <v>4297</v>
      </c>
      <c r="C2021" s="324" t="s">
        <v>4269</v>
      </c>
      <c r="D2021" s="325" t="s">
        <v>8081</v>
      </c>
      <c r="E2021" s="326" t="s">
        <v>8082</v>
      </c>
    </row>
    <row r="2022" spans="1:5" s="327" customFormat="1" ht="14.5" customHeight="1" x14ac:dyDescent="0.35">
      <c r="A2022" s="323" t="str">
        <f>"51.1512"</f>
        <v>51.1512</v>
      </c>
      <c r="B2022" s="323" t="s">
        <v>4297</v>
      </c>
      <c r="C2022" s="324" t="s">
        <v>4269</v>
      </c>
      <c r="D2022" s="325" t="s">
        <v>8083</v>
      </c>
      <c r="E2022" s="326" t="s">
        <v>8084</v>
      </c>
    </row>
    <row r="2023" spans="1:5" s="327" customFormat="1" ht="14.5" customHeight="1" x14ac:dyDescent="0.35">
      <c r="A2023" s="323" t="str">
        <f>"51.1513"</f>
        <v>51.1513</v>
      </c>
      <c r="B2023" s="323" t="s">
        <v>4297</v>
      </c>
      <c r="C2023" s="324" t="s">
        <v>4269</v>
      </c>
      <c r="D2023" s="325" t="s">
        <v>8085</v>
      </c>
      <c r="E2023" s="326" t="s">
        <v>8086</v>
      </c>
    </row>
    <row r="2024" spans="1:5" s="327" customFormat="1" ht="14.5" customHeight="1" x14ac:dyDescent="0.35">
      <c r="A2024" s="323" t="str">
        <f>"51.1580"</f>
        <v>51.1580</v>
      </c>
      <c r="B2024" s="323" t="s">
        <v>4297</v>
      </c>
      <c r="C2024" s="324" t="s">
        <v>4269</v>
      </c>
      <c r="D2024" s="325" t="s">
        <v>4328</v>
      </c>
      <c r="E2024" s="326" t="s">
        <v>4329</v>
      </c>
    </row>
    <row r="2025" spans="1:5" ht="14.5" customHeight="1" x14ac:dyDescent="0.35">
      <c r="A2025" s="196" t="str">
        <f>"51.1599"</f>
        <v>51.1599</v>
      </c>
      <c r="B2025" s="196" t="s">
        <v>5760</v>
      </c>
      <c r="C2025" s="320" t="s">
        <v>4269</v>
      </c>
      <c r="D2025" s="321" t="s">
        <v>8087</v>
      </c>
      <c r="E2025" s="322" t="s">
        <v>8088</v>
      </c>
    </row>
    <row r="2026" spans="1:5" ht="14.5" customHeight="1" x14ac:dyDescent="0.35">
      <c r="A2026" s="196" t="str">
        <f>"51.17"</f>
        <v>51.17</v>
      </c>
      <c r="B2026" s="196" t="s">
        <v>5760</v>
      </c>
      <c r="C2026" s="320" t="s">
        <v>4269</v>
      </c>
      <c r="D2026" s="321" t="s">
        <v>8089</v>
      </c>
      <c r="E2026" s="322" t="s">
        <v>8090</v>
      </c>
    </row>
    <row r="2027" spans="1:5" ht="14.5" customHeight="1" x14ac:dyDescent="0.35">
      <c r="A2027" s="196" t="str">
        <f>"51.1701"</f>
        <v>51.1701</v>
      </c>
      <c r="B2027" s="196" t="s">
        <v>5760</v>
      </c>
      <c r="C2027" s="320" t="s">
        <v>4269</v>
      </c>
      <c r="D2027" s="321" t="s">
        <v>8089</v>
      </c>
      <c r="E2027" s="322" t="s">
        <v>8091</v>
      </c>
    </row>
    <row r="2028" spans="1:5" ht="14.5" customHeight="1" x14ac:dyDescent="0.35">
      <c r="A2028" s="196" t="str">
        <f>"51.18"</f>
        <v>51.18</v>
      </c>
      <c r="B2028" s="196" t="s">
        <v>5760</v>
      </c>
      <c r="C2028" s="320" t="s">
        <v>4269</v>
      </c>
      <c r="D2028" s="321" t="s">
        <v>8092</v>
      </c>
      <c r="E2028" s="322" t="s">
        <v>8093</v>
      </c>
    </row>
    <row r="2029" spans="1:5" ht="14.5" customHeight="1" x14ac:dyDescent="0.35">
      <c r="A2029" s="196" t="str">
        <f>"51.1801"</f>
        <v>51.1801</v>
      </c>
      <c r="B2029" s="196" t="s">
        <v>5760</v>
      </c>
      <c r="C2029" s="320" t="s">
        <v>4269</v>
      </c>
      <c r="D2029" s="321" t="s">
        <v>8094</v>
      </c>
      <c r="E2029" s="322" t="s">
        <v>8095</v>
      </c>
    </row>
    <row r="2030" spans="1:5" ht="14.5" customHeight="1" x14ac:dyDescent="0.35">
      <c r="A2030" s="196" t="str">
        <f>"51.1802"</f>
        <v>51.1802</v>
      </c>
      <c r="B2030" s="196" t="s">
        <v>5760</v>
      </c>
      <c r="C2030" s="320" t="s">
        <v>4269</v>
      </c>
      <c r="D2030" s="321" t="s">
        <v>8096</v>
      </c>
      <c r="E2030" s="322" t="s">
        <v>8097</v>
      </c>
    </row>
    <row r="2031" spans="1:5" ht="14.5" customHeight="1" x14ac:dyDescent="0.35">
      <c r="A2031" s="196" t="str">
        <f>"51.1803"</f>
        <v>51.1803</v>
      </c>
      <c r="B2031" s="196" t="s">
        <v>5760</v>
      </c>
      <c r="C2031" s="320" t="s">
        <v>4269</v>
      </c>
      <c r="D2031" s="321" t="s">
        <v>8098</v>
      </c>
      <c r="E2031" s="322" t="s">
        <v>8099</v>
      </c>
    </row>
    <row r="2032" spans="1:5" ht="14.5" customHeight="1" x14ac:dyDescent="0.35">
      <c r="A2032" s="196" t="str">
        <f>"51.1804"</f>
        <v>51.1804</v>
      </c>
      <c r="B2032" s="196" t="s">
        <v>5760</v>
      </c>
      <c r="C2032" s="320" t="s">
        <v>4269</v>
      </c>
      <c r="D2032" s="321" t="s">
        <v>8100</v>
      </c>
      <c r="E2032" s="322" t="s">
        <v>8101</v>
      </c>
    </row>
    <row r="2033" spans="1:5" ht="14.5" customHeight="1" x14ac:dyDescent="0.35">
      <c r="A2033" s="196" t="str">
        <f>"51.1899"</f>
        <v>51.1899</v>
      </c>
      <c r="B2033" s="196" t="s">
        <v>5760</v>
      </c>
      <c r="C2033" s="320" t="s">
        <v>4269</v>
      </c>
      <c r="D2033" s="321" t="s">
        <v>8102</v>
      </c>
      <c r="E2033" s="322" t="s">
        <v>8103</v>
      </c>
    </row>
    <row r="2034" spans="1:5" s="333" customFormat="1" ht="14.5" customHeight="1" x14ac:dyDescent="0.35">
      <c r="A2034" s="328" t="str">
        <f>"51.19"</f>
        <v>51.19</v>
      </c>
      <c r="B2034" s="328" t="s">
        <v>7353</v>
      </c>
      <c r="C2034" s="329" t="s">
        <v>4269</v>
      </c>
      <c r="D2034" s="330" t="s">
        <v>8039</v>
      </c>
      <c r="E2034" s="331" t="s">
        <v>8104</v>
      </c>
    </row>
    <row r="2035" spans="1:5" s="332" customFormat="1" ht="14.5" customHeight="1" x14ac:dyDescent="0.35">
      <c r="A2035" s="328" t="str">
        <f>"51.1901"</f>
        <v>51.1901</v>
      </c>
      <c r="B2035" s="328" t="s">
        <v>4318</v>
      </c>
      <c r="C2035" s="329" t="s">
        <v>4269</v>
      </c>
      <c r="D2035" s="330" t="s">
        <v>8039</v>
      </c>
      <c r="E2035" s="331" t="s">
        <v>8105</v>
      </c>
    </row>
    <row r="2036" spans="1:5" ht="14.5" customHeight="1" x14ac:dyDescent="0.35">
      <c r="A2036" s="196" t="str">
        <f>"51.20"</f>
        <v>51.20</v>
      </c>
      <c r="B2036" s="196" t="s">
        <v>5760</v>
      </c>
      <c r="C2036" s="320" t="s">
        <v>4269</v>
      </c>
      <c r="D2036" s="321" t="s">
        <v>8106</v>
      </c>
      <c r="E2036" s="322" t="s">
        <v>8107</v>
      </c>
    </row>
    <row r="2037" spans="1:5" ht="14.5" customHeight="1" x14ac:dyDescent="0.35">
      <c r="A2037" s="196" t="str">
        <f>"51.2001"</f>
        <v>51.2001</v>
      </c>
      <c r="B2037" s="196" t="s">
        <v>5760</v>
      </c>
      <c r="C2037" s="320" t="s">
        <v>4269</v>
      </c>
      <c r="D2037" s="321" t="s">
        <v>8108</v>
      </c>
      <c r="E2037" s="322" t="s">
        <v>8109</v>
      </c>
    </row>
    <row r="2038" spans="1:5" ht="14.5" customHeight="1" x14ac:dyDescent="0.35">
      <c r="A2038" s="196" t="str">
        <f>"51.2002"</f>
        <v>51.2002</v>
      </c>
      <c r="B2038" s="196" t="s">
        <v>5760</v>
      </c>
      <c r="C2038" s="320" t="s">
        <v>4269</v>
      </c>
      <c r="D2038" s="321" t="s">
        <v>8110</v>
      </c>
      <c r="E2038" s="322" t="s">
        <v>8111</v>
      </c>
    </row>
    <row r="2039" spans="1:5" ht="14.5" customHeight="1" x14ac:dyDescent="0.35">
      <c r="A2039" s="196" t="str">
        <f>"51.2003"</f>
        <v>51.2003</v>
      </c>
      <c r="B2039" s="196" t="s">
        <v>5760</v>
      </c>
      <c r="C2039" s="320" t="s">
        <v>4269</v>
      </c>
      <c r="D2039" s="321" t="s">
        <v>8112</v>
      </c>
      <c r="E2039" s="322" t="s">
        <v>8113</v>
      </c>
    </row>
    <row r="2040" spans="1:5" ht="14.5" customHeight="1" x14ac:dyDescent="0.35">
      <c r="A2040" s="196" t="str">
        <f>"51.2004"</f>
        <v>51.2004</v>
      </c>
      <c r="B2040" s="196" t="s">
        <v>5760</v>
      </c>
      <c r="C2040" s="320" t="s">
        <v>4269</v>
      </c>
      <c r="D2040" s="321" t="s">
        <v>8114</v>
      </c>
      <c r="E2040" s="322" t="s">
        <v>8115</v>
      </c>
    </row>
    <row r="2041" spans="1:5" ht="14.5" customHeight="1" x14ac:dyDescent="0.35">
      <c r="A2041" s="196" t="str">
        <f>"51.2005"</f>
        <v>51.2005</v>
      </c>
      <c r="B2041" s="196" t="s">
        <v>5760</v>
      </c>
      <c r="C2041" s="320" t="s">
        <v>4269</v>
      </c>
      <c r="D2041" s="321" t="s">
        <v>8116</v>
      </c>
      <c r="E2041" s="322" t="s">
        <v>8117</v>
      </c>
    </row>
    <row r="2042" spans="1:5" ht="14.5" customHeight="1" x14ac:dyDescent="0.35">
      <c r="A2042" s="196" t="str">
        <f>"51.2006"</f>
        <v>51.2006</v>
      </c>
      <c r="B2042" s="196" t="s">
        <v>5760</v>
      </c>
      <c r="C2042" s="320" t="s">
        <v>4269</v>
      </c>
      <c r="D2042" s="321" t="s">
        <v>8118</v>
      </c>
      <c r="E2042" s="322" t="s">
        <v>8119</v>
      </c>
    </row>
    <row r="2043" spans="1:5" ht="14.5" customHeight="1" x14ac:dyDescent="0.35">
      <c r="A2043" s="196" t="str">
        <f>"51.2007"</f>
        <v>51.2007</v>
      </c>
      <c r="B2043" s="196" t="s">
        <v>5760</v>
      </c>
      <c r="C2043" s="320" t="s">
        <v>4269</v>
      </c>
      <c r="D2043" s="321" t="s">
        <v>8120</v>
      </c>
      <c r="E2043" s="322" t="s">
        <v>8121</v>
      </c>
    </row>
    <row r="2044" spans="1:5" ht="14.5" customHeight="1" x14ac:dyDescent="0.35">
      <c r="A2044" s="196" t="str">
        <f>"51.2008"</f>
        <v>51.2008</v>
      </c>
      <c r="B2044" s="196" t="s">
        <v>5760</v>
      </c>
      <c r="C2044" s="320" t="s">
        <v>4269</v>
      </c>
      <c r="D2044" s="321" t="s">
        <v>8122</v>
      </c>
      <c r="E2044" s="322" t="s">
        <v>8123</v>
      </c>
    </row>
    <row r="2045" spans="1:5" ht="14.5" customHeight="1" x14ac:dyDescent="0.35">
      <c r="A2045" s="196" t="str">
        <f>"51.2009"</f>
        <v>51.2009</v>
      </c>
      <c r="B2045" s="196" t="s">
        <v>5760</v>
      </c>
      <c r="C2045" s="320" t="s">
        <v>4269</v>
      </c>
      <c r="D2045" s="321" t="s">
        <v>8124</v>
      </c>
      <c r="E2045" s="322" t="s">
        <v>8125</v>
      </c>
    </row>
    <row r="2046" spans="1:5" ht="14.5" customHeight="1" x14ac:dyDescent="0.35">
      <c r="A2046" s="196" t="str">
        <f>"51.2010"</f>
        <v>51.2010</v>
      </c>
      <c r="B2046" s="196" t="s">
        <v>5760</v>
      </c>
      <c r="C2046" s="320" t="s">
        <v>4269</v>
      </c>
      <c r="D2046" s="321" t="s">
        <v>8126</v>
      </c>
      <c r="E2046" s="322" t="s">
        <v>8127</v>
      </c>
    </row>
    <row r="2047" spans="1:5" ht="14.5" customHeight="1" x14ac:dyDescent="0.35">
      <c r="A2047" s="196" t="str">
        <f>"51.2011"</f>
        <v>51.2011</v>
      </c>
      <c r="B2047" s="196" t="s">
        <v>5760</v>
      </c>
      <c r="C2047" s="320" t="s">
        <v>4269</v>
      </c>
      <c r="D2047" s="321" t="s">
        <v>8128</v>
      </c>
      <c r="E2047" s="322" t="s">
        <v>8129</v>
      </c>
    </row>
    <row r="2048" spans="1:5" ht="14.5" customHeight="1" x14ac:dyDescent="0.35">
      <c r="A2048" s="196" t="str">
        <f>"51.2099"</f>
        <v>51.2099</v>
      </c>
      <c r="B2048" s="196" t="s">
        <v>5760</v>
      </c>
      <c r="C2048" s="320" t="s">
        <v>4269</v>
      </c>
      <c r="D2048" s="321" t="s">
        <v>8130</v>
      </c>
      <c r="E2048" s="322" t="s">
        <v>8131</v>
      </c>
    </row>
    <row r="2049" spans="1:5" s="333" customFormat="1" ht="14.5" customHeight="1" x14ac:dyDescent="0.35">
      <c r="A2049" s="328" t="str">
        <f>"51.21"</f>
        <v>51.21</v>
      </c>
      <c r="B2049" s="328" t="s">
        <v>7353</v>
      </c>
      <c r="C2049" s="329" t="s">
        <v>4269</v>
      </c>
      <c r="D2049" s="330" t="s">
        <v>8041</v>
      </c>
      <c r="E2049" s="331" t="s">
        <v>8132</v>
      </c>
    </row>
    <row r="2050" spans="1:5" s="332" customFormat="1" ht="14.5" customHeight="1" x14ac:dyDescent="0.35">
      <c r="A2050" s="328" t="str">
        <f>"51.2101"</f>
        <v>51.2101</v>
      </c>
      <c r="B2050" s="328" t="s">
        <v>4318</v>
      </c>
      <c r="C2050" s="329" t="s">
        <v>4269</v>
      </c>
      <c r="D2050" s="330" t="s">
        <v>8041</v>
      </c>
      <c r="E2050" s="331" t="s">
        <v>8133</v>
      </c>
    </row>
    <row r="2051" spans="1:5" ht="14.5" customHeight="1" x14ac:dyDescent="0.35">
      <c r="A2051" s="196" t="str">
        <f>"51.22"</f>
        <v>51.22</v>
      </c>
      <c r="B2051" s="196" t="s">
        <v>5760</v>
      </c>
      <c r="C2051" s="320" t="s">
        <v>4269</v>
      </c>
      <c r="D2051" s="321" t="s">
        <v>8134</v>
      </c>
      <c r="E2051" s="322" t="s">
        <v>8135</v>
      </c>
    </row>
    <row r="2052" spans="1:5" ht="14.5" customHeight="1" x14ac:dyDescent="0.35">
      <c r="A2052" s="196" t="str">
        <f>"51.2201"</f>
        <v>51.2201</v>
      </c>
      <c r="B2052" s="196" t="s">
        <v>5760</v>
      </c>
      <c r="C2052" s="320" t="s">
        <v>4269</v>
      </c>
      <c r="D2052" s="321" t="s">
        <v>8136</v>
      </c>
      <c r="E2052" s="322" t="s">
        <v>8137</v>
      </c>
    </row>
    <row r="2053" spans="1:5" ht="14.5" customHeight="1" x14ac:dyDescent="0.35">
      <c r="A2053" s="196" t="str">
        <f>"51.2202"</f>
        <v>51.2202</v>
      </c>
      <c r="B2053" s="196" t="s">
        <v>5760</v>
      </c>
      <c r="C2053" s="320" t="s">
        <v>4269</v>
      </c>
      <c r="D2053" s="321" t="s">
        <v>8138</v>
      </c>
      <c r="E2053" s="322" t="s">
        <v>8139</v>
      </c>
    </row>
    <row r="2054" spans="1:5" ht="14.5" customHeight="1" x14ac:dyDescent="0.35">
      <c r="A2054" s="196" t="str">
        <f>"51.2205"</f>
        <v>51.2205</v>
      </c>
      <c r="B2054" s="196" t="s">
        <v>5760</v>
      </c>
      <c r="C2054" s="320" t="s">
        <v>4269</v>
      </c>
      <c r="D2054" s="321" t="s">
        <v>8140</v>
      </c>
      <c r="E2054" s="322" t="s">
        <v>8141</v>
      </c>
    </row>
    <row r="2055" spans="1:5" ht="14.5" customHeight="1" x14ac:dyDescent="0.35">
      <c r="A2055" s="196" t="str">
        <f>"51.2206"</f>
        <v>51.2206</v>
      </c>
      <c r="B2055" s="196" t="s">
        <v>5760</v>
      </c>
      <c r="C2055" s="320" t="s">
        <v>4269</v>
      </c>
      <c r="D2055" s="321" t="s">
        <v>8142</v>
      </c>
      <c r="E2055" s="322" t="s">
        <v>8143</v>
      </c>
    </row>
    <row r="2056" spans="1:5" ht="14.5" customHeight="1" x14ac:dyDescent="0.35">
      <c r="A2056" s="196" t="str">
        <f>"51.2207"</f>
        <v>51.2207</v>
      </c>
      <c r="B2056" s="196" t="s">
        <v>5760</v>
      </c>
      <c r="C2056" s="320" t="s">
        <v>4269</v>
      </c>
      <c r="D2056" s="321" t="s">
        <v>8144</v>
      </c>
      <c r="E2056" s="322" t="s">
        <v>8145</v>
      </c>
    </row>
    <row r="2057" spans="1:5" ht="14.5" customHeight="1" x14ac:dyDescent="0.35">
      <c r="A2057" s="196" t="str">
        <f>"51.2208"</f>
        <v>51.2208</v>
      </c>
      <c r="B2057" s="196" t="s">
        <v>5760</v>
      </c>
      <c r="C2057" s="320" t="s">
        <v>4269</v>
      </c>
      <c r="D2057" s="321" t="s">
        <v>8146</v>
      </c>
      <c r="E2057" s="322" t="s">
        <v>8147</v>
      </c>
    </row>
    <row r="2058" spans="1:5" ht="14.5" customHeight="1" x14ac:dyDescent="0.35">
      <c r="A2058" s="196" t="str">
        <f>"51.2209"</f>
        <v>51.2209</v>
      </c>
      <c r="B2058" s="196" t="s">
        <v>5760</v>
      </c>
      <c r="C2058" s="320" t="s">
        <v>4269</v>
      </c>
      <c r="D2058" s="321" t="s">
        <v>8148</v>
      </c>
      <c r="E2058" s="322" t="s">
        <v>8149</v>
      </c>
    </row>
    <row r="2059" spans="1:5" ht="14.5" customHeight="1" x14ac:dyDescent="0.35">
      <c r="A2059" s="196" t="str">
        <f>"51.2210"</f>
        <v>51.2210</v>
      </c>
      <c r="B2059" s="196" t="s">
        <v>5760</v>
      </c>
      <c r="C2059" s="320" t="s">
        <v>4269</v>
      </c>
      <c r="D2059" s="321" t="s">
        <v>8150</v>
      </c>
      <c r="E2059" s="322" t="s">
        <v>8151</v>
      </c>
    </row>
    <row r="2060" spans="1:5" ht="14.5" customHeight="1" x14ac:dyDescent="0.35">
      <c r="A2060" s="196" t="str">
        <f>"51.2211"</f>
        <v>51.2211</v>
      </c>
      <c r="B2060" s="196" t="s">
        <v>5760</v>
      </c>
      <c r="C2060" s="320" t="s">
        <v>4269</v>
      </c>
      <c r="D2060" s="321" t="s">
        <v>8152</v>
      </c>
      <c r="E2060" s="322" t="s">
        <v>8153</v>
      </c>
    </row>
    <row r="2061" spans="1:5" ht="14.5" customHeight="1" x14ac:dyDescent="0.35">
      <c r="A2061" s="196" t="str">
        <f>"51.2212"</f>
        <v>51.2212</v>
      </c>
      <c r="B2061" s="196" t="s">
        <v>5760</v>
      </c>
      <c r="C2061" s="320" t="s">
        <v>4269</v>
      </c>
      <c r="D2061" s="321" t="s">
        <v>8154</v>
      </c>
      <c r="E2061" s="322" t="s">
        <v>8155</v>
      </c>
    </row>
    <row r="2062" spans="1:5" s="327" customFormat="1" ht="14.5" customHeight="1" x14ac:dyDescent="0.35">
      <c r="A2062" s="323" t="str">
        <f>"51.2213"</f>
        <v>51.2213</v>
      </c>
      <c r="B2062" s="323" t="s">
        <v>4297</v>
      </c>
      <c r="C2062" s="324" t="s">
        <v>4269</v>
      </c>
      <c r="D2062" s="325" t="s">
        <v>8156</v>
      </c>
      <c r="E2062" s="326" t="s">
        <v>8157</v>
      </c>
    </row>
    <row r="2063" spans="1:5" s="327" customFormat="1" ht="14.5" customHeight="1" x14ac:dyDescent="0.35">
      <c r="A2063" s="323" t="str">
        <f>"51.2214"</f>
        <v>51.2214</v>
      </c>
      <c r="B2063" s="323" t="s">
        <v>4297</v>
      </c>
      <c r="C2063" s="324" t="s">
        <v>4269</v>
      </c>
      <c r="D2063" s="325" t="s">
        <v>8158</v>
      </c>
      <c r="E2063" s="326" t="s">
        <v>8159</v>
      </c>
    </row>
    <row r="2064" spans="1:5" s="327" customFormat="1" ht="14.5" customHeight="1" x14ac:dyDescent="0.35">
      <c r="A2064" s="323" t="str">
        <f>"51.2280"</f>
        <v>51.2280</v>
      </c>
      <c r="B2064" s="323" t="s">
        <v>4297</v>
      </c>
      <c r="C2064" s="324" t="s">
        <v>4269</v>
      </c>
      <c r="D2064" s="325" t="s">
        <v>4328</v>
      </c>
      <c r="E2064" s="326" t="s">
        <v>4329</v>
      </c>
    </row>
    <row r="2065" spans="1:5" ht="14.5" customHeight="1" x14ac:dyDescent="0.35">
      <c r="A2065" s="196" t="str">
        <f>"51.2299"</f>
        <v>51.2299</v>
      </c>
      <c r="B2065" s="196" t="s">
        <v>5760</v>
      </c>
      <c r="C2065" s="320" t="s">
        <v>4269</v>
      </c>
      <c r="D2065" s="321" t="s">
        <v>8160</v>
      </c>
      <c r="E2065" s="322" t="s">
        <v>8161</v>
      </c>
    </row>
    <row r="2066" spans="1:5" ht="14.5" customHeight="1" x14ac:dyDescent="0.35">
      <c r="A2066" s="196" t="str">
        <f>"51.23"</f>
        <v>51.23</v>
      </c>
      <c r="B2066" s="196" t="s">
        <v>5760</v>
      </c>
      <c r="C2066" s="320" t="s">
        <v>4269</v>
      </c>
      <c r="D2066" s="321" t="s">
        <v>8162</v>
      </c>
      <c r="E2066" s="322" t="s">
        <v>8163</v>
      </c>
    </row>
    <row r="2067" spans="1:5" s="327" customFormat="1" ht="14.5" customHeight="1" x14ac:dyDescent="0.35">
      <c r="A2067" s="323" t="str">
        <f>"51.2300"</f>
        <v>51.2300</v>
      </c>
      <c r="B2067" s="323" t="s">
        <v>4297</v>
      </c>
      <c r="C2067" s="324" t="s">
        <v>4269</v>
      </c>
      <c r="D2067" s="325" t="s">
        <v>8164</v>
      </c>
      <c r="E2067" s="326" t="s">
        <v>8165</v>
      </c>
    </row>
    <row r="2068" spans="1:5" ht="14.5" customHeight="1" x14ac:dyDescent="0.35">
      <c r="A2068" s="196" t="str">
        <f>"51.2301"</f>
        <v>51.2301</v>
      </c>
      <c r="B2068" s="196" t="s">
        <v>5760</v>
      </c>
      <c r="C2068" s="320" t="s">
        <v>4269</v>
      </c>
      <c r="D2068" s="321" t="s">
        <v>8166</v>
      </c>
      <c r="E2068" s="322" t="s">
        <v>8167</v>
      </c>
    </row>
    <row r="2069" spans="1:5" ht="14.5" customHeight="1" x14ac:dyDescent="0.35">
      <c r="A2069" s="196" t="str">
        <f>"51.2302"</f>
        <v>51.2302</v>
      </c>
      <c r="B2069" s="196" t="s">
        <v>5760</v>
      </c>
      <c r="C2069" s="320" t="s">
        <v>4269</v>
      </c>
      <c r="D2069" s="321" t="s">
        <v>8168</v>
      </c>
      <c r="E2069" s="322" t="s">
        <v>8169</v>
      </c>
    </row>
    <row r="2070" spans="1:5" ht="14.5" customHeight="1" x14ac:dyDescent="0.35">
      <c r="A2070" s="196" t="str">
        <f>"51.2305"</f>
        <v>51.2305</v>
      </c>
      <c r="B2070" s="196" t="s">
        <v>4265</v>
      </c>
      <c r="C2070" s="320" t="s">
        <v>4266</v>
      </c>
      <c r="D2070" s="321" t="s">
        <v>8170</v>
      </c>
      <c r="E2070" s="322" t="s">
        <v>8171</v>
      </c>
    </row>
    <row r="2071" spans="1:5" ht="14.5" customHeight="1" x14ac:dyDescent="0.35">
      <c r="A2071" s="196" t="str">
        <f>"51.2306"</f>
        <v>51.2306</v>
      </c>
      <c r="B2071" s="196" t="s">
        <v>5760</v>
      </c>
      <c r="C2071" s="320" t="s">
        <v>4269</v>
      </c>
      <c r="D2071" s="321" t="s">
        <v>8172</v>
      </c>
      <c r="E2071" s="322" t="s">
        <v>8173</v>
      </c>
    </row>
    <row r="2072" spans="1:5" ht="14.5" customHeight="1" x14ac:dyDescent="0.35">
      <c r="A2072" s="196" t="str">
        <f>"51.2307"</f>
        <v>51.2307</v>
      </c>
      <c r="B2072" s="196" t="s">
        <v>5760</v>
      </c>
      <c r="C2072" s="320" t="s">
        <v>4269</v>
      </c>
      <c r="D2072" s="321" t="s">
        <v>8174</v>
      </c>
      <c r="E2072" s="322" t="s">
        <v>8175</v>
      </c>
    </row>
    <row r="2073" spans="1:5" ht="14.5" customHeight="1" x14ac:dyDescent="0.35">
      <c r="A2073" s="196" t="str">
        <f>"51.2308"</f>
        <v>51.2308</v>
      </c>
      <c r="B2073" s="196" t="s">
        <v>4265</v>
      </c>
      <c r="C2073" s="320" t="s">
        <v>4266</v>
      </c>
      <c r="D2073" s="321" t="s">
        <v>8176</v>
      </c>
      <c r="E2073" s="322" t="s">
        <v>8177</v>
      </c>
    </row>
    <row r="2074" spans="1:5" ht="14.5" customHeight="1" x14ac:dyDescent="0.35">
      <c r="A2074" s="196" t="str">
        <f>"51.2309"</f>
        <v>51.2309</v>
      </c>
      <c r="B2074" s="196" t="s">
        <v>5760</v>
      </c>
      <c r="C2074" s="320" t="s">
        <v>4269</v>
      </c>
      <c r="D2074" s="321" t="s">
        <v>8178</v>
      </c>
      <c r="E2074" s="322" t="s">
        <v>8179</v>
      </c>
    </row>
    <row r="2075" spans="1:5" ht="14.5" customHeight="1" x14ac:dyDescent="0.35">
      <c r="A2075" s="196" t="str">
        <f>"51.2310"</f>
        <v>51.2310</v>
      </c>
      <c r="B2075" s="196" t="s">
        <v>5760</v>
      </c>
      <c r="C2075" s="320" t="s">
        <v>4269</v>
      </c>
      <c r="D2075" s="321" t="s">
        <v>8180</v>
      </c>
      <c r="E2075" s="322" t="s">
        <v>8181</v>
      </c>
    </row>
    <row r="2076" spans="1:5" ht="14.5" customHeight="1" x14ac:dyDescent="0.35">
      <c r="A2076" s="196" t="str">
        <f>"51.2311"</f>
        <v>51.2311</v>
      </c>
      <c r="B2076" s="196" t="s">
        <v>5760</v>
      </c>
      <c r="C2076" s="320" t="s">
        <v>4269</v>
      </c>
      <c r="D2076" s="321" t="s">
        <v>8182</v>
      </c>
      <c r="E2076" s="322" t="s">
        <v>8183</v>
      </c>
    </row>
    <row r="2077" spans="1:5" ht="14.5" customHeight="1" x14ac:dyDescent="0.35">
      <c r="A2077" s="196" t="str">
        <f>"51.2312"</f>
        <v>51.2312</v>
      </c>
      <c r="B2077" s="196" t="s">
        <v>5760</v>
      </c>
      <c r="C2077" s="320" t="s">
        <v>4269</v>
      </c>
      <c r="D2077" s="321" t="s">
        <v>8184</v>
      </c>
      <c r="E2077" s="322" t="s">
        <v>8185</v>
      </c>
    </row>
    <row r="2078" spans="1:5" ht="14.5" customHeight="1" x14ac:dyDescent="0.35">
      <c r="A2078" s="196" t="str">
        <f>"51.2313"</f>
        <v>51.2313</v>
      </c>
      <c r="B2078" s="196" t="s">
        <v>5760</v>
      </c>
      <c r="C2078" s="320" t="s">
        <v>4269</v>
      </c>
      <c r="D2078" s="321" t="s">
        <v>8186</v>
      </c>
      <c r="E2078" s="322" t="s">
        <v>8187</v>
      </c>
    </row>
    <row r="2079" spans="1:5" ht="14.5" customHeight="1" x14ac:dyDescent="0.35">
      <c r="A2079" s="196" t="str">
        <f>"51.2314"</f>
        <v>51.2314</v>
      </c>
      <c r="B2079" s="196" t="s">
        <v>5760</v>
      </c>
      <c r="C2079" s="320" t="s">
        <v>4269</v>
      </c>
      <c r="D2079" s="321" t="s">
        <v>8188</v>
      </c>
      <c r="E2079" s="322" t="s">
        <v>8189</v>
      </c>
    </row>
    <row r="2080" spans="1:5" s="327" customFormat="1" ht="14.5" customHeight="1" x14ac:dyDescent="0.35">
      <c r="A2080" s="323" t="str">
        <f>"51.2315"</f>
        <v>51.2315</v>
      </c>
      <c r="B2080" s="323" t="s">
        <v>4297</v>
      </c>
      <c r="C2080" s="324" t="s">
        <v>4269</v>
      </c>
      <c r="D2080" s="325" t="s">
        <v>8190</v>
      </c>
      <c r="E2080" s="326" t="s">
        <v>8191</v>
      </c>
    </row>
    <row r="2081" spans="1:5" s="327" customFormat="1" ht="14.5" customHeight="1" x14ac:dyDescent="0.35">
      <c r="A2081" s="323" t="str">
        <f>"51.2316"</f>
        <v>51.2316</v>
      </c>
      <c r="B2081" s="323" t="s">
        <v>4297</v>
      </c>
      <c r="C2081" s="324" t="s">
        <v>4269</v>
      </c>
      <c r="D2081" s="325" t="s">
        <v>8192</v>
      </c>
      <c r="E2081" s="326" t="s">
        <v>8193</v>
      </c>
    </row>
    <row r="2082" spans="1:5" s="327" customFormat="1" ht="14.5" customHeight="1" x14ac:dyDescent="0.35">
      <c r="A2082" s="323" t="str">
        <f>"51.2317"</f>
        <v>51.2317</v>
      </c>
      <c r="B2082" s="323" t="s">
        <v>4297</v>
      </c>
      <c r="C2082" s="324" t="s">
        <v>4269</v>
      </c>
      <c r="D2082" s="325" t="s">
        <v>8194</v>
      </c>
      <c r="E2082" s="326" t="s">
        <v>8195</v>
      </c>
    </row>
    <row r="2083" spans="1:5" ht="14.5" customHeight="1" x14ac:dyDescent="0.35">
      <c r="A2083" s="196" t="str">
        <f>"51.2399"</f>
        <v>51.2399</v>
      </c>
      <c r="B2083" s="196" t="s">
        <v>5760</v>
      </c>
      <c r="C2083" s="320" t="s">
        <v>4269</v>
      </c>
      <c r="D2083" s="321" t="s">
        <v>8196</v>
      </c>
      <c r="E2083" s="322" t="s">
        <v>8197</v>
      </c>
    </row>
    <row r="2084" spans="1:5" s="332" customFormat="1" ht="14.5" customHeight="1" x14ac:dyDescent="0.35">
      <c r="A2084" s="328" t="str">
        <f>"51.24"</f>
        <v>51.24</v>
      </c>
      <c r="B2084" s="328" t="s">
        <v>4318</v>
      </c>
      <c r="C2084" s="329" t="s">
        <v>4269</v>
      </c>
      <c r="D2084" s="330" t="s">
        <v>4441</v>
      </c>
      <c r="E2084" s="331" t="s">
        <v>8198</v>
      </c>
    </row>
    <row r="2085" spans="1:5" s="332" customFormat="1" ht="14.5" customHeight="1" x14ac:dyDescent="0.35">
      <c r="A2085" s="328" t="str">
        <f>"51.2401"</f>
        <v>51.2401</v>
      </c>
      <c r="B2085" s="328" t="s">
        <v>4318</v>
      </c>
      <c r="C2085" s="329" t="s">
        <v>4269</v>
      </c>
      <c r="D2085" s="330" t="s">
        <v>4441</v>
      </c>
      <c r="E2085" s="331" t="s">
        <v>8199</v>
      </c>
    </row>
    <row r="2086" spans="1:5" s="332" customFormat="1" ht="14.5" customHeight="1" x14ac:dyDescent="0.35">
      <c r="A2086" s="328" t="str">
        <f>"51.25"</f>
        <v>51.25</v>
      </c>
      <c r="B2086" s="328" t="s">
        <v>4318</v>
      </c>
      <c r="C2086" s="329" t="s">
        <v>4269</v>
      </c>
      <c r="D2086" s="330" t="s">
        <v>4444</v>
      </c>
      <c r="E2086" s="331" t="s">
        <v>8200</v>
      </c>
    </row>
    <row r="2087" spans="1:5" s="332" customFormat="1" ht="14.5" customHeight="1" x14ac:dyDescent="0.35">
      <c r="A2087" s="328" t="str">
        <f>"51.2501"</f>
        <v>51.2501</v>
      </c>
      <c r="B2087" s="328" t="s">
        <v>4318</v>
      </c>
      <c r="C2087" s="329" t="s">
        <v>4269</v>
      </c>
      <c r="D2087" s="330" t="s">
        <v>4446</v>
      </c>
      <c r="E2087" s="331" t="s">
        <v>8201</v>
      </c>
    </row>
    <row r="2088" spans="1:5" s="332" customFormat="1" ht="14.5" customHeight="1" x14ac:dyDescent="0.35">
      <c r="A2088" s="328" t="str">
        <f>"51.2502"</f>
        <v>51.2502</v>
      </c>
      <c r="B2088" s="328" t="s">
        <v>4318</v>
      </c>
      <c r="C2088" s="329" t="s">
        <v>4269</v>
      </c>
      <c r="D2088" s="330" t="s">
        <v>4454</v>
      </c>
      <c r="E2088" s="331" t="s">
        <v>8202</v>
      </c>
    </row>
    <row r="2089" spans="1:5" s="332" customFormat="1" ht="14.5" customHeight="1" x14ac:dyDescent="0.35">
      <c r="A2089" s="328" t="str">
        <f>"51.2503"</f>
        <v>51.2503</v>
      </c>
      <c r="B2089" s="328" t="s">
        <v>4318</v>
      </c>
      <c r="C2089" s="329" t="s">
        <v>4269</v>
      </c>
      <c r="D2089" s="330" t="s">
        <v>4462</v>
      </c>
      <c r="E2089" s="331" t="s">
        <v>8203</v>
      </c>
    </row>
    <row r="2090" spans="1:5" s="332" customFormat="1" ht="14.5" customHeight="1" x14ac:dyDescent="0.35">
      <c r="A2090" s="328" t="str">
        <f>"51.2504"</f>
        <v>51.2504</v>
      </c>
      <c r="B2090" s="328" t="s">
        <v>4318</v>
      </c>
      <c r="C2090" s="329" t="s">
        <v>4269</v>
      </c>
      <c r="D2090" s="330" t="s">
        <v>4458</v>
      </c>
      <c r="E2090" s="331" t="s">
        <v>8204</v>
      </c>
    </row>
    <row r="2091" spans="1:5" s="332" customFormat="1" ht="14.5" customHeight="1" x14ac:dyDescent="0.35">
      <c r="A2091" s="328" t="str">
        <f>"51.2505"</f>
        <v>51.2505</v>
      </c>
      <c r="B2091" s="328" t="s">
        <v>4318</v>
      </c>
      <c r="C2091" s="329" t="s">
        <v>4269</v>
      </c>
      <c r="D2091" s="330" t="s">
        <v>4460</v>
      </c>
      <c r="E2091" s="331" t="s">
        <v>8205</v>
      </c>
    </row>
    <row r="2092" spans="1:5" s="332" customFormat="1" ht="14.5" customHeight="1" x14ac:dyDescent="0.35">
      <c r="A2092" s="328" t="str">
        <f>"51.2506"</f>
        <v>51.2506</v>
      </c>
      <c r="B2092" s="328" t="s">
        <v>4318</v>
      </c>
      <c r="C2092" s="329" t="s">
        <v>4269</v>
      </c>
      <c r="D2092" s="330" t="s">
        <v>4466</v>
      </c>
      <c r="E2092" s="331" t="s">
        <v>8206</v>
      </c>
    </row>
    <row r="2093" spans="1:5" s="332" customFormat="1" ht="14.5" customHeight="1" x14ac:dyDescent="0.35">
      <c r="A2093" s="328" t="str">
        <f>"51.2507"</f>
        <v>51.2507</v>
      </c>
      <c r="B2093" s="328" t="s">
        <v>4318</v>
      </c>
      <c r="C2093" s="329" t="s">
        <v>4269</v>
      </c>
      <c r="D2093" s="330" t="s">
        <v>4450</v>
      </c>
      <c r="E2093" s="331" t="s">
        <v>8207</v>
      </c>
    </row>
    <row r="2094" spans="1:5" s="332" customFormat="1" ht="14.5" customHeight="1" x14ac:dyDescent="0.35">
      <c r="A2094" s="328" t="str">
        <f>"51.2508"</f>
        <v>51.2508</v>
      </c>
      <c r="B2094" s="328" t="s">
        <v>4318</v>
      </c>
      <c r="C2094" s="329" t="s">
        <v>4269</v>
      </c>
      <c r="D2094" s="330" t="s">
        <v>4452</v>
      </c>
      <c r="E2094" s="331" t="s">
        <v>8208</v>
      </c>
    </row>
    <row r="2095" spans="1:5" s="332" customFormat="1" ht="14.5" customHeight="1" x14ac:dyDescent="0.35">
      <c r="A2095" s="328" t="str">
        <f>"51.2509"</f>
        <v>51.2509</v>
      </c>
      <c r="B2095" s="328" t="s">
        <v>4318</v>
      </c>
      <c r="C2095" s="329" t="s">
        <v>4269</v>
      </c>
      <c r="D2095" s="330" t="s">
        <v>4448</v>
      </c>
      <c r="E2095" s="331" t="s">
        <v>8209</v>
      </c>
    </row>
    <row r="2096" spans="1:5" s="332" customFormat="1" ht="14.5" customHeight="1" x14ac:dyDescent="0.35">
      <c r="A2096" s="328" t="str">
        <f>"51.2510"</f>
        <v>51.2510</v>
      </c>
      <c r="B2096" s="328" t="s">
        <v>4318</v>
      </c>
      <c r="C2096" s="329" t="s">
        <v>4269</v>
      </c>
      <c r="D2096" s="330" t="s">
        <v>4464</v>
      </c>
      <c r="E2096" s="331" t="s">
        <v>8210</v>
      </c>
    </row>
    <row r="2097" spans="1:5" s="332" customFormat="1" ht="14.5" customHeight="1" x14ac:dyDescent="0.35">
      <c r="A2097" s="328" t="str">
        <f>"51.2511"</f>
        <v>51.2511</v>
      </c>
      <c r="B2097" s="328" t="s">
        <v>4318</v>
      </c>
      <c r="C2097" s="329" t="s">
        <v>4269</v>
      </c>
      <c r="D2097" s="330" t="s">
        <v>4456</v>
      </c>
      <c r="E2097" s="331" t="s">
        <v>8211</v>
      </c>
    </row>
    <row r="2098" spans="1:5" s="332" customFormat="1" ht="14.5" customHeight="1" x14ac:dyDescent="0.35">
      <c r="A2098" s="328" t="str">
        <f>"51.2599"</f>
        <v>51.2599</v>
      </c>
      <c r="B2098" s="328" t="s">
        <v>4318</v>
      </c>
      <c r="C2098" s="329" t="s">
        <v>4269</v>
      </c>
      <c r="D2098" s="330" t="s">
        <v>4468</v>
      </c>
      <c r="E2098" s="331" t="s">
        <v>8212</v>
      </c>
    </row>
    <row r="2099" spans="1:5" ht="14.5" customHeight="1" x14ac:dyDescent="0.35">
      <c r="A2099" s="196" t="str">
        <f>"51.26"</f>
        <v>51.26</v>
      </c>
      <c r="B2099" s="196" t="s">
        <v>5760</v>
      </c>
      <c r="C2099" s="320" t="s">
        <v>4269</v>
      </c>
      <c r="D2099" s="321" t="s">
        <v>8213</v>
      </c>
      <c r="E2099" s="322" t="s">
        <v>8214</v>
      </c>
    </row>
    <row r="2100" spans="1:5" ht="14.5" customHeight="1" x14ac:dyDescent="0.35">
      <c r="A2100" s="196" t="str">
        <f>"51.2601"</f>
        <v>51.2601</v>
      </c>
      <c r="B2100" s="196" t="s">
        <v>5760</v>
      </c>
      <c r="C2100" s="320" t="s">
        <v>4269</v>
      </c>
      <c r="D2100" s="321" t="s">
        <v>8215</v>
      </c>
      <c r="E2100" s="322" t="s">
        <v>8216</v>
      </c>
    </row>
    <row r="2101" spans="1:5" ht="14.5" customHeight="1" x14ac:dyDescent="0.35">
      <c r="A2101" s="196" t="str">
        <f>"51.2602"</f>
        <v>51.2602</v>
      </c>
      <c r="B2101" s="196" t="s">
        <v>5760</v>
      </c>
      <c r="C2101" s="320" t="s">
        <v>4269</v>
      </c>
      <c r="D2101" s="321" t="s">
        <v>8217</v>
      </c>
      <c r="E2101" s="322" t="s">
        <v>8218</v>
      </c>
    </row>
    <row r="2102" spans="1:5" ht="14.5" customHeight="1" x14ac:dyDescent="0.35">
      <c r="A2102" s="196" t="str">
        <f>"51.2603"</f>
        <v>51.2603</v>
      </c>
      <c r="B2102" s="196" t="s">
        <v>5760</v>
      </c>
      <c r="C2102" s="320" t="s">
        <v>4269</v>
      </c>
      <c r="D2102" s="321" t="s">
        <v>8219</v>
      </c>
      <c r="E2102" s="322" t="s">
        <v>8220</v>
      </c>
    </row>
    <row r="2103" spans="1:5" ht="14.5" customHeight="1" x14ac:dyDescent="0.35">
      <c r="A2103" s="196" t="str">
        <f>"51.2604"</f>
        <v>51.2604</v>
      </c>
      <c r="B2103" s="196" t="s">
        <v>4265</v>
      </c>
      <c r="C2103" s="320" t="s">
        <v>4266</v>
      </c>
      <c r="D2103" s="321" t="s">
        <v>8221</v>
      </c>
      <c r="E2103" s="322" t="s">
        <v>8222</v>
      </c>
    </row>
    <row r="2104" spans="1:5" s="327" customFormat="1" ht="14.5" customHeight="1" x14ac:dyDescent="0.35">
      <c r="A2104" s="323" t="str">
        <f>"51.2605"</f>
        <v>51.2605</v>
      </c>
      <c r="B2104" s="323" t="s">
        <v>4297</v>
      </c>
      <c r="C2104" s="324" t="s">
        <v>4269</v>
      </c>
      <c r="D2104" s="325" t="s">
        <v>8223</v>
      </c>
      <c r="E2104" s="326" t="s">
        <v>8224</v>
      </c>
    </row>
    <row r="2105" spans="1:5" ht="14.5" customHeight="1" x14ac:dyDescent="0.35">
      <c r="A2105" s="196" t="str">
        <f>"51.2699"</f>
        <v>51.2699</v>
      </c>
      <c r="B2105" s="196" t="s">
        <v>5760</v>
      </c>
      <c r="C2105" s="320" t="s">
        <v>4269</v>
      </c>
      <c r="D2105" s="321" t="s">
        <v>8225</v>
      </c>
      <c r="E2105" s="322" t="s">
        <v>8226</v>
      </c>
    </row>
    <row r="2106" spans="1:5" ht="14.5" customHeight="1" x14ac:dyDescent="0.35">
      <c r="A2106" s="196" t="str">
        <f>"51.27"</f>
        <v>51.27</v>
      </c>
      <c r="B2106" s="196" t="s">
        <v>5760</v>
      </c>
      <c r="C2106" s="320" t="s">
        <v>4269</v>
      </c>
      <c r="D2106" s="321" t="s">
        <v>8227</v>
      </c>
      <c r="E2106" s="322" t="s">
        <v>8228</v>
      </c>
    </row>
    <row r="2107" spans="1:5" ht="14.5" customHeight="1" x14ac:dyDescent="0.35">
      <c r="A2107" s="196" t="str">
        <f>"51.2703"</f>
        <v>51.2703</v>
      </c>
      <c r="B2107" s="196" t="s">
        <v>5760</v>
      </c>
      <c r="C2107" s="320" t="s">
        <v>4269</v>
      </c>
      <c r="D2107" s="321" t="s">
        <v>8229</v>
      </c>
      <c r="E2107" s="322" t="s">
        <v>8230</v>
      </c>
    </row>
    <row r="2108" spans="1:5" ht="14.5" customHeight="1" x14ac:dyDescent="0.35">
      <c r="A2108" s="196" t="str">
        <f>"51.2706"</f>
        <v>51.2706</v>
      </c>
      <c r="B2108" s="196" t="s">
        <v>5760</v>
      </c>
      <c r="C2108" s="320" t="s">
        <v>4269</v>
      </c>
      <c r="D2108" s="321" t="s">
        <v>8231</v>
      </c>
      <c r="E2108" s="322" t="s">
        <v>8232</v>
      </c>
    </row>
    <row r="2109" spans="1:5" ht="14.5" customHeight="1" x14ac:dyDescent="0.35">
      <c r="A2109" s="196" t="str">
        <f>"51.2799"</f>
        <v>51.2799</v>
      </c>
      <c r="B2109" s="196" t="s">
        <v>5760</v>
      </c>
      <c r="C2109" s="320" t="s">
        <v>4269</v>
      </c>
      <c r="D2109" s="321" t="s">
        <v>8233</v>
      </c>
      <c r="E2109" s="322" t="s">
        <v>8234</v>
      </c>
    </row>
    <row r="2110" spans="1:5" ht="14.5" customHeight="1" x14ac:dyDescent="0.35">
      <c r="A2110" s="196" t="str">
        <f>"51.31"</f>
        <v>51.31</v>
      </c>
      <c r="B2110" s="196" t="s">
        <v>5760</v>
      </c>
      <c r="C2110" s="320" t="s">
        <v>4269</v>
      </c>
      <c r="D2110" s="321" t="s">
        <v>8235</v>
      </c>
      <c r="E2110" s="322" t="s">
        <v>8236</v>
      </c>
    </row>
    <row r="2111" spans="1:5" ht="14.5" customHeight="1" x14ac:dyDescent="0.35">
      <c r="A2111" s="196" t="str">
        <f>"51.3101"</f>
        <v>51.3101</v>
      </c>
      <c r="B2111" s="196" t="s">
        <v>5760</v>
      </c>
      <c r="C2111" s="320" t="s">
        <v>4269</v>
      </c>
      <c r="D2111" s="321" t="s">
        <v>8237</v>
      </c>
      <c r="E2111" s="322" t="s">
        <v>8238</v>
      </c>
    </row>
    <row r="2112" spans="1:5" ht="14.5" customHeight="1" x14ac:dyDescent="0.35">
      <c r="A2112" s="196" t="str">
        <f>"51.3102"</f>
        <v>51.3102</v>
      </c>
      <c r="B2112" s="196" t="s">
        <v>5760</v>
      </c>
      <c r="C2112" s="320" t="s">
        <v>4269</v>
      </c>
      <c r="D2112" s="321" t="s">
        <v>8239</v>
      </c>
      <c r="E2112" s="322" t="s">
        <v>8240</v>
      </c>
    </row>
    <row r="2113" spans="1:5" ht="14.5" customHeight="1" x14ac:dyDescent="0.35">
      <c r="A2113" s="196" t="str">
        <f>"51.3103"</f>
        <v>51.3103</v>
      </c>
      <c r="B2113" s="196" t="s">
        <v>5760</v>
      </c>
      <c r="C2113" s="320" t="s">
        <v>4269</v>
      </c>
      <c r="D2113" s="321" t="s">
        <v>8241</v>
      </c>
      <c r="E2113" s="322" t="s">
        <v>8242</v>
      </c>
    </row>
    <row r="2114" spans="1:5" ht="14.5" customHeight="1" x14ac:dyDescent="0.35">
      <c r="A2114" s="196" t="str">
        <f>"51.3104"</f>
        <v>51.3104</v>
      </c>
      <c r="B2114" s="196" t="s">
        <v>5760</v>
      </c>
      <c r="C2114" s="320" t="s">
        <v>4269</v>
      </c>
      <c r="D2114" s="321" t="s">
        <v>8243</v>
      </c>
      <c r="E2114" s="322" t="s">
        <v>8244</v>
      </c>
    </row>
    <row r="2115" spans="1:5" ht="14.5" customHeight="1" x14ac:dyDescent="0.35">
      <c r="A2115" s="196" t="str">
        <f>"51.3199"</f>
        <v>51.3199</v>
      </c>
      <c r="B2115" s="196" t="s">
        <v>5760</v>
      </c>
      <c r="C2115" s="320" t="s">
        <v>4269</v>
      </c>
      <c r="D2115" s="321" t="s">
        <v>8245</v>
      </c>
      <c r="E2115" s="322" t="s">
        <v>8246</v>
      </c>
    </row>
    <row r="2116" spans="1:5" ht="14.5" customHeight="1" x14ac:dyDescent="0.35">
      <c r="A2116" s="196" t="str">
        <f>"51.32"</f>
        <v>51.32</v>
      </c>
      <c r="B2116" s="196" t="s">
        <v>4265</v>
      </c>
      <c r="C2116" s="320" t="s">
        <v>4266</v>
      </c>
      <c r="D2116" s="321" t="s">
        <v>8247</v>
      </c>
      <c r="E2116" s="322" t="s">
        <v>8248</v>
      </c>
    </row>
    <row r="2117" spans="1:5" ht="14.5" customHeight="1" x14ac:dyDescent="0.35">
      <c r="A2117" s="196" t="str">
        <f>"51.3201"</f>
        <v>51.3201</v>
      </c>
      <c r="B2117" s="196" t="s">
        <v>5760</v>
      </c>
      <c r="C2117" s="320" t="s">
        <v>4269</v>
      </c>
      <c r="D2117" s="321" t="s">
        <v>8249</v>
      </c>
      <c r="E2117" s="322" t="s">
        <v>8250</v>
      </c>
    </row>
    <row r="2118" spans="1:5" s="327" customFormat="1" ht="14.5" customHeight="1" x14ac:dyDescent="0.35">
      <c r="A2118" s="323" t="str">
        <f>"51.3202"</f>
        <v>51.3202</v>
      </c>
      <c r="B2118" s="323" t="s">
        <v>4297</v>
      </c>
      <c r="C2118" s="324" t="s">
        <v>4269</v>
      </c>
      <c r="D2118" s="325" t="s">
        <v>8251</v>
      </c>
      <c r="E2118" s="326" t="s">
        <v>8252</v>
      </c>
    </row>
    <row r="2119" spans="1:5" s="327" customFormat="1" ht="14.5" customHeight="1" x14ac:dyDescent="0.35">
      <c r="A2119" s="323" t="str">
        <f>"51.3203"</f>
        <v>51.3203</v>
      </c>
      <c r="B2119" s="323" t="s">
        <v>4403</v>
      </c>
      <c r="C2119" s="324" t="s">
        <v>4269</v>
      </c>
      <c r="D2119" s="325" t="s">
        <v>8253</v>
      </c>
      <c r="E2119" s="326" t="s">
        <v>8254</v>
      </c>
    </row>
    <row r="2120" spans="1:5" s="327" customFormat="1" ht="14.5" customHeight="1" x14ac:dyDescent="0.35">
      <c r="A2120" s="323" t="str">
        <f>"51.3204"</f>
        <v>51.3204</v>
      </c>
      <c r="B2120" s="323" t="s">
        <v>4297</v>
      </c>
      <c r="C2120" s="324" t="s">
        <v>4269</v>
      </c>
      <c r="D2120" s="325" t="s">
        <v>8255</v>
      </c>
      <c r="E2120" s="326" t="s">
        <v>8256</v>
      </c>
    </row>
    <row r="2121" spans="1:5" s="327" customFormat="1" ht="14.5" customHeight="1" x14ac:dyDescent="0.35">
      <c r="A2121" s="323" t="str">
        <f>"51.3205"</f>
        <v>51.3205</v>
      </c>
      <c r="B2121" s="323" t="s">
        <v>4297</v>
      </c>
      <c r="C2121" s="324" t="s">
        <v>4269</v>
      </c>
      <c r="D2121" s="325" t="s">
        <v>8257</v>
      </c>
      <c r="E2121" s="326" t="s">
        <v>8258</v>
      </c>
    </row>
    <row r="2122" spans="1:5" s="327" customFormat="1" ht="14.5" customHeight="1" x14ac:dyDescent="0.35">
      <c r="A2122" s="323" t="str">
        <f>"51.3206"</f>
        <v>51.3206</v>
      </c>
      <c r="B2122" s="323" t="s">
        <v>4297</v>
      </c>
      <c r="C2122" s="324" t="s">
        <v>4269</v>
      </c>
      <c r="D2122" s="325" t="s">
        <v>8259</v>
      </c>
      <c r="E2122" s="326" t="s">
        <v>8260</v>
      </c>
    </row>
    <row r="2123" spans="1:5" s="327" customFormat="1" ht="14.5" customHeight="1" x14ac:dyDescent="0.35">
      <c r="A2123" s="323" t="str">
        <f>"51.3299"</f>
        <v>51.3299</v>
      </c>
      <c r="B2123" s="323" t="s">
        <v>4297</v>
      </c>
      <c r="C2123" s="324" t="s">
        <v>4269</v>
      </c>
      <c r="D2123" s="325" t="s">
        <v>8261</v>
      </c>
      <c r="E2123" s="326" t="s">
        <v>8262</v>
      </c>
    </row>
    <row r="2124" spans="1:5" ht="14.5" customHeight="1" x14ac:dyDescent="0.35">
      <c r="A2124" s="196" t="str">
        <f>"51.33"</f>
        <v>51.33</v>
      </c>
      <c r="B2124" s="196" t="s">
        <v>5760</v>
      </c>
      <c r="C2124" s="320" t="s">
        <v>4269</v>
      </c>
      <c r="D2124" s="321" t="s">
        <v>8263</v>
      </c>
      <c r="E2124" s="322" t="s">
        <v>8264</v>
      </c>
    </row>
    <row r="2125" spans="1:5" ht="14.5" customHeight="1" x14ac:dyDescent="0.35">
      <c r="A2125" s="196" t="str">
        <f>"51.3300"</f>
        <v>51.3300</v>
      </c>
      <c r="B2125" s="196" t="s">
        <v>5760</v>
      </c>
      <c r="C2125" s="320" t="s">
        <v>4269</v>
      </c>
      <c r="D2125" s="321" t="s">
        <v>8265</v>
      </c>
      <c r="E2125" s="322" t="s">
        <v>8266</v>
      </c>
    </row>
    <row r="2126" spans="1:5" ht="14.5" customHeight="1" x14ac:dyDescent="0.35">
      <c r="A2126" s="196" t="str">
        <f>"51.3301"</f>
        <v>51.3301</v>
      </c>
      <c r="B2126" s="196" t="s">
        <v>5760</v>
      </c>
      <c r="C2126" s="320" t="s">
        <v>4269</v>
      </c>
      <c r="D2126" s="321" t="s">
        <v>8267</v>
      </c>
      <c r="E2126" s="322" t="s">
        <v>8268</v>
      </c>
    </row>
    <row r="2127" spans="1:5" ht="14.5" customHeight="1" x14ac:dyDescent="0.35">
      <c r="A2127" s="196" t="str">
        <f>"51.3302"</f>
        <v>51.3302</v>
      </c>
      <c r="B2127" s="196" t="s">
        <v>5760</v>
      </c>
      <c r="C2127" s="320" t="s">
        <v>4269</v>
      </c>
      <c r="D2127" s="321" t="s">
        <v>8269</v>
      </c>
      <c r="E2127" s="322" t="s">
        <v>8270</v>
      </c>
    </row>
    <row r="2128" spans="1:5" ht="14.5" customHeight="1" x14ac:dyDescent="0.35">
      <c r="A2128" s="196" t="str">
        <f>"51.3303"</f>
        <v>51.3303</v>
      </c>
      <c r="B2128" s="196" t="s">
        <v>5760</v>
      </c>
      <c r="C2128" s="320" t="s">
        <v>4269</v>
      </c>
      <c r="D2128" s="321" t="s">
        <v>8271</v>
      </c>
      <c r="E2128" s="322" t="s">
        <v>8272</v>
      </c>
    </row>
    <row r="2129" spans="1:5" ht="14.5" customHeight="1" x14ac:dyDescent="0.35">
      <c r="A2129" s="196" t="str">
        <f>"51.3304"</f>
        <v>51.3304</v>
      </c>
      <c r="B2129" s="196" t="s">
        <v>5760</v>
      </c>
      <c r="C2129" s="320" t="s">
        <v>4269</v>
      </c>
      <c r="D2129" s="321" t="s">
        <v>8273</v>
      </c>
      <c r="E2129" s="322" t="s">
        <v>8274</v>
      </c>
    </row>
    <row r="2130" spans="1:5" ht="14.5" customHeight="1" x14ac:dyDescent="0.35">
      <c r="A2130" s="196" t="str">
        <f>"51.3305"</f>
        <v>51.3305</v>
      </c>
      <c r="B2130" s="196" t="s">
        <v>5760</v>
      </c>
      <c r="C2130" s="320" t="s">
        <v>4269</v>
      </c>
      <c r="D2130" s="321" t="s">
        <v>8275</v>
      </c>
      <c r="E2130" s="322" t="s">
        <v>8276</v>
      </c>
    </row>
    <row r="2131" spans="1:5" ht="14.5" customHeight="1" x14ac:dyDescent="0.35">
      <c r="A2131" s="196" t="str">
        <f>"51.3306"</f>
        <v>51.3306</v>
      </c>
      <c r="B2131" s="196" t="s">
        <v>4265</v>
      </c>
      <c r="C2131" s="320" t="s">
        <v>4266</v>
      </c>
      <c r="D2131" s="321" t="s">
        <v>8277</v>
      </c>
      <c r="E2131" s="322" t="s">
        <v>8278</v>
      </c>
    </row>
    <row r="2132" spans="1:5" ht="14.5" customHeight="1" x14ac:dyDescent="0.35">
      <c r="A2132" s="196" t="str">
        <f>"51.3399"</f>
        <v>51.3399</v>
      </c>
      <c r="B2132" s="196" t="s">
        <v>5760</v>
      </c>
      <c r="C2132" s="320" t="s">
        <v>4269</v>
      </c>
      <c r="D2132" s="321" t="s">
        <v>8279</v>
      </c>
      <c r="E2132" s="322" t="s">
        <v>8280</v>
      </c>
    </row>
    <row r="2133" spans="1:5" ht="14.5" customHeight="1" x14ac:dyDescent="0.35">
      <c r="A2133" s="196" t="str">
        <f>"51.34"</f>
        <v>51.34</v>
      </c>
      <c r="B2133" s="196" t="s">
        <v>5760</v>
      </c>
      <c r="C2133" s="320" t="s">
        <v>4269</v>
      </c>
      <c r="D2133" s="321" t="s">
        <v>8281</v>
      </c>
      <c r="E2133" s="322" t="s">
        <v>8282</v>
      </c>
    </row>
    <row r="2134" spans="1:5" ht="14.5" customHeight="1" x14ac:dyDescent="0.35">
      <c r="A2134" s="196" t="str">
        <f>"51.3401"</f>
        <v>51.3401</v>
      </c>
      <c r="B2134" s="196" t="s">
        <v>5760</v>
      </c>
      <c r="C2134" s="320" t="s">
        <v>4269</v>
      </c>
      <c r="D2134" s="321" t="s">
        <v>8283</v>
      </c>
      <c r="E2134" s="322" t="s">
        <v>8284</v>
      </c>
    </row>
    <row r="2135" spans="1:5" ht="14.5" customHeight="1" x14ac:dyDescent="0.35">
      <c r="A2135" s="196" t="str">
        <f>"51.3499"</f>
        <v>51.3499</v>
      </c>
      <c r="B2135" s="196" t="s">
        <v>5760</v>
      </c>
      <c r="C2135" s="320" t="s">
        <v>4269</v>
      </c>
      <c r="D2135" s="321" t="s">
        <v>8285</v>
      </c>
      <c r="E2135" s="322" t="s">
        <v>8286</v>
      </c>
    </row>
    <row r="2136" spans="1:5" ht="14.5" customHeight="1" x14ac:dyDescent="0.35">
      <c r="A2136" s="196" t="str">
        <f>"51.35"</f>
        <v>51.35</v>
      </c>
      <c r="B2136" s="196" t="s">
        <v>5760</v>
      </c>
      <c r="C2136" s="320" t="s">
        <v>4269</v>
      </c>
      <c r="D2136" s="321" t="s">
        <v>8287</v>
      </c>
      <c r="E2136" s="322" t="s">
        <v>8288</v>
      </c>
    </row>
    <row r="2137" spans="1:5" ht="14.5" customHeight="1" x14ac:dyDescent="0.35">
      <c r="A2137" s="196" t="str">
        <f>"51.3501"</f>
        <v>51.3501</v>
      </c>
      <c r="B2137" s="196" t="s">
        <v>5760</v>
      </c>
      <c r="C2137" s="320" t="s">
        <v>4269</v>
      </c>
      <c r="D2137" s="321" t="s">
        <v>8289</v>
      </c>
      <c r="E2137" s="322" t="s">
        <v>8290</v>
      </c>
    </row>
    <row r="2138" spans="1:5" ht="14.5" customHeight="1" x14ac:dyDescent="0.35">
      <c r="A2138" s="196" t="str">
        <f>"51.3502"</f>
        <v>51.3502</v>
      </c>
      <c r="B2138" s="196" t="s">
        <v>5760</v>
      </c>
      <c r="C2138" s="320" t="s">
        <v>4269</v>
      </c>
      <c r="D2138" s="321" t="s">
        <v>8291</v>
      </c>
      <c r="E2138" s="322" t="s">
        <v>8292</v>
      </c>
    </row>
    <row r="2139" spans="1:5" ht="14.5" customHeight="1" x14ac:dyDescent="0.35">
      <c r="A2139" s="196" t="str">
        <f>"51.3503"</f>
        <v>51.3503</v>
      </c>
      <c r="B2139" s="196" t="s">
        <v>5760</v>
      </c>
      <c r="C2139" s="320" t="s">
        <v>4269</v>
      </c>
      <c r="D2139" s="321" t="s">
        <v>8293</v>
      </c>
      <c r="E2139" s="322" t="s">
        <v>8294</v>
      </c>
    </row>
    <row r="2140" spans="1:5" ht="14.5" customHeight="1" x14ac:dyDescent="0.35">
      <c r="A2140" s="196" t="str">
        <f>"51.3599"</f>
        <v>51.3599</v>
      </c>
      <c r="B2140" s="196" t="s">
        <v>5760</v>
      </c>
      <c r="C2140" s="320" t="s">
        <v>4269</v>
      </c>
      <c r="D2140" s="321" t="s">
        <v>8295</v>
      </c>
      <c r="E2140" s="322" t="s">
        <v>8296</v>
      </c>
    </row>
    <row r="2141" spans="1:5" ht="14.5" customHeight="1" x14ac:dyDescent="0.35">
      <c r="A2141" s="196" t="str">
        <f>"51.36"</f>
        <v>51.36</v>
      </c>
      <c r="B2141" s="196" t="s">
        <v>5760</v>
      </c>
      <c r="C2141" s="320" t="s">
        <v>4269</v>
      </c>
      <c r="D2141" s="321" t="s">
        <v>8297</v>
      </c>
      <c r="E2141" s="322" t="s">
        <v>8298</v>
      </c>
    </row>
    <row r="2142" spans="1:5" ht="14.5" customHeight="1" x14ac:dyDescent="0.35">
      <c r="A2142" s="196" t="str">
        <f>"51.3601"</f>
        <v>51.3601</v>
      </c>
      <c r="B2142" s="196" t="s">
        <v>5760</v>
      </c>
      <c r="C2142" s="320" t="s">
        <v>4269</v>
      </c>
      <c r="D2142" s="321" t="s">
        <v>8299</v>
      </c>
      <c r="E2142" s="322" t="s">
        <v>8300</v>
      </c>
    </row>
    <row r="2143" spans="1:5" ht="14.5" customHeight="1" x14ac:dyDescent="0.35">
      <c r="A2143" s="196" t="str">
        <f>"51.3602"</f>
        <v>51.3602</v>
      </c>
      <c r="B2143" s="196" t="s">
        <v>5760</v>
      </c>
      <c r="C2143" s="320" t="s">
        <v>4269</v>
      </c>
      <c r="D2143" s="321" t="s">
        <v>8301</v>
      </c>
      <c r="E2143" s="322" t="s">
        <v>8302</v>
      </c>
    </row>
    <row r="2144" spans="1:5" ht="14.5" customHeight="1" x14ac:dyDescent="0.35">
      <c r="A2144" s="196" t="str">
        <f>"51.3603"</f>
        <v>51.3603</v>
      </c>
      <c r="B2144" s="196" t="s">
        <v>5760</v>
      </c>
      <c r="C2144" s="320" t="s">
        <v>4269</v>
      </c>
      <c r="D2144" s="321" t="s">
        <v>8303</v>
      </c>
      <c r="E2144" s="322" t="s">
        <v>8304</v>
      </c>
    </row>
    <row r="2145" spans="1:5" ht="14.5" customHeight="1" x14ac:dyDescent="0.35">
      <c r="A2145" s="196" t="str">
        <f>"51.3699"</f>
        <v>51.3699</v>
      </c>
      <c r="B2145" s="196" t="s">
        <v>5760</v>
      </c>
      <c r="C2145" s="320" t="s">
        <v>4269</v>
      </c>
      <c r="D2145" s="321" t="s">
        <v>8305</v>
      </c>
      <c r="E2145" s="322" t="s">
        <v>8306</v>
      </c>
    </row>
    <row r="2146" spans="1:5" ht="14.5" customHeight="1" x14ac:dyDescent="0.35">
      <c r="A2146" s="196" t="str">
        <f>"51.37"</f>
        <v>51.37</v>
      </c>
      <c r="B2146" s="196" t="s">
        <v>5760</v>
      </c>
      <c r="C2146" s="320" t="s">
        <v>4269</v>
      </c>
      <c r="D2146" s="321" t="s">
        <v>8307</v>
      </c>
      <c r="E2146" s="322" t="s">
        <v>8308</v>
      </c>
    </row>
    <row r="2147" spans="1:5" ht="14.5" customHeight="1" x14ac:dyDescent="0.35">
      <c r="A2147" s="196" t="str">
        <f>"51.3701"</f>
        <v>51.3701</v>
      </c>
      <c r="B2147" s="196" t="s">
        <v>5760</v>
      </c>
      <c r="C2147" s="320" t="s">
        <v>4269</v>
      </c>
      <c r="D2147" s="321" t="s">
        <v>8309</v>
      </c>
      <c r="E2147" s="322" t="s">
        <v>8310</v>
      </c>
    </row>
    <row r="2148" spans="1:5" ht="14.5" customHeight="1" x14ac:dyDescent="0.35">
      <c r="A2148" s="196" t="str">
        <f>"51.3702"</f>
        <v>51.3702</v>
      </c>
      <c r="B2148" s="196" t="s">
        <v>5760</v>
      </c>
      <c r="C2148" s="320" t="s">
        <v>4269</v>
      </c>
      <c r="D2148" s="321" t="s">
        <v>8311</v>
      </c>
      <c r="E2148" s="322" t="s">
        <v>8312</v>
      </c>
    </row>
    <row r="2149" spans="1:5" ht="14.5" customHeight="1" x14ac:dyDescent="0.35">
      <c r="A2149" s="196" t="str">
        <f>"51.3703"</f>
        <v>51.3703</v>
      </c>
      <c r="B2149" s="196" t="s">
        <v>5760</v>
      </c>
      <c r="C2149" s="320" t="s">
        <v>4269</v>
      </c>
      <c r="D2149" s="321" t="s">
        <v>8313</v>
      </c>
      <c r="E2149" s="322" t="s">
        <v>8314</v>
      </c>
    </row>
    <row r="2150" spans="1:5" ht="14.5" customHeight="1" x14ac:dyDescent="0.35">
      <c r="A2150" s="196" t="str">
        <f>"51.3704"</f>
        <v>51.3704</v>
      </c>
      <c r="B2150" s="196" t="s">
        <v>5760</v>
      </c>
      <c r="C2150" s="320" t="s">
        <v>4269</v>
      </c>
      <c r="D2150" s="321" t="s">
        <v>8315</v>
      </c>
      <c r="E2150" s="322" t="s">
        <v>8316</v>
      </c>
    </row>
    <row r="2151" spans="1:5" ht="14.5" customHeight="1" x14ac:dyDescent="0.35">
      <c r="A2151" s="196" t="str">
        <f>"51.3799"</f>
        <v>51.3799</v>
      </c>
      <c r="B2151" s="196" t="s">
        <v>5760</v>
      </c>
      <c r="C2151" s="320" t="s">
        <v>4269</v>
      </c>
      <c r="D2151" s="321" t="s">
        <v>8317</v>
      </c>
      <c r="E2151" s="322" t="s">
        <v>8318</v>
      </c>
    </row>
    <row r="2152" spans="1:5" ht="14.5" customHeight="1" x14ac:dyDescent="0.35">
      <c r="A2152" s="196" t="str">
        <f>"51.38"</f>
        <v>51.38</v>
      </c>
      <c r="B2152" s="196" t="s">
        <v>5760</v>
      </c>
      <c r="C2152" s="320" t="s">
        <v>4269</v>
      </c>
      <c r="D2152" s="321" t="s">
        <v>8319</v>
      </c>
      <c r="E2152" s="322" t="s">
        <v>8320</v>
      </c>
    </row>
    <row r="2153" spans="1:5" ht="14.5" customHeight="1" x14ac:dyDescent="0.35">
      <c r="A2153" s="196" t="str">
        <f>"51.3801"</f>
        <v>51.3801</v>
      </c>
      <c r="B2153" s="196" t="s">
        <v>5760</v>
      </c>
      <c r="C2153" s="320" t="s">
        <v>4269</v>
      </c>
      <c r="D2153" s="321" t="s">
        <v>8321</v>
      </c>
      <c r="E2153" s="322" t="s">
        <v>8322</v>
      </c>
    </row>
    <row r="2154" spans="1:5" ht="14.5" customHeight="1" x14ac:dyDescent="0.35">
      <c r="A2154" s="196" t="str">
        <f>"51.3802"</f>
        <v>51.3802</v>
      </c>
      <c r="B2154" s="196" t="s">
        <v>5760</v>
      </c>
      <c r="C2154" s="320" t="s">
        <v>4269</v>
      </c>
      <c r="D2154" s="321" t="s">
        <v>8323</v>
      </c>
      <c r="E2154" s="322" t="s">
        <v>8324</v>
      </c>
    </row>
    <row r="2155" spans="1:5" ht="14.5" customHeight="1" x14ac:dyDescent="0.35">
      <c r="A2155" s="196" t="str">
        <f>"51.3803"</f>
        <v>51.3803</v>
      </c>
      <c r="B2155" s="196" t="s">
        <v>5760</v>
      </c>
      <c r="C2155" s="320" t="s">
        <v>4269</v>
      </c>
      <c r="D2155" s="321" t="s">
        <v>8325</v>
      </c>
      <c r="E2155" s="322" t="s">
        <v>8326</v>
      </c>
    </row>
    <row r="2156" spans="1:5" ht="14.5" customHeight="1" x14ac:dyDescent="0.35">
      <c r="A2156" s="196" t="str">
        <f>"51.3804"</f>
        <v>51.3804</v>
      </c>
      <c r="B2156" s="196" t="s">
        <v>5760</v>
      </c>
      <c r="C2156" s="320" t="s">
        <v>4269</v>
      </c>
      <c r="D2156" s="321" t="s">
        <v>8327</v>
      </c>
      <c r="E2156" s="322" t="s">
        <v>8328</v>
      </c>
    </row>
    <row r="2157" spans="1:5" ht="14.5" customHeight="1" x14ac:dyDescent="0.35">
      <c r="A2157" s="196" t="str">
        <f>"51.3805"</f>
        <v>51.3805</v>
      </c>
      <c r="B2157" s="196" t="s">
        <v>5760</v>
      </c>
      <c r="C2157" s="320" t="s">
        <v>4269</v>
      </c>
      <c r="D2157" s="321" t="s">
        <v>8329</v>
      </c>
      <c r="E2157" s="322" t="s">
        <v>8330</v>
      </c>
    </row>
    <row r="2158" spans="1:5" ht="14.5" customHeight="1" x14ac:dyDescent="0.35">
      <c r="A2158" s="196" t="str">
        <f>"51.3806"</f>
        <v>51.3806</v>
      </c>
      <c r="B2158" s="196" t="s">
        <v>5760</v>
      </c>
      <c r="C2158" s="320" t="s">
        <v>4269</v>
      </c>
      <c r="D2158" s="321" t="s">
        <v>8331</v>
      </c>
      <c r="E2158" s="322" t="s">
        <v>8332</v>
      </c>
    </row>
    <row r="2159" spans="1:5" ht="14.5" customHeight="1" x14ac:dyDescent="0.35">
      <c r="A2159" s="196" t="str">
        <f>"51.3807"</f>
        <v>51.3807</v>
      </c>
      <c r="B2159" s="196" t="s">
        <v>5760</v>
      </c>
      <c r="C2159" s="320" t="s">
        <v>4269</v>
      </c>
      <c r="D2159" s="321" t="s">
        <v>8333</v>
      </c>
      <c r="E2159" s="322" t="s">
        <v>8334</v>
      </c>
    </row>
    <row r="2160" spans="1:5" ht="14.5" customHeight="1" x14ac:dyDescent="0.35">
      <c r="A2160" s="196" t="str">
        <f>"51.3808"</f>
        <v>51.3808</v>
      </c>
      <c r="B2160" s="196" t="s">
        <v>5760</v>
      </c>
      <c r="C2160" s="320" t="s">
        <v>4269</v>
      </c>
      <c r="D2160" s="321" t="s">
        <v>8335</v>
      </c>
      <c r="E2160" s="322" t="s">
        <v>8336</v>
      </c>
    </row>
    <row r="2161" spans="1:5" ht="14.5" customHeight="1" x14ac:dyDescent="0.35">
      <c r="A2161" s="196" t="str">
        <f>"51.3809"</f>
        <v>51.3809</v>
      </c>
      <c r="B2161" s="196" t="s">
        <v>5760</v>
      </c>
      <c r="C2161" s="320" t="s">
        <v>4269</v>
      </c>
      <c r="D2161" s="321" t="s">
        <v>8337</v>
      </c>
      <c r="E2161" s="322" t="s">
        <v>8338</v>
      </c>
    </row>
    <row r="2162" spans="1:5" ht="14.5" customHeight="1" x14ac:dyDescent="0.35">
      <c r="A2162" s="196" t="str">
        <f>"51.3810"</f>
        <v>51.3810</v>
      </c>
      <c r="B2162" s="196" t="s">
        <v>5760</v>
      </c>
      <c r="C2162" s="320" t="s">
        <v>4269</v>
      </c>
      <c r="D2162" s="321" t="s">
        <v>8339</v>
      </c>
      <c r="E2162" s="322" t="s">
        <v>8340</v>
      </c>
    </row>
    <row r="2163" spans="1:5" ht="14.5" customHeight="1" x14ac:dyDescent="0.35">
      <c r="A2163" s="196" t="str">
        <f>"51.3811"</f>
        <v>51.3811</v>
      </c>
      <c r="B2163" s="196" t="s">
        <v>5760</v>
      </c>
      <c r="C2163" s="320" t="s">
        <v>4269</v>
      </c>
      <c r="D2163" s="321" t="s">
        <v>8341</v>
      </c>
      <c r="E2163" s="322" t="s">
        <v>8342</v>
      </c>
    </row>
    <row r="2164" spans="1:5" ht="14.5" customHeight="1" x14ac:dyDescent="0.35">
      <c r="A2164" s="196" t="str">
        <f>"51.3812"</f>
        <v>51.3812</v>
      </c>
      <c r="B2164" s="196" t="s">
        <v>5760</v>
      </c>
      <c r="C2164" s="320" t="s">
        <v>4269</v>
      </c>
      <c r="D2164" s="321" t="s">
        <v>8343</v>
      </c>
      <c r="E2164" s="322" t="s">
        <v>8344</v>
      </c>
    </row>
    <row r="2165" spans="1:5" ht="14.5" customHeight="1" x14ac:dyDescent="0.35">
      <c r="A2165" s="196" t="str">
        <f>"51.3813"</f>
        <v>51.3813</v>
      </c>
      <c r="B2165" s="196" t="s">
        <v>5760</v>
      </c>
      <c r="C2165" s="320" t="s">
        <v>4269</v>
      </c>
      <c r="D2165" s="321" t="s">
        <v>8345</v>
      </c>
      <c r="E2165" s="322" t="s">
        <v>8346</v>
      </c>
    </row>
    <row r="2166" spans="1:5" ht="14.5" customHeight="1" x14ac:dyDescent="0.35">
      <c r="A2166" s="196" t="str">
        <f>"51.3814"</f>
        <v>51.3814</v>
      </c>
      <c r="B2166" s="196" t="s">
        <v>5760</v>
      </c>
      <c r="C2166" s="320" t="s">
        <v>4269</v>
      </c>
      <c r="D2166" s="321" t="s">
        <v>8347</v>
      </c>
      <c r="E2166" s="322" t="s">
        <v>8348</v>
      </c>
    </row>
    <row r="2167" spans="1:5" ht="14.5" customHeight="1" x14ac:dyDescent="0.35">
      <c r="A2167" s="196" t="str">
        <f>"51.3815"</f>
        <v>51.3815</v>
      </c>
      <c r="B2167" s="196" t="s">
        <v>5760</v>
      </c>
      <c r="C2167" s="320" t="s">
        <v>4269</v>
      </c>
      <c r="D2167" s="321" t="s">
        <v>8349</v>
      </c>
      <c r="E2167" s="322" t="s">
        <v>8350</v>
      </c>
    </row>
    <row r="2168" spans="1:5" ht="14.5" customHeight="1" x14ac:dyDescent="0.35">
      <c r="A2168" s="196" t="str">
        <f>"51.3816"</f>
        <v>51.3816</v>
      </c>
      <c r="B2168" s="196" t="s">
        <v>5760</v>
      </c>
      <c r="C2168" s="320" t="s">
        <v>4269</v>
      </c>
      <c r="D2168" s="321" t="s">
        <v>8351</v>
      </c>
      <c r="E2168" s="322" t="s">
        <v>8352</v>
      </c>
    </row>
    <row r="2169" spans="1:5" s="332" customFormat="1" ht="14.5" customHeight="1" x14ac:dyDescent="0.35">
      <c r="A2169" s="328" t="str">
        <f>"51.3817"</f>
        <v>51.3817</v>
      </c>
      <c r="B2169" s="328" t="s">
        <v>4318</v>
      </c>
      <c r="C2169" s="329" t="s">
        <v>4269</v>
      </c>
      <c r="D2169" s="330" t="s">
        <v>8253</v>
      </c>
      <c r="E2169" s="331" t="s">
        <v>8353</v>
      </c>
    </row>
    <row r="2170" spans="1:5" ht="14.5" customHeight="1" x14ac:dyDescent="0.35">
      <c r="A2170" s="196" t="str">
        <f>"51.3818"</f>
        <v>51.3818</v>
      </c>
      <c r="B2170" s="196" t="s">
        <v>5760</v>
      </c>
      <c r="C2170" s="320" t="s">
        <v>4269</v>
      </c>
      <c r="D2170" s="321" t="s">
        <v>8354</v>
      </c>
      <c r="E2170" s="322" t="s">
        <v>8355</v>
      </c>
    </row>
    <row r="2171" spans="1:5" ht="14.5" customHeight="1" x14ac:dyDescent="0.35">
      <c r="A2171" s="196" t="str">
        <f>"51.3819"</f>
        <v>51.3819</v>
      </c>
      <c r="B2171" s="196" t="s">
        <v>5760</v>
      </c>
      <c r="C2171" s="320" t="s">
        <v>4269</v>
      </c>
      <c r="D2171" s="321" t="s">
        <v>8356</v>
      </c>
      <c r="E2171" s="322" t="s">
        <v>8357</v>
      </c>
    </row>
    <row r="2172" spans="1:5" ht="14.5" customHeight="1" x14ac:dyDescent="0.35">
      <c r="A2172" s="196" t="str">
        <f>"51.3820"</f>
        <v>51.3820</v>
      </c>
      <c r="B2172" s="196" t="s">
        <v>5760</v>
      </c>
      <c r="C2172" s="320" t="s">
        <v>4269</v>
      </c>
      <c r="D2172" s="321" t="s">
        <v>8358</v>
      </c>
      <c r="E2172" s="322" t="s">
        <v>8359</v>
      </c>
    </row>
    <row r="2173" spans="1:5" ht="14.5" customHeight="1" x14ac:dyDescent="0.35">
      <c r="A2173" s="196" t="str">
        <f>"51.3821"</f>
        <v>51.3821</v>
      </c>
      <c r="B2173" s="196" t="s">
        <v>5760</v>
      </c>
      <c r="C2173" s="320" t="s">
        <v>4269</v>
      </c>
      <c r="D2173" s="321" t="s">
        <v>8360</v>
      </c>
      <c r="E2173" s="322" t="s">
        <v>8361</v>
      </c>
    </row>
    <row r="2174" spans="1:5" ht="14.5" customHeight="1" x14ac:dyDescent="0.35">
      <c r="A2174" s="196" t="str">
        <f>"51.3822"</f>
        <v>51.3822</v>
      </c>
      <c r="B2174" s="196" t="s">
        <v>5760</v>
      </c>
      <c r="C2174" s="320" t="s">
        <v>4269</v>
      </c>
      <c r="D2174" s="321" t="s">
        <v>8362</v>
      </c>
      <c r="E2174" s="322" t="s">
        <v>8363</v>
      </c>
    </row>
    <row r="2175" spans="1:5" s="327" customFormat="1" ht="14.5" customHeight="1" x14ac:dyDescent="0.35">
      <c r="A2175" s="323" t="str">
        <f>"51.3823"</f>
        <v>51.3823</v>
      </c>
      <c r="B2175" s="323" t="s">
        <v>4297</v>
      </c>
      <c r="C2175" s="324" t="s">
        <v>4269</v>
      </c>
      <c r="D2175" s="325" t="s">
        <v>4328</v>
      </c>
      <c r="E2175" s="326" t="s">
        <v>4329</v>
      </c>
    </row>
    <row r="2176" spans="1:5" s="327" customFormat="1" ht="14.5" customHeight="1" x14ac:dyDescent="0.35">
      <c r="A2176" s="323" t="str">
        <f>"51.3824"</f>
        <v>51.3824</v>
      </c>
      <c r="B2176" s="323" t="s">
        <v>4297</v>
      </c>
      <c r="C2176" s="324" t="s">
        <v>4269</v>
      </c>
      <c r="D2176" s="325" t="s">
        <v>8364</v>
      </c>
      <c r="E2176" s="326" t="s">
        <v>8365</v>
      </c>
    </row>
    <row r="2177" spans="1:5" ht="14.5" customHeight="1" x14ac:dyDescent="0.35">
      <c r="A2177" s="196" t="str">
        <f>"51.3899"</f>
        <v>51.3899</v>
      </c>
      <c r="B2177" s="196" t="s">
        <v>5760</v>
      </c>
      <c r="C2177" s="320" t="s">
        <v>4269</v>
      </c>
      <c r="D2177" s="321" t="s">
        <v>8366</v>
      </c>
      <c r="E2177" s="322" t="s">
        <v>8367</v>
      </c>
    </row>
    <row r="2178" spans="1:5" ht="14.5" customHeight="1" x14ac:dyDescent="0.35">
      <c r="A2178" s="196" t="str">
        <f>"51.39"</f>
        <v>51.39</v>
      </c>
      <c r="B2178" s="196" t="s">
        <v>5760</v>
      </c>
      <c r="C2178" s="320" t="s">
        <v>4269</v>
      </c>
      <c r="D2178" s="321" t="s">
        <v>8368</v>
      </c>
      <c r="E2178" s="322" t="s">
        <v>8369</v>
      </c>
    </row>
    <row r="2179" spans="1:5" ht="14.5" customHeight="1" x14ac:dyDescent="0.35">
      <c r="A2179" s="196" t="str">
        <f>"51.3901"</f>
        <v>51.3901</v>
      </c>
      <c r="B2179" s="196" t="s">
        <v>5760</v>
      </c>
      <c r="C2179" s="320" t="s">
        <v>4269</v>
      </c>
      <c r="D2179" s="321" t="s">
        <v>8370</v>
      </c>
      <c r="E2179" s="322" t="s">
        <v>8371</v>
      </c>
    </row>
    <row r="2180" spans="1:5" ht="14.5" customHeight="1" x14ac:dyDescent="0.35">
      <c r="A2180" s="196" t="str">
        <f>"51.3902"</f>
        <v>51.3902</v>
      </c>
      <c r="B2180" s="196" t="s">
        <v>5760</v>
      </c>
      <c r="C2180" s="320" t="s">
        <v>4269</v>
      </c>
      <c r="D2180" s="321" t="s">
        <v>8372</v>
      </c>
      <c r="E2180" s="322" t="s">
        <v>8373</v>
      </c>
    </row>
    <row r="2181" spans="1:5" ht="14.5" customHeight="1" x14ac:dyDescent="0.35">
      <c r="A2181" s="196" t="str">
        <f>"51.3999"</f>
        <v>51.3999</v>
      </c>
      <c r="B2181" s="196" t="s">
        <v>5760</v>
      </c>
      <c r="C2181" s="320" t="s">
        <v>4269</v>
      </c>
      <c r="D2181" s="321" t="s">
        <v>8374</v>
      </c>
      <c r="E2181" s="322" t="s">
        <v>8375</v>
      </c>
    </row>
    <row r="2182" spans="1:5" ht="14.5" customHeight="1" x14ac:dyDescent="0.35">
      <c r="A2182" s="196" t="str">
        <f>"51.99"</f>
        <v>51.99</v>
      </c>
      <c r="B2182" s="196" t="s">
        <v>5760</v>
      </c>
      <c r="C2182" s="320" t="s">
        <v>4269</v>
      </c>
      <c r="D2182" s="321" t="s">
        <v>8376</v>
      </c>
      <c r="E2182" s="322" t="s">
        <v>8377</v>
      </c>
    </row>
    <row r="2183" spans="1:5" s="327" customFormat="1" ht="14.5" customHeight="1" x14ac:dyDescent="0.35">
      <c r="A2183" s="323" t="str">
        <f>"51.9980"</f>
        <v>51.9980</v>
      </c>
      <c r="B2183" s="323" t="s">
        <v>4297</v>
      </c>
      <c r="C2183" s="324" t="s">
        <v>4269</v>
      </c>
      <c r="D2183" s="325" t="s">
        <v>4328</v>
      </c>
      <c r="E2183" s="326" t="s">
        <v>4329</v>
      </c>
    </row>
    <row r="2184" spans="1:5" ht="14.5" customHeight="1" x14ac:dyDescent="0.35">
      <c r="A2184" s="196" t="str">
        <f>"51.9999"</f>
        <v>51.9999</v>
      </c>
      <c r="B2184" s="196" t="s">
        <v>5760</v>
      </c>
      <c r="C2184" s="320" t="s">
        <v>4269</v>
      </c>
      <c r="D2184" s="321" t="s">
        <v>8376</v>
      </c>
      <c r="E2184" s="322" t="s">
        <v>8378</v>
      </c>
    </row>
    <row r="2185" spans="1:5" ht="14.5" customHeight="1" x14ac:dyDescent="0.35">
      <c r="A2185" s="196" t="str">
        <f>"52"</f>
        <v>52</v>
      </c>
      <c r="B2185" s="196" t="s">
        <v>5760</v>
      </c>
      <c r="C2185" s="320" t="s">
        <v>4269</v>
      </c>
      <c r="D2185" s="321" t="s">
        <v>8379</v>
      </c>
      <c r="E2185" s="322" t="s">
        <v>8380</v>
      </c>
    </row>
    <row r="2186" spans="1:5" ht="14.5" customHeight="1" x14ac:dyDescent="0.35">
      <c r="A2186" s="196" t="str">
        <f>"52.01"</f>
        <v>52.01</v>
      </c>
      <c r="B2186" s="196" t="s">
        <v>5760</v>
      </c>
      <c r="C2186" s="320" t="s">
        <v>4269</v>
      </c>
      <c r="D2186" s="321" t="s">
        <v>8381</v>
      </c>
      <c r="E2186" s="322" t="s">
        <v>8382</v>
      </c>
    </row>
    <row r="2187" spans="1:5" ht="14.5" customHeight="1" x14ac:dyDescent="0.35">
      <c r="A2187" s="196" t="str">
        <f>"52.0101"</f>
        <v>52.0101</v>
      </c>
      <c r="B2187" s="196" t="s">
        <v>5760</v>
      </c>
      <c r="C2187" s="320" t="s">
        <v>4269</v>
      </c>
      <c r="D2187" s="321" t="s">
        <v>8381</v>
      </c>
      <c r="E2187" s="322" t="s">
        <v>8383</v>
      </c>
    </row>
    <row r="2188" spans="1:5" ht="14.5" customHeight="1" x14ac:dyDescent="0.35">
      <c r="A2188" s="196" t="str">
        <f>"52.02"</f>
        <v>52.02</v>
      </c>
      <c r="B2188" s="196" t="s">
        <v>5760</v>
      </c>
      <c r="C2188" s="320" t="s">
        <v>4269</v>
      </c>
      <c r="D2188" s="321" t="s">
        <v>8384</v>
      </c>
      <c r="E2188" s="322" t="s">
        <v>8385</v>
      </c>
    </row>
    <row r="2189" spans="1:5" ht="14.5" customHeight="1" x14ac:dyDescent="0.35">
      <c r="A2189" s="196" t="str">
        <f>"52.0201"</f>
        <v>52.0201</v>
      </c>
      <c r="B2189" s="196" t="s">
        <v>5760</v>
      </c>
      <c r="C2189" s="320" t="s">
        <v>4269</v>
      </c>
      <c r="D2189" s="321" t="s">
        <v>8386</v>
      </c>
      <c r="E2189" s="322" t="s">
        <v>8387</v>
      </c>
    </row>
    <row r="2190" spans="1:5" ht="14.5" customHeight="1" x14ac:dyDescent="0.35">
      <c r="A2190" s="196" t="str">
        <f>"52.0202"</f>
        <v>52.0202</v>
      </c>
      <c r="B2190" s="196" t="s">
        <v>5760</v>
      </c>
      <c r="C2190" s="320" t="s">
        <v>4269</v>
      </c>
      <c r="D2190" s="321" t="s">
        <v>8388</v>
      </c>
      <c r="E2190" s="322" t="s">
        <v>8389</v>
      </c>
    </row>
    <row r="2191" spans="1:5" ht="14.5" customHeight="1" x14ac:dyDescent="0.35">
      <c r="A2191" s="196" t="str">
        <f>"52.0203"</f>
        <v>52.0203</v>
      </c>
      <c r="B2191" s="196" t="s">
        <v>5760</v>
      </c>
      <c r="C2191" s="320" t="s">
        <v>4269</v>
      </c>
      <c r="D2191" s="321" t="s">
        <v>8390</v>
      </c>
      <c r="E2191" s="322" t="s">
        <v>8391</v>
      </c>
    </row>
    <row r="2192" spans="1:5" ht="14.5" customHeight="1" x14ac:dyDescent="0.35">
      <c r="A2192" s="196" t="str">
        <f>"52.0204"</f>
        <v>52.0204</v>
      </c>
      <c r="B2192" s="196" t="s">
        <v>5760</v>
      </c>
      <c r="C2192" s="320" t="s">
        <v>4269</v>
      </c>
      <c r="D2192" s="321" t="s">
        <v>8392</v>
      </c>
      <c r="E2192" s="322" t="s">
        <v>8393</v>
      </c>
    </row>
    <row r="2193" spans="1:5" ht="14.5" customHeight="1" x14ac:dyDescent="0.35">
      <c r="A2193" s="196" t="str">
        <f>"52.0205"</f>
        <v>52.0205</v>
      </c>
      <c r="B2193" s="196" t="s">
        <v>5760</v>
      </c>
      <c r="C2193" s="320" t="s">
        <v>4269</v>
      </c>
      <c r="D2193" s="321" t="s">
        <v>8394</v>
      </c>
      <c r="E2193" s="322" t="s">
        <v>8395</v>
      </c>
    </row>
    <row r="2194" spans="1:5" ht="14.5" customHeight="1" x14ac:dyDescent="0.35">
      <c r="A2194" s="196" t="str">
        <f>"52.0206"</f>
        <v>52.0206</v>
      </c>
      <c r="B2194" s="196" t="s">
        <v>5760</v>
      </c>
      <c r="C2194" s="320" t="s">
        <v>4269</v>
      </c>
      <c r="D2194" s="321" t="s">
        <v>8396</v>
      </c>
      <c r="E2194" s="322" t="s">
        <v>8397</v>
      </c>
    </row>
    <row r="2195" spans="1:5" ht="14.5" customHeight="1" x14ac:dyDescent="0.35">
      <c r="A2195" s="196" t="str">
        <f>"52.0207"</f>
        <v>52.0207</v>
      </c>
      <c r="B2195" s="196" t="s">
        <v>5760</v>
      </c>
      <c r="C2195" s="320" t="s">
        <v>4269</v>
      </c>
      <c r="D2195" s="321" t="s">
        <v>8398</v>
      </c>
      <c r="E2195" s="322" t="s">
        <v>8399</v>
      </c>
    </row>
    <row r="2196" spans="1:5" ht="14.5" customHeight="1" x14ac:dyDescent="0.35">
      <c r="A2196" s="196" t="str">
        <f>"52.0208"</f>
        <v>52.0208</v>
      </c>
      <c r="B2196" s="196" t="s">
        <v>5760</v>
      </c>
      <c r="C2196" s="320" t="s">
        <v>4269</v>
      </c>
      <c r="D2196" s="321" t="s">
        <v>8400</v>
      </c>
      <c r="E2196" s="322" t="s">
        <v>8401</v>
      </c>
    </row>
    <row r="2197" spans="1:5" ht="14.5" customHeight="1" x14ac:dyDescent="0.35">
      <c r="A2197" s="196" t="str">
        <f>"52.0209"</f>
        <v>52.0209</v>
      </c>
      <c r="B2197" s="196" t="s">
        <v>4265</v>
      </c>
      <c r="C2197" s="320" t="s">
        <v>4266</v>
      </c>
      <c r="D2197" s="321" t="s">
        <v>8402</v>
      </c>
      <c r="E2197" s="322" t="s">
        <v>8403</v>
      </c>
    </row>
    <row r="2198" spans="1:5" ht="14.5" customHeight="1" x14ac:dyDescent="0.35">
      <c r="A2198" s="196" t="str">
        <f>"52.0210"</f>
        <v>52.0210</v>
      </c>
      <c r="B2198" s="196" t="s">
        <v>5760</v>
      </c>
      <c r="C2198" s="320" t="s">
        <v>4269</v>
      </c>
      <c r="D2198" s="321" t="s">
        <v>8404</v>
      </c>
      <c r="E2198" s="322" t="s">
        <v>8405</v>
      </c>
    </row>
    <row r="2199" spans="1:5" ht="14.5" customHeight="1" x14ac:dyDescent="0.35">
      <c r="A2199" s="196" t="str">
        <f>"52.0211"</f>
        <v>52.0211</v>
      </c>
      <c r="B2199" s="196" t="s">
        <v>5760</v>
      </c>
      <c r="C2199" s="320" t="s">
        <v>4269</v>
      </c>
      <c r="D2199" s="321" t="s">
        <v>8406</v>
      </c>
      <c r="E2199" s="322" t="s">
        <v>8407</v>
      </c>
    </row>
    <row r="2200" spans="1:5" ht="14.5" customHeight="1" x14ac:dyDescent="0.35">
      <c r="A2200" s="196" t="str">
        <f>"52.0212"</f>
        <v>52.0212</v>
      </c>
      <c r="B2200" s="196" t="s">
        <v>5760</v>
      </c>
      <c r="C2200" s="320" t="s">
        <v>4269</v>
      </c>
      <c r="D2200" s="321" t="s">
        <v>8408</v>
      </c>
      <c r="E2200" s="322" t="s">
        <v>8409</v>
      </c>
    </row>
    <row r="2201" spans="1:5" ht="14.5" customHeight="1" x14ac:dyDescent="0.35">
      <c r="A2201" s="196" t="str">
        <f>"52.0213"</f>
        <v>52.0213</v>
      </c>
      <c r="B2201" s="196" t="s">
        <v>5760</v>
      </c>
      <c r="C2201" s="320" t="s">
        <v>4269</v>
      </c>
      <c r="D2201" s="321" t="s">
        <v>8410</v>
      </c>
      <c r="E2201" s="322" t="s">
        <v>8411</v>
      </c>
    </row>
    <row r="2202" spans="1:5" s="327" customFormat="1" ht="14.5" customHeight="1" x14ac:dyDescent="0.35">
      <c r="A2202" s="323" t="str">
        <f>"52.0214"</f>
        <v>52.0214</v>
      </c>
      <c r="B2202" s="323" t="s">
        <v>4297</v>
      </c>
      <c r="C2202" s="324" t="s">
        <v>4269</v>
      </c>
      <c r="D2202" s="325" t="s">
        <v>8412</v>
      </c>
      <c r="E2202" s="326" t="s">
        <v>8413</v>
      </c>
    </row>
    <row r="2203" spans="1:5" s="327" customFormat="1" ht="14.5" customHeight="1" x14ac:dyDescent="0.35">
      <c r="A2203" s="323" t="str">
        <f>"52.0215"</f>
        <v>52.0215</v>
      </c>
      <c r="B2203" s="323" t="s">
        <v>4297</v>
      </c>
      <c r="C2203" s="324" t="s">
        <v>4269</v>
      </c>
      <c r="D2203" s="325" t="s">
        <v>8414</v>
      </c>
      <c r="E2203" s="326" t="s">
        <v>8415</v>
      </c>
    </row>
    <row r="2204" spans="1:5" s="327" customFormat="1" ht="14.5" customHeight="1" x14ac:dyDescent="0.35">
      <c r="A2204" s="323" t="str">
        <f>"52.0216"</f>
        <v>52.0216</v>
      </c>
      <c r="B2204" s="323" t="s">
        <v>4297</v>
      </c>
      <c r="C2204" s="324" t="s">
        <v>4269</v>
      </c>
      <c r="D2204" s="325" t="s">
        <v>8416</v>
      </c>
      <c r="E2204" s="326" t="s">
        <v>8417</v>
      </c>
    </row>
    <row r="2205" spans="1:5" ht="14.5" customHeight="1" x14ac:dyDescent="0.35">
      <c r="A2205" s="196" t="str">
        <f>"52.0299"</f>
        <v>52.0299</v>
      </c>
      <c r="B2205" s="196" t="s">
        <v>5760</v>
      </c>
      <c r="C2205" s="320" t="s">
        <v>4269</v>
      </c>
      <c r="D2205" s="321" t="s">
        <v>8418</v>
      </c>
      <c r="E2205" s="322" t="s">
        <v>8419</v>
      </c>
    </row>
    <row r="2206" spans="1:5" ht="14.5" customHeight="1" x14ac:dyDescent="0.35">
      <c r="A2206" s="196" t="str">
        <f>"52.03"</f>
        <v>52.03</v>
      </c>
      <c r="B2206" s="196" t="s">
        <v>5760</v>
      </c>
      <c r="C2206" s="320" t="s">
        <v>4269</v>
      </c>
      <c r="D2206" s="321" t="s">
        <v>8420</v>
      </c>
      <c r="E2206" s="322" t="s">
        <v>8421</v>
      </c>
    </row>
    <row r="2207" spans="1:5" ht="14.5" customHeight="1" x14ac:dyDescent="0.35">
      <c r="A2207" s="196" t="str">
        <f>"52.0301"</f>
        <v>52.0301</v>
      </c>
      <c r="B2207" s="196" t="s">
        <v>5760</v>
      </c>
      <c r="C2207" s="320" t="s">
        <v>4269</v>
      </c>
      <c r="D2207" s="321" t="s">
        <v>8422</v>
      </c>
      <c r="E2207" s="322" t="s">
        <v>8423</v>
      </c>
    </row>
    <row r="2208" spans="1:5" ht="14.5" customHeight="1" x14ac:dyDescent="0.35">
      <c r="A2208" s="196" t="str">
        <f>"52.0302"</f>
        <v>52.0302</v>
      </c>
      <c r="B2208" s="196" t="s">
        <v>5760</v>
      </c>
      <c r="C2208" s="320" t="s">
        <v>4269</v>
      </c>
      <c r="D2208" s="321" t="s">
        <v>8424</v>
      </c>
      <c r="E2208" s="322" t="s">
        <v>8425</v>
      </c>
    </row>
    <row r="2209" spans="1:5" ht="14.5" customHeight="1" x14ac:dyDescent="0.35">
      <c r="A2209" s="196" t="str">
        <f>"52.0303"</f>
        <v>52.0303</v>
      </c>
      <c r="B2209" s="196" t="s">
        <v>5760</v>
      </c>
      <c r="C2209" s="320" t="s">
        <v>4269</v>
      </c>
      <c r="D2209" s="321" t="s">
        <v>8426</v>
      </c>
      <c r="E2209" s="322" t="s">
        <v>8427</v>
      </c>
    </row>
    <row r="2210" spans="1:5" ht="14.5" customHeight="1" x14ac:dyDescent="0.35">
      <c r="A2210" s="196" t="str">
        <f>"52.0304"</f>
        <v>52.0304</v>
      </c>
      <c r="B2210" s="196" t="s">
        <v>5760</v>
      </c>
      <c r="C2210" s="320" t="s">
        <v>4269</v>
      </c>
      <c r="D2210" s="321" t="s">
        <v>8428</v>
      </c>
      <c r="E2210" s="322" t="s">
        <v>8429</v>
      </c>
    </row>
    <row r="2211" spans="1:5" ht="14.5" customHeight="1" x14ac:dyDescent="0.35">
      <c r="A2211" s="196" t="str">
        <f>"52.0305"</f>
        <v>52.0305</v>
      </c>
      <c r="B2211" s="196" t="s">
        <v>5760</v>
      </c>
      <c r="C2211" s="320" t="s">
        <v>4269</v>
      </c>
      <c r="D2211" s="321" t="s">
        <v>8430</v>
      </c>
      <c r="E2211" s="322" t="s">
        <v>8431</v>
      </c>
    </row>
    <row r="2212" spans="1:5" ht="14.5" customHeight="1" x14ac:dyDescent="0.35">
      <c r="A2212" s="196" t="str">
        <f>"52.0399"</f>
        <v>52.0399</v>
      </c>
      <c r="B2212" s="196" t="s">
        <v>5760</v>
      </c>
      <c r="C2212" s="320" t="s">
        <v>4269</v>
      </c>
      <c r="D2212" s="321" t="s">
        <v>8432</v>
      </c>
      <c r="E2212" s="322" t="s">
        <v>8433</v>
      </c>
    </row>
    <row r="2213" spans="1:5" ht="14.5" customHeight="1" x14ac:dyDescent="0.35">
      <c r="A2213" s="196" t="str">
        <f>"52.04"</f>
        <v>52.04</v>
      </c>
      <c r="B2213" s="196" t="s">
        <v>5760</v>
      </c>
      <c r="C2213" s="320" t="s">
        <v>4269</v>
      </c>
      <c r="D2213" s="321" t="s">
        <v>8434</v>
      </c>
      <c r="E2213" s="322" t="s">
        <v>8435</v>
      </c>
    </row>
    <row r="2214" spans="1:5" ht="14.5" customHeight="1" x14ac:dyDescent="0.35">
      <c r="A2214" s="196" t="str">
        <f>"52.0401"</f>
        <v>52.0401</v>
      </c>
      <c r="B2214" s="196" t="s">
        <v>5760</v>
      </c>
      <c r="C2214" s="320" t="s">
        <v>4269</v>
      </c>
      <c r="D2214" s="321" t="s">
        <v>8436</v>
      </c>
      <c r="E2214" s="322" t="s">
        <v>8437</v>
      </c>
    </row>
    <row r="2215" spans="1:5" ht="14.5" customHeight="1" x14ac:dyDescent="0.35">
      <c r="A2215" s="196" t="str">
        <f>"52.0402"</f>
        <v>52.0402</v>
      </c>
      <c r="B2215" s="196" t="s">
        <v>5760</v>
      </c>
      <c r="C2215" s="320" t="s">
        <v>4269</v>
      </c>
      <c r="D2215" s="321" t="s">
        <v>8438</v>
      </c>
      <c r="E2215" s="322" t="s">
        <v>8439</v>
      </c>
    </row>
    <row r="2216" spans="1:5" ht="14.5" customHeight="1" x14ac:dyDescent="0.35">
      <c r="A2216" s="196" t="str">
        <f>"52.0406"</f>
        <v>52.0406</v>
      </c>
      <c r="B2216" s="196" t="s">
        <v>5760</v>
      </c>
      <c r="C2216" s="320" t="s">
        <v>4269</v>
      </c>
      <c r="D2216" s="321" t="s">
        <v>8440</v>
      </c>
      <c r="E2216" s="322" t="s">
        <v>8441</v>
      </c>
    </row>
    <row r="2217" spans="1:5" ht="14.5" customHeight="1" x14ac:dyDescent="0.35">
      <c r="A2217" s="196" t="str">
        <f>"52.0407"</f>
        <v>52.0407</v>
      </c>
      <c r="B2217" s="196" t="s">
        <v>5760</v>
      </c>
      <c r="C2217" s="320" t="s">
        <v>4269</v>
      </c>
      <c r="D2217" s="321" t="s">
        <v>8442</v>
      </c>
      <c r="E2217" s="322" t="s">
        <v>8443</v>
      </c>
    </row>
    <row r="2218" spans="1:5" ht="14.5" customHeight="1" x14ac:dyDescent="0.35">
      <c r="A2218" s="196" t="str">
        <f>"52.0408"</f>
        <v>52.0408</v>
      </c>
      <c r="B2218" s="196" t="s">
        <v>5760</v>
      </c>
      <c r="C2218" s="320" t="s">
        <v>4269</v>
      </c>
      <c r="D2218" s="321" t="s">
        <v>8444</v>
      </c>
      <c r="E2218" s="322" t="s">
        <v>8445</v>
      </c>
    </row>
    <row r="2219" spans="1:5" ht="14.5" customHeight="1" x14ac:dyDescent="0.35">
      <c r="A2219" s="196" t="str">
        <f>"52.0409"</f>
        <v>52.0409</v>
      </c>
      <c r="B2219" s="196" t="s">
        <v>5760</v>
      </c>
      <c r="C2219" s="320" t="s">
        <v>4269</v>
      </c>
      <c r="D2219" s="321" t="s">
        <v>8446</v>
      </c>
      <c r="E2219" s="322" t="s">
        <v>8447</v>
      </c>
    </row>
    <row r="2220" spans="1:5" ht="14.5" customHeight="1" x14ac:dyDescent="0.35">
      <c r="A2220" s="196" t="str">
        <f>"52.0410"</f>
        <v>52.0410</v>
      </c>
      <c r="B2220" s="196" t="s">
        <v>5760</v>
      </c>
      <c r="C2220" s="320" t="s">
        <v>4269</v>
      </c>
      <c r="D2220" s="321" t="s">
        <v>8448</v>
      </c>
      <c r="E2220" s="322" t="s">
        <v>8449</v>
      </c>
    </row>
    <row r="2221" spans="1:5" ht="14.5" customHeight="1" x14ac:dyDescent="0.35">
      <c r="A2221" s="196" t="str">
        <f>"52.0411"</f>
        <v>52.0411</v>
      </c>
      <c r="B2221" s="196" t="s">
        <v>5760</v>
      </c>
      <c r="C2221" s="320" t="s">
        <v>4269</v>
      </c>
      <c r="D2221" s="321" t="s">
        <v>8450</v>
      </c>
      <c r="E2221" s="322" t="s">
        <v>8451</v>
      </c>
    </row>
    <row r="2222" spans="1:5" ht="14.5" customHeight="1" x14ac:dyDescent="0.35">
      <c r="A2222" s="196" t="str">
        <f>"52.0499"</f>
        <v>52.0499</v>
      </c>
      <c r="B2222" s="196" t="s">
        <v>5760</v>
      </c>
      <c r="C2222" s="320" t="s">
        <v>4269</v>
      </c>
      <c r="D2222" s="321" t="s">
        <v>8452</v>
      </c>
      <c r="E2222" s="322" t="s">
        <v>8453</v>
      </c>
    </row>
    <row r="2223" spans="1:5" ht="14.5" customHeight="1" x14ac:dyDescent="0.35">
      <c r="A2223" s="196" t="str">
        <f>"52.05"</f>
        <v>52.05</v>
      </c>
      <c r="B2223" s="196" t="s">
        <v>5760</v>
      </c>
      <c r="C2223" s="320" t="s">
        <v>4269</v>
      </c>
      <c r="D2223" s="321" t="s">
        <v>8454</v>
      </c>
      <c r="E2223" s="322" t="s">
        <v>8455</v>
      </c>
    </row>
    <row r="2224" spans="1:5" ht="14.5" customHeight="1" x14ac:dyDescent="0.35">
      <c r="A2224" s="196" t="str">
        <f>"52.0501"</f>
        <v>52.0501</v>
      </c>
      <c r="B2224" s="196" t="s">
        <v>4265</v>
      </c>
      <c r="C2224" s="320" t="s">
        <v>4266</v>
      </c>
      <c r="D2224" s="321" t="s">
        <v>8456</v>
      </c>
      <c r="E2224" s="322" t="s">
        <v>8457</v>
      </c>
    </row>
    <row r="2225" spans="1:5" s="327" customFormat="1" ht="14.5" customHeight="1" x14ac:dyDescent="0.35">
      <c r="A2225" s="323" t="str">
        <f>"52.0502"</f>
        <v>52.0502</v>
      </c>
      <c r="B2225" s="323" t="s">
        <v>4297</v>
      </c>
      <c r="C2225" s="324" t="s">
        <v>4269</v>
      </c>
      <c r="D2225" s="325" t="s">
        <v>8458</v>
      </c>
      <c r="E2225" s="326" t="s">
        <v>8459</v>
      </c>
    </row>
    <row r="2226" spans="1:5" s="327" customFormat="1" ht="14.5" customHeight="1" x14ac:dyDescent="0.35">
      <c r="A2226" s="323" t="str">
        <f>"52.0599"</f>
        <v>52.0599</v>
      </c>
      <c r="B2226" s="323" t="s">
        <v>4297</v>
      </c>
      <c r="C2226" s="324" t="s">
        <v>4269</v>
      </c>
      <c r="D2226" s="325" t="s">
        <v>8460</v>
      </c>
      <c r="E2226" s="326" t="s">
        <v>8461</v>
      </c>
    </row>
    <row r="2227" spans="1:5" ht="14.5" customHeight="1" x14ac:dyDescent="0.35">
      <c r="A2227" s="196" t="str">
        <f>"52.06"</f>
        <v>52.06</v>
      </c>
      <c r="B2227" s="196" t="s">
        <v>5760</v>
      </c>
      <c r="C2227" s="320" t="s">
        <v>4269</v>
      </c>
      <c r="D2227" s="321" t="s">
        <v>8462</v>
      </c>
      <c r="E2227" s="322" t="s">
        <v>8463</v>
      </c>
    </row>
    <row r="2228" spans="1:5" ht="14.5" customHeight="1" x14ac:dyDescent="0.35">
      <c r="A2228" s="196" t="str">
        <f>"52.0601"</f>
        <v>52.0601</v>
      </c>
      <c r="B2228" s="196" t="s">
        <v>5760</v>
      </c>
      <c r="C2228" s="320" t="s">
        <v>4269</v>
      </c>
      <c r="D2228" s="321" t="s">
        <v>8462</v>
      </c>
      <c r="E2228" s="322" t="s">
        <v>8464</v>
      </c>
    </row>
    <row r="2229" spans="1:5" ht="14.5" customHeight="1" x14ac:dyDescent="0.35">
      <c r="A2229" s="196" t="str">
        <f>"52.07"</f>
        <v>52.07</v>
      </c>
      <c r="B2229" s="196" t="s">
        <v>5760</v>
      </c>
      <c r="C2229" s="320" t="s">
        <v>4269</v>
      </c>
      <c r="D2229" s="321" t="s">
        <v>8465</v>
      </c>
      <c r="E2229" s="322" t="s">
        <v>8466</v>
      </c>
    </row>
    <row r="2230" spans="1:5" ht="14.5" customHeight="1" x14ac:dyDescent="0.35">
      <c r="A2230" s="196" t="str">
        <f>"52.0701"</f>
        <v>52.0701</v>
      </c>
      <c r="B2230" s="196" t="s">
        <v>5760</v>
      </c>
      <c r="C2230" s="320" t="s">
        <v>4269</v>
      </c>
      <c r="D2230" s="321" t="s">
        <v>8467</v>
      </c>
      <c r="E2230" s="322" t="s">
        <v>8468</v>
      </c>
    </row>
    <row r="2231" spans="1:5" ht="14.5" customHeight="1" x14ac:dyDescent="0.35">
      <c r="A2231" s="196" t="str">
        <f>"52.0702"</f>
        <v>52.0702</v>
      </c>
      <c r="B2231" s="196" t="s">
        <v>5760</v>
      </c>
      <c r="C2231" s="320" t="s">
        <v>4269</v>
      </c>
      <c r="D2231" s="321" t="s">
        <v>8469</v>
      </c>
      <c r="E2231" s="322" t="s">
        <v>8470</v>
      </c>
    </row>
    <row r="2232" spans="1:5" ht="14.5" customHeight="1" x14ac:dyDescent="0.35">
      <c r="A2232" s="196" t="str">
        <f>"52.0703"</f>
        <v>52.0703</v>
      </c>
      <c r="B2232" s="196" t="s">
        <v>5760</v>
      </c>
      <c r="C2232" s="320" t="s">
        <v>4269</v>
      </c>
      <c r="D2232" s="321" t="s">
        <v>8471</v>
      </c>
      <c r="E2232" s="322" t="s">
        <v>8472</v>
      </c>
    </row>
    <row r="2233" spans="1:5" s="327" customFormat="1" ht="14.5" customHeight="1" x14ac:dyDescent="0.35">
      <c r="A2233" s="323" t="str">
        <f>"52.0704"</f>
        <v>52.0704</v>
      </c>
      <c r="B2233" s="323" t="s">
        <v>4297</v>
      </c>
      <c r="C2233" s="324" t="s">
        <v>4269</v>
      </c>
      <c r="D2233" s="325" t="s">
        <v>8473</v>
      </c>
      <c r="E2233" s="326" t="s">
        <v>8474</v>
      </c>
    </row>
    <row r="2234" spans="1:5" ht="14.5" customHeight="1" x14ac:dyDescent="0.35">
      <c r="A2234" s="196" t="str">
        <f>"52.0799"</f>
        <v>52.0799</v>
      </c>
      <c r="B2234" s="196" t="s">
        <v>5760</v>
      </c>
      <c r="C2234" s="320" t="s">
        <v>4269</v>
      </c>
      <c r="D2234" s="321" t="s">
        <v>8475</v>
      </c>
      <c r="E2234" s="322" t="s">
        <v>8476</v>
      </c>
    </row>
    <row r="2235" spans="1:5" ht="14.5" customHeight="1" x14ac:dyDescent="0.35">
      <c r="A2235" s="196" t="str">
        <f>"52.08"</f>
        <v>52.08</v>
      </c>
      <c r="B2235" s="196" t="s">
        <v>5760</v>
      </c>
      <c r="C2235" s="320" t="s">
        <v>4269</v>
      </c>
      <c r="D2235" s="321" t="s">
        <v>8477</v>
      </c>
      <c r="E2235" s="322" t="s">
        <v>8478</v>
      </c>
    </row>
    <row r="2236" spans="1:5" ht="14.5" customHeight="1" x14ac:dyDescent="0.35">
      <c r="A2236" s="196" t="str">
        <f>"52.0801"</f>
        <v>52.0801</v>
      </c>
      <c r="B2236" s="196" t="s">
        <v>5760</v>
      </c>
      <c r="C2236" s="320" t="s">
        <v>4269</v>
      </c>
      <c r="D2236" s="321" t="s">
        <v>8479</v>
      </c>
      <c r="E2236" s="322" t="s">
        <v>8480</v>
      </c>
    </row>
    <row r="2237" spans="1:5" ht="14.5" customHeight="1" x14ac:dyDescent="0.35">
      <c r="A2237" s="196" t="str">
        <f>"52.0803"</f>
        <v>52.0803</v>
      </c>
      <c r="B2237" s="196" t="s">
        <v>5760</v>
      </c>
      <c r="C2237" s="320" t="s">
        <v>4269</v>
      </c>
      <c r="D2237" s="321" t="s">
        <v>8481</v>
      </c>
      <c r="E2237" s="322" t="s">
        <v>8482</v>
      </c>
    </row>
    <row r="2238" spans="1:5" ht="14.5" customHeight="1" x14ac:dyDescent="0.35">
      <c r="A2238" s="196" t="str">
        <f>"52.0804"</f>
        <v>52.0804</v>
      </c>
      <c r="B2238" s="196" t="s">
        <v>5760</v>
      </c>
      <c r="C2238" s="320" t="s">
        <v>4269</v>
      </c>
      <c r="D2238" s="321" t="s">
        <v>8483</v>
      </c>
      <c r="E2238" s="322" t="s">
        <v>8484</v>
      </c>
    </row>
    <row r="2239" spans="1:5" ht="14.5" customHeight="1" x14ac:dyDescent="0.35">
      <c r="A2239" s="196" t="str">
        <f>"52.0806"</f>
        <v>52.0806</v>
      </c>
      <c r="B2239" s="196" t="s">
        <v>5760</v>
      </c>
      <c r="C2239" s="320" t="s">
        <v>4269</v>
      </c>
      <c r="D2239" s="321" t="s">
        <v>8485</v>
      </c>
      <c r="E2239" s="322" t="s">
        <v>8486</v>
      </c>
    </row>
    <row r="2240" spans="1:5" ht="14.5" customHeight="1" x14ac:dyDescent="0.35">
      <c r="A2240" s="196" t="str">
        <f>"52.0807"</f>
        <v>52.0807</v>
      </c>
      <c r="B2240" s="196" t="s">
        <v>5760</v>
      </c>
      <c r="C2240" s="320" t="s">
        <v>4269</v>
      </c>
      <c r="D2240" s="321" t="s">
        <v>8487</v>
      </c>
      <c r="E2240" s="322" t="s">
        <v>8488</v>
      </c>
    </row>
    <row r="2241" spans="1:5" ht="14.5" customHeight="1" x14ac:dyDescent="0.35">
      <c r="A2241" s="196" t="str">
        <f>"52.0808"</f>
        <v>52.0808</v>
      </c>
      <c r="B2241" s="196" t="s">
        <v>5760</v>
      </c>
      <c r="C2241" s="320" t="s">
        <v>4269</v>
      </c>
      <c r="D2241" s="321" t="s">
        <v>8489</v>
      </c>
      <c r="E2241" s="322" t="s">
        <v>8490</v>
      </c>
    </row>
    <row r="2242" spans="1:5" ht="14.5" customHeight="1" x14ac:dyDescent="0.35">
      <c r="A2242" s="196" t="str">
        <f>"52.0809"</f>
        <v>52.0809</v>
      </c>
      <c r="B2242" s="196" t="s">
        <v>5760</v>
      </c>
      <c r="C2242" s="320" t="s">
        <v>4269</v>
      </c>
      <c r="D2242" s="321" t="s">
        <v>8491</v>
      </c>
      <c r="E2242" s="322" t="s">
        <v>8492</v>
      </c>
    </row>
    <row r="2243" spans="1:5" s="327" customFormat="1" ht="14.5" customHeight="1" x14ac:dyDescent="0.35">
      <c r="A2243" s="323" t="str">
        <f>"52.0810"</f>
        <v>52.0810</v>
      </c>
      <c r="B2243" s="323" t="s">
        <v>4297</v>
      </c>
      <c r="C2243" s="324" t="s">
        <v>4269</v>
      </c>
      <c r="D2243" s="325" t="s">
        <v>8493</v>
      </c>
      <c r="E2243" s="326" t="s">
        <v>8494</v>
      </c>
    </row>
    <row r="2244" spans="1:5" ht="14.5" customHeight="1" x14ac:dyDescent="0.35">
      <c r="A2244" s="196" t="str">
        <f>"52.0899"</f>
        <v>52.0899</v>
      </c>
      <c r="B2244" s="196" t="s">
        <v>5760</v>
      </c>
      <c r="C2244" s="320" t="s">
        <v>4269</v>
      </c>
      <c r="D2244" s="321" t="s">
        <v>8495</v>
      </c>
      <c r="E2244" s="322" t="s">
        <v>8496</v>
      </c>
    </row>
    <row r="2245" spans="1:5" ht="14.5" customHeight="1" x14ac:dyDescent="0.35">
      <c r="A2245" s="196" t="str">
        <f>"52.09"</f>
        <v>52.09</v>
      </c>
      <c r="B2245" s="196" t="s">
        <v>5760</v>
      </c>
      <c r="C2245" s="320" t="s">
        <v>4269</v>
      </c>
      <c r="D2245" s="321" t="s">
        <v>8497</v>
      </c>
      <c r="E2245" s="322" t="s">
        <v>8498</v>
      </c>
    </row>
    <row r="2246" spans="1:5" ht="14.5" customHeight="1" x14ac:dyDescent="0.35">
      <c r="A2246" s="196" t="str">
        <f>"52.0901"</f>
        <v>52.0901</v>
      </c>
      <c r="B2246" s="196" t="s">
        <v>5760</v>
      </c>
      <c r="C2246" s="320" t="s">
        <v>4269</v>
      </c>
      <c r="D2246" s="321" t="s">
        <v>8499</v>
      </c>
      <c r="E2246" s="322" t="s">
        <v>8500</v>
      </c>
    </row>
    <row r="2247" spans="1:5" ht="14.5" customHeight="1" x14ac:dyDescent="0.35">
      <c r="A2247" s="196" t="str">
        <f>"52.0903"</f>
        <v>52.0903</v>
      </c>
      <c r="B2247" s="196" t="s">
        <v>5760</v>
      </c>
      <c r="C2247" s="320" t="s">
        <v>4269</v>
      </c>
      <c r="D2247" s="321" t="s">
        <v>8501</v>
      </c>
      <c r="E2247" s="322" t="s">
        <v>8502</v>
      </c>
    </row>
    <row r="2248" spans="1:5" ht="14.5" customHeight="1" x14ac:dyDescent="0.35">
      <c r="A2248" s="196" t="str">
        <f>"52.0904"</f>
        <v>52.0904</v>
      </c>
      <c r="B2248" s="196" t="s">
        <v>5760</v>
      </c>
      <c r="C2248" s="320" t="s">
        <v>4269</v>
      </c>
      <c r="D2248" s="321" t="s">
        <v>8503</v>
      </c>
      <c r="E2248" s="322" t="s">
        <v>8504</v>
      </c>
    </row>
    <row r="2249" spans="1:5" ht="14.5" customHeight="1" x14ac:dyDescent="0.35">
      <c r="A2249" s="196" t="str">
        <f>"52.0905"</f>
        <v>52.0905</v>
      </c>
      <c r="B2249" s="196" t="s">
        <v>5760</v>
      </c>
      <c r="C2249" s="320" t="s">
        <v>4269</v>
      </c>
      <c r="D2249" s="321" t="s">
        <v>8505</v>
      </c>
      <c r="E2249" s="322" t="s">
        <v>8506</v>
      </c>
    </row>
    <row r="2250" spans="1:5" ht="14.5" customHeight="1" x14ac:dyDescent="0.35">
      <c r="A2250" s="196" t="str">
        <f>"52.0906"</f>
        <v>52.0906</v>
      </c>
      <c r="B2250" s="196" t="s">
        <v>5760</v>
      </c>
      <c r="C2250" s="320" t="s">
        <v>4269</v>
      </c>
      <c r="D2250" s="321" t="s">
        <v>8507</v>
      </c>
      <c r="E2250" s="322" t="s">
        <v>8508</v>
      </c>
    </row>
    <row r="2251" spans="1:5" ht="14.5" customHeight="1" x14ac:dyDescent="0.35">
      <c r="A2251" s="196" t="str">
        <f>"52.0907"</f>
        <v>52.0907</v>
      </c>
      <c r="B2251" s="196" t="s">
        <v>5760</v>
      </c>
      <c r="C2251" s="320" t="s">
        <v>4269</v>
      </c>
      <c r="D2251" s="321" t="s">
        <v>8509</v>
      </c>
      <c r="E2251" s="322" t="s">
        <v>8510</v>
      </c>
    </row>
    <row r="2252" spans="1:5" ht="14.5" customHeight="1" x14ac:dyDescent="0.35">
      <c r="A2252" s="196" t="str">
        <f>"52.0908"</f>
        <v>52.0908</v>
      </c>
      <c r="B2252" s="196" t="s">
        <v>4265</v>
      </c>
      <c r="C2252" s="320" t="s">
        <v>4266</v>
      </c>
      <c r="D2252" s="321" t="s">
        <v>8511</v>
      </c>
      <c r="E2252" s="322" t="s">
        <v>8512</v>
      </c>
    </row>
    <row r="2253" spans="1:5" ht="14.5" customHeight="1" x14ac:dyDescent="0.35">
      <c r="A2253" s="196" t="str">
        <f>"52.0909"</f>
        <v>52.0909</v>
      </c>
      <c r="B2253" s="196" t="s">
        <v>5760</v>
      </c>
      <c r="C2253" s="320" t="s">
        <v>4269</v>
      </c>
      <c r="D2253" s="321" t="s">
        <v>8513</v>
      </c>
      <c r="E2253" s="322" t="s">
        <v>8514</v>
      </c>
    </row>
    <row r="2254" spans="1:5" s="327" customFormat="1" ht="14.5" customHeight="1" x14ac:dyDescent="0.35">
      <c r="A2254" s="323" t="str">
        <f>"52.0910"</f>
        <v>52.0910</v>
      </c>
      <c r="B2254" s="323" t="s">
        <v>4297</v>
      </c>
      <c r="C2254" s="324" t="s">
        <v>4269</v>
      </c>
      <c r="D2254" s="325" t="s">
        <v>8515</v>
      </c>
      <c r="E2254" s="326" t="s">
        <v>8516</v>
      </c>
    </row>
    <row r="2255" spans="1:5" ht="14.5" customHeight="1" x14ac:dyDescent="0.35">
      <c r="A2255" s="196" t="str">
        <f>"52.0999"</f>
        <v>52.0999</v>
      </c>
      <c r="B2255" s="196" t="s">
        <v>5760</v>
      </c>
      <c r="C2255" s="320" t="s">
        <v>4269</v>
      </c>
      <c r="D2255" s="321" t="s">
        <v>8517</v>
      </c>
      <c r="E2255" s="322" t="s">
        <v>8518</v>
      </c>
    </row>
    <row r="2256" spans="1:5" ht="14.5" customHeight="1" x14ac:dyDescent="0.35">
      <c r="A2256" s="196" t="str">
        <f>"52.10"</f>
        <v>52.10</v>
      </c>
      <c r="B2256" s="196" t="s">
        <v>5760</v>
      </c>
      <c r="C2256" s="320" t="s">
        <v>4269</v>
      </c>
      <c r="D2256" s="321" t="s">
        <v>8519</v>
      </c>
      <c r="E2256" s="322" t="s">
        <v>8520</v>
      </c>
    </row>
    <row r="2257" spans="1:5" ht="14.5" customHeight="1" x14ac:dyDescent="0.35">
      <c r="A2257" s="196" t="str">
        <f>"52.1001"</f>
        <v>52.1001</v>
      </c>
      <c r="B2257" s="196" t="s">
        <v>5760</v>
      </c>
      <c r="C2257" s="320" t="s">
        <v>4269</v>
      </c>
      <c r="D2257" s="321" t="s">
        <v>8521</v>
      </c>
      <c r="E2257" s="322" t="s">
        <v>8522</v>
      </c>
    </row>
    <row r="2258" spans="1:5" ht="14.5" customHeight="1" x14ac:dyDescent="0.35">
      <c r="A2258" s="196" t="str">
        <f>"52.1002"</f>
        <v>52.1002</v>
      </c>
      <c r="B2258" s="196" t="s">
        <v>5760</v>
      </c>
      <c r="C2258" s="320" t="s">
        <v>4269</v>
      </c>
      <c r="D2258" s="321" t="s">
        <v>8523</v>
      </c>
      <c r="E2258" s="322" t="s">
        <v>8524</v>
      </c>
    </row>
    <row r="2259" spans="1:5" ht="14.5" customHeight="1" x14ac:dyDescent="0.35">
      <c r="A2259" s="196" t="str">
        <f>"52.1003"</f>
        <v>52.1003</v>
      </c>
      <c r="B2259" s="196" t="s">
        <v>5760</v>
      </c>
      <c r="C2259" s="320" t="s">
        <v>4269</v>
      </c>
      <c r="D2259" s="321" t="s">
        <v>8525</v>
      </c>
      <c r="E2259" s="322" t="s">
        <v>8526</v>
      </c>
    </row>
    <row r="2260" spans="1:5" ht="14.5" customHeight="1" x14ac:dyDescent="0.35">
      <c r="A2260" s="196" t="str">
        <f>"52.1004"</f>
        <v>52.1004</v>
      </c>
      <c r="B2260" s="196" t="s">
        <v>5760</v>
      </c>
      <c r="C2260" s="320" t="s">
        <v>4269</v>
      </c>
      <c r="D2260" s="321" t="s">
        <v>8527</v>
      </c>
      <c r="E2260" s="322" t="s">
        <v>8528</v>
      </c>
    </row>
    <row r="2261" spans="1:5" ht="14.5" customHeight="1" x14ac:dyDescent="0.35">
      <c r="A2261" s="196" t="str">
        <f>"52.1005"</f>
        <v>52.1005</v>
      </c>
      <c r="B2261" s="196" t="s">
        <v>5760</v>
      </c>
      <c r="C2261" s="320" t="s">
        <v>4269</v>
      </c>
      <c r="D2261" s="321" t="s">
        <v>8529</v>
      </c>
      <c r="E2261" s="322" t="s">
        <v>8530</v>
      </c>
    </row>
    <row r="2262" spans="1:5" s="327" customFormat="1" ht="14.5" customHeight="1" x14ac:dyDescent="0.35">
      <c r="A2262" s="323" t="str">
        <f>"52.1006"</f>
        <v>52.1006</v>
      </c>
      <c r="B2262" s="323" t="s">
        <v>4297</v>
      </c>
      <c r="C2262" s="324" t="s">
        <v>4269</v>
      </c>
      <c r="D2262" s="325" t="s">
        <v>8531</v>
      </c>
      <c r="E2262" s="326" t="s">
        <v>8532</v>
      </c>
    </row>
    <row r="2263" spans="1:5" ht="14.5" customHeight="1" x14ac:dyDescent="0.35">
      <c r="A2263" s="196" t="str">
        <f>"52.1099"</f>
        <v>52.1099</v>
      </c>
      <c r="B2263" s="196" t="s">
        <v>5760</v>
      </c>
      <c r="C2263" s="320" t="s">
        <v>4269</v>
      </c>
      <c r="D2263" s="321" t="s">
        <v>8533</v>
      </c>
      <c r="E2263" s="322" t="s">
        <v>8534</v>
      </c>
    </row>
    <row r="2264" spans="1:5" ht="14.5" customHeight="1" x14ac:dyDescent="0.35">
      <c r="A2264" s="196" t="str">
        <f>"52.11"</f>
        <v>52.11</v>
      </c>
      <c r="B2264" s="196" t="s">
        <v>5760</v>
      </c>
      <c r="C2264" s="320" t="s">
        <v>4269</v>
      </c>
      <c r="D2264" s="321" t="s">
        <v>8535</v>
      </c>
      <c r="E2264" s="322" t="s">
        <v>8536</v>
      </c>
    </row>
    <row r="2265" spans="1:5" ht="14.5" customHeight="1" x14ac:dyDescent="0.35">
      <c r="A2265" s="196" t="str">
        <f>"52.1101"</f>
        <v>52.1101</v>
      </c>
      <c r="B2265" s="196" t="s">
        <v>5760</v>
      </c>
      <c r="C2265" s="320" t="s">
        <v>4269</v>
      </c>
      <c r="D2265" s="321" t="s">
        <v>8537</v>
      </c>
      <c r="E2265" s="322" t="s">
        <v>8538</v>
      </c>
    </row>
    <row r="2266" spans="1:5" ht="14.5" customHeight="1" x14ac:dyDescent="0.35">
      <c r="A2266" s="196" t="str">
        <f>"52.12"</f>
        <v>52.12</v>
      </c>
      <c r="B2266" s="196" t="s">
        <v>5760</v>
      </c>
      <c r="C2266" s="320" t="s">
        <v>4269</v>
      </c>
      <c r="D2266" s="321" t="s">
        <v>8539</v>
      </c>
      <c r="E2266" s="322" t="s">
        <v>8540</v>
      </c>
    </row>
    <row r="2267" spans="1:5" ht="14.5" customHeight="1" x14ac:dyDescent="0.35">
      <c r="A2267" s="196" t="str">
        <f>"52.1201"</f>
        <v>52.1201</v>
      </c>
      <c r="B2267" s="196" t="s">
        <v>5760</v>
      </c>
      <c r="C2267" s="320" t="s">
        <v>4269</v>
      </c>
      <c r="D2267" s="321" t="s">
        <v>8541</v>
      </c>
      <c r="E2267" s="322" t="s">
        <v>8542</v>
      </c>
    </row>
    <row r="2268" spans="1:5" ht="14.5" customHeight="1" x14ac:dyDescent="0.35">
      <c r="A2268" s="196" t="str">
        <f>"52.1206"</f>
        <v>52.1206</v>
      </c>
      <c r="B2268" s="196" t="s">
        <v>5760</v>
      </c>
      <c r="C2268" s="320" t="s">
        <v>4269</v>
      </c>
      <c r="D2268" s="321" t="s">
        <v>8543</v>
      </c>
      <c r="E2268" s="322" t="s">
        <v>8544</v>
      </c>
    </row>
    <row r="2269" spans="1:5" ht="14.5" customHeight="1" x14ac:dyDescent="0.35">
      <c r="A2269" s="196" t="str">
        <f>"52.1207"</f>
        <v>52.1207</v>
      </c>
      <c r="B2269" s="196" t="s">
        <v>5760</v>
      </c>
      <c r="C2269" s="320" t="s">
        <v>4269</v>
      </c>
      <c r="D2269" s="321" t="s">
        <v>8545</v>
      </c>
      <c r="E2269" s="322" t="s">
        <v>8546</v>
      </c>
    </row>
    <row r="2270" spans="1:5" ht="14.5" customHeight="1" x14ac:dyDescent="0.35">
      <c r="A2270" s="196" t="str">
        <f>"52.1299"</f>
        <v>52.1299</v>
      </c>
      <c r="B2270" s="196" t="s">
        <v>5760</v>
      </c>
      <c r="C2270" s="320" t="s">
        <v>4269</v>
      </c>
      <c r="D2270" s="321" t="s">
        <v>8547</v>
      </c>
      <c r="E2270" s="322" t="s">
        <v>8548</v>
      </c>
    </row>
    <row r="2271" spans="1:5" ht="14.5" customHeight="1" x14ac:dyDescent="0.35">
      <c r="A2271" s="196" t="str">
        <f>"52.13"</f>
        <v>52.13</v>
      </c>
      <c r="B2271" s="196" t="s">
        <v>5760</v>
      </c>
      <c r="C2271" s="320" t="s">
        <v>4269</v>
      </c>
      <c r="D2271" s="321" t="s">
        <v>8549</v>
      </c>
      <c r="E2271" s="322" t="s">
        <v>8550</v>
      </c>
    </row>
    <row r="2272" spans="1:5" ht="14.5" customHeight="1" x14ac:dyDescent="0.35">
      <c r="A2272" s="196" t="str">
        <f>"52.1301"</f>
        <v>52.1301</v>
      </c>
      <c r="B2272" s="196" t="s">
        <v>5760</v>
      </c>
      <c r="C2272" s="320" t="s">
        <v>4269</v>
      </c>
      <c r="D2272" s="321" t="s">
        <v>8551</v>
      </c>
      <c r="E2272" s="322" t="s">
        <v>8552</v>
      </c>
    </row>
    <row r="2273" spans="1:5" ht="14.5" customHeight="1" x14ac:dyDescent="0.35">
      <c r="A2273" s="196" t="str">
        <f>"52.1302"</f>
        <v>52.1302</v>
      </c>
      <c r="B2273" s="196" t="s">
        <v>5760</v>
      </c>
      <c r="C2273" s="320" t="s">
        <v>4269</v>
      </c>
      <c r="D2273" s="321" t="s">
        <v>8553</v>
      </c>
      <c r="E2273" s="322" t="s">
        <v>8554</v>
      </c>
    </row>
    <row r="2274" spans="1:5" ht="14.5" customHeight="1" x14ac:dyDescent="0.35">
      <c r="A2274" s="196" t="str">
        <f>"52.1304"</f>
        <v>52.1304</v>
      </c>
      <c r="B2274" s="196" t="s">
        <v>5760</v>
      </c>
      <c r="C2274" s="320" t="s">
        <v>4269</v>
      </c>
      <c r="D2274" s="321" t="s">
        <v>8555</v>
      </c>
      <c r="E2274" s="322" t="s">
        <v>8556</v>
      </c>
    </row>
    <row r="2275" spans="1:5" ht="14.5" customHeight="1" x14ac:dyDescent="0.35">
      <c r="A2275" s="196" t="str">
        <f>"52.1399"</f>
        <v>52.1399</v>
      </c>
      <c r="B2275" s="196" t="s">
        <v>5760</v>
      </c>
      <c r="C2275" s="320" t="s">
        <v>4269</v>
      </c>
      <c r="D2275" s="321" t="s">
        <v>8557</v>
      </c>
      <c r="E2275" s="322" t="s">
        <v>8558</v>
      </c>
    </row>
    <row r="2276" spans="1:5" ht="14.5" customHeight="1" x14ac:dyDescent="0.35">
      <c r="A2276" s="196" t="str">
        <f>"52.14"</f>
        <v>52.14</v>
      </c>
      <c r="B2276" s="196" t="s">
        <v>5760</v>
      </c>
      <c r="C2276" s="320" t="s">
        <v>4269</v>
      </c>
      <c r="D2276" s="321" t="s">
        <v>8559</v>
      </c>
      <c r="E2276" s="322" t="s">
        <v>8560</v>
      </c>
    </row>
    <row r="2277" spans="1:5" ht="14.5" customHeight="1" x14ac:dyDescent="0.35">
      <c r="A2277" s="196" t="str">
        <f>"52.1401"</f>
        <v>52.1401</v>
      </c>
      <c r="B2277" s="196" t="s">
        <v>5760</v>
      </c>
      <c r="C2277" s="320" t="s">
        <v>4269</v>
      </c>
      <c r="D2277" s="321" t="s">
        <v>8561</v>
      </c>
      <c r="E2277" s="322" t="s">
        <v>8562</v>
      </c>
    </row>
    <row r="2278" spans="1:5" ht="14.5" customHeight="1" x14ac:dyDescent="0.35">
      <c r="A2278" s="196" t="str">
        <f>"52.1402"</f>
        <v>52.1402</v>
      </c>
      <c r="B2278" s="196" t="s">
        <v>5760</v>
      </c>
      <c r="C2278" s="320" t="s">
        <v>4269</v>
      </c>
      <c r="D2278" s="321" t="s">
        <v>8563</v>
      </c>
      <c r="E2278" s="322" t="s">
        <v>8564</v>
      </c>
    </row>
    <row r="2279" spans="1:5" ht="14.5" customHeight="1" x14ac:dyDescent="0.35">
      <c r="A2279" s="196" t="str">
        <f>"52.1403"</f>
        <v>52.1403</v>
      </c>
      <c r="B2279" s="196" t="s">
        <v>5760</v>
      </c>
      <c r="C2279" s="320" t="s">
        <v>4269</v>
      </c>
      <c r="D2279" s="321" t="s">
        <v>8565</v>
      </c>
      <c r="E2279" s="322" t="s">
        <v>8566</v>
      </c>
    </row>
    <row r="2280" spans="1:5" s="327" customFormat="1" ht="14.5" customHeight="1" x14ac:dyDescent="0.35">
      <c r="A2280" s="323" t="str">
        <f>"52.1404"</f>
        <v>52.1404</v>
      </c>
      <c r="B2280" s="323" t="s">
        <v>4297</v>
      </c>
      <c r="C2280" s="324" t="s">
        <v>4269</v>
      </c>
      <c r="D2280" s="325" t="s">
        <v>8567</v>
      </c>
      <c r="E2280" s="326" t="s">
        <v>8568</v>
      </c>
    </row>
    <row r="2281" spans="1:5" ht="14.5" customHeight="1" x14ac:dyDescent="0.35">
      <c r="A2281" s="196" t="str">
        <f>"52.1499"</f>
        <v>52.1499</v>
      </c>
      <c r="B2281" s="196" t="s">
        <v>5760</v>
      </c>
      <c r="C2281" s="320" t="s">
        <v>4269</v>
      </c>
      <c r="D2281" s="321" t="s">
        <v>8569</v>
      </c>
      <c r="E2281" s="322" t="s">
        <v>8570</v>
      </c>
    </row>
    <row r="2282" spans="1:5" ht="14.5" customHeight="1" x14ac:dyDescent="0.35">
      <c r="A2282" s="196" t="str">
        <f>"52.15"</f>
        <v>52.15</v>
      </c>
      <c r="B2282" s="196" t="s">
        <v>5760</v>
      </c>
      <c r="C2282" s="320" t="s">
        <v>4269</v>
      </c>
      <c r="D2282" s="321" t="s">
        <v>8571</v>
      </c>
      <c r="E2282" s="322" t="s">
        <v>8572</v>
      </c>
    </row>
    <row r="2283" spans="1:5" ht="14.5" customHeight="1" x14ac:dyDescent="0.35">
      <c r="A2283" s="196" t="str">
        <f>"52.1501"</f>
        <v>52.1501</v>
      </c>
      <c r="B2283" s="196" t="s">
        <v>5760</v>
      </c>
      <c r="C2283" s="320" t="s">
        <v>4269</v>
      </c>
      <c r="D2283" s="321" t="s">
        <v>8571</v>
      </c>
      <c r="E2283" s="322" t="s">
        <v>8573</v>
      </c>
    </row>
    <row r="2284" spans="1:5" ht="14.5" customHeight="1" x14ac:dyDescent="0.35">
      <c r="A2284" s="196" t="str">
        <f>"52.16"</f>
        <v>52.16</v>
      </c>
      <c r="B2284" s="196" t="s">
        <v>5760</v>
      </c>
      <c r="C2284" s="320" t="s">
        <v>4269</v>
      </c>
      <c r="D2284" s="321" t="s">
        <v>8574</v>
      </c>
      <c r="E2284" s="322" t="s">
        <v>8575</v>
      </c>
    </row>
    <row r="2285" spans="1:5" ht="14.5" customHeight="1" x14ac:dyDescent="0.35">
      <c r="A2285" s="196" t="str">
        <f>"52.1601"</f>
        <v>52.1601</v>
      </c>
      <c r="B2285" s="196" t="s">
        <v>5760</v>
      </c>
      <c r="C2285" s="320" t="s">
        <v>4269</v>
      </c>
      <c r="D2285" s="321" t="s">
        <v>8574</v>
      </c>
      <c r="E2285" s="322" t="s">
        <v>8576</v>
      </c>
    </row>
    <row r="2286" spans="1:5" ht="14.5" customHeight="1" x14ac:dyDescent="0.35">
      <c r="A2286" s="196" t="str">
        <f>"52.17"</f>
        <v>52.17</v>
      </c>
      <c r="B2286" s="196" t="s">
        <v>5760</v>
      </c>
      <c r="C2286" s="320" t="s">
        <v>4269</v>
      </c>
      <c r="D2286" s="321" t="s">
        <v>8577</v>
      </c>
      <c r="E2286" s="322" t="s">
        <v>8578</v>
      </c>
    </row>
    <row r="2287" spans="1:5" ht="14.5" customHeight="1" x14ac:dyDescent="0.35">
      <c r="A2287" s="196" t="str">
        <f>"52.1701"</f>
        <v>52.1701</v>
      </c>
      <c r="B2287" s="196" t="s">
        <v>5760</v>
      </c>
      <c r="C2287" s="320" t="s">
        <v>4269</v>
      </c>
      <c r="D2287" s="321" t="s">
        <v>8577</v>
      </c>
      <c r="E2287" s="322" t="s">
        <v>8579</v>
      </c>
    </row>
    <row r="2288" spans="1:5" ht="14.5" customHeight="1" x14ac:dyDescent="0.35">
      <c r="A2288" s="196" t="str">
        <f>"52.18"</f>
        <v>52.18</v>
      </c>
      <c r="B2288" s="196" t="s">
        <v>5760</v>
      </c>
      <c r="C2288" s="320" t="s">
        <v>4269</v>
      </c>
      <c r="D2288" s="321" t="s">
        <v>8580</v>
      </c>
      <c r="E2288" s="322" t="s">
        <v>8581</v>
      </c>
    </row>
    <row r="2289" spans="1:5" ht="14.5" customHeight="1" x14ac:dyDescent="0.35">
      <c r="A2289" s="196" t="str">
        <f>"52.1801"</f>
        <v>52.1801</v>
      </c>
      <c r="B2289" s="196" t="s">
        <v>5760</v>
      </c>
      <c r="C2289" s="320" t="s">
        <v>4269</v>
      </c>
      <c r="D2289" s="321" t="s">
        <v>8582</v>
      </c>
      <c r="E2289" s="322" t="s">
        <v>8583</v>
      </c>
    </row>
    <row r="2290" spans="1:5" ht="14.5" customHeight="1" x14ac:dyDescent="0.35">
      <c r="A2290" s="196" t="str">
        <f>"52.1802"</f>
        <v>52.1802</v>
      </c>
      <c r="B2290" s="196" t="s">
        <v>5760</v>
      </c>
      <c r="C2290" s="320" t="s">
        <v>4269</v>
      </c>
      <c r="D2290" s="321" t="s">
        <v>8584</v>
      </c>
      <c r="E2290" s="322" t="s">
        <v>8585</v>
      </c>
    </row>
    <row r="2291" spans="1:5" ht="14.5" customHeight="1" x14ac:dyDescent="0.35">
      <c r="A2291" s="196" t="str">
        <f>"52.1803"</f>
        <v>52.1803</v>
      </c>
      <c r="B2291" s="196" t="s">
        <v>5760</v>
      </c>
      <c r="C2291" s="320" t="s">
        <v>4269</v>
      </c>
      <c r="D2291" s="321" t="s">
        <v>8586</v>
      </c>
      <c r="E2291" s="322" t="s">
        <v>8587</v>
      </c>
    </row>
    <row r="2292" spans="1:5" ht="14.5" customHeight="1" x14ac:dyDescent="0.35">
      <c r="A2292" s="196" t="str">
        <f>"52.1804"</f>
        <v>52.1804</v>
      </c>
      <c r="B2292" s="196" t="s">
        <v>5760</v>
      </c>
      <c r="C2292" s="320" t="s">
        <v>4269</v>
      </c>
      <c r="D2292" s="321" t="s">
        <v>8588</v>
      </c>
      <c r="E2292" s="322" t="s">
        <v>8589</v>
      </c>
    </row>
    <row r="2293" spans="1:5" s="327" customFormat="1" ht="14.5" customHeight="1" x14ac:dyDescent="0.35">
      <c r="A2293" s="323" t="str">
        <f>"52.1880"</f>
        <v>52.1880</v>
      </c>
      <c r="B2293" s="323" t="s">
        <v>4297</v>
      </c>
      <c r="C2293" s="324" t="s">
        <v>4269</v>
      </c>
      <c r="D2293" s="325" t="s">
        <v>4328</v>
      </c>
      <c r="E2293" s="326" t="s">
        <v>4329</v>
      </c>
    </row>
    <row r="2294" spans="1:5" ht="14.5" customHeight="1" x14ac:dyDescent="0.35">
      <c r="A2294" s="196" t="str">
        <f>"52.1899"</f>
        <v>52.1899</v>
      </c>
      <c r="B2294" s="196" t="s">
        <v>5760</v>
      </c>
      <c r="C2294" s="320" t="s">
        <v>4269</v>
      </c>
      <c r="D2294" s="321" t="s">
        <v>8590</v>
      </c>
      <c r="E2294" s="322" t="s">
        <v>8591</v>
      </c>
    </row>
    <row r="2295" spans="1:5" ht="14.5" customHeight="1" x14ac:dyDescent="0.35">
      <c r="A2295" s="196" t="str">
        <f>"52.19"</f>
        <v>52.19</v>
      </c>
      <c r="B2295" s="196" t="s">
        <v>5760</v>
      </c>
      <c r="C2295" s="320" t="s">
        <v>4269</v>
      </c>
      <c r="D2295" s="321" t="s">
        <v>8592</v>
      </c>
      <c r="E2295" s="322" t="s">
        <v>8593</v>
      </c>
    </row>
    <row r="2296" spans="1:5" ht="14.5" customHeight="1" x14ac:dyDescent="0.35">
      <c r="A2296" s="196" t="str">
        <f>"52.1901"</f>
        <v>52.1901</v>
      </c>
      <c r="B2296" s="196" t="s">
        <v>5760</v>
      </c>
      <c r="C2296" s="320" t="s">
        <v>4269</v>
      </c>
      <c r="D2296" s="321" t="s">
        <v>8594</v>
      </c>
      <c r="E2296" s="322" t="s">
        <v>8595</v>
      </c>
    </row>
    <row r="2297" spans="1:5" ht="14.5" customHeight="1" x14ac:dyDescent="0.35">
      <c r="A2297" s="196" t="str">
        <f>"52.1902"</f>
        <v>52.1902</v>
      </c>
      <c r="B2297" s="196" t="s">
        <v>5760</v>
      </c>
      <c r="C2297" s="320" t="s">
        <v>4269</v>
      </c>
      <c r="D2297" s="321" t="s">
        <v>8596</v>
      </c>
      <c r="E2297" s="322" t="s">
        <v>8597</v>
      </c>
    </row>
    <row r="2298" spans="1:5" ht="14.5" customHeight="1" x14ac:dyDescent="0.35">
      <c r="A2298" s="196" t="str">
        <f>"52.1903"</f>
        <v>52.1903</v>
      </c>
      <c r="B2298" s="196" t="s">
        <v>5760</v>
      </c>
      <c r="C2298" s="320" t="s">
        <v>4269</v>
      </c>
      <c r="D2298" s="321" t="s">
        <v>8598</v>
      </c>
      <c r="E2298" s="322" t="s">
        <v>8599</v>
      </c>
    </row>
    <row r="2299" spans="1:5" ht="14.5" customHeight="1" x14ac:dyDescent="0.35">
      <c r="A2299" s="196" t="str">
        <f>"52.1904"</f>
        <v>52.1904</v>
      </c>
      <c r="B2299" s="196" t="s">
        <v>5760</v>
      </c>
      <c r="C2299" s="320" t="s">
        <v>4269</v>
      </c>
      <c r="D2299" s="321" t="s">
        <v>8600</v>
      </c>
      <c r="E2299" s="322" t="s">
        <v>8601</v>
      </c>
    </row>
    <row r="2300" spans="1:5" ht="14.5" customHeight="1" x14ac:dyDescent="0.35">
      <c r="A2300" s="196" t="str">
        <f>"52.1905"</f>
        <v>52.1905</v>
      </c>
      <c r="B2300" s="196" t="s">
        <v>5760</v>
      </c>
      <c r="C2300" s="320" t="s">
        <v>4269</v>
      </c>
      <c r="D2300" s="321" t="s">
        <v>8602</v>
      </c>
      <c r="E2300" s="322" t="s">
        <v>8603</v>
      </c>
    </row>
    <row r="2301" spans="1:5" ht="14.5" customHeight="1" x14ac:dyDescent="0.35">
      <c r="A2301" s="196" t="str">
        <f>"52.1906"</f>
        <v>52.1906</v>
      </c>
      <c r="B2301" s="196" t="s">
        <v>5760</v>
      </c>
      <c r="C2301" s="320" t="s">
        <v>4269</v>
      </c>
      <c r="D2301" s="321" t="s">
        <v>8604</v>
      </c>
      <c r="E2301" s="322" t="s">
        <v>8605</v>
      </c>
    </row>
    <row r="2302" spans="1:5" ht="14.5" customHeight="1" x14ac:dyDescent="0.35">
      <c r="A2302" s="196" t="str">
        <f>"52.1907"</f>
        <v>52.1907</v>
      </c>
      <c r="B2302" s="196" t="s">
        <v>5760</v>
      </c>
      <c r="C2302" s="320" t="s">
        <v>4269</v>
      </c>
      <c r="D2302" s="321" t="s">
        <v>8606</v>
      </c>
      <c r="E2302" s="322" t="s">
        <v>8607</v>
      </c>
    </row>
    <row r="2303" spans="1:5" ht="14.5" customHeight="1" x14ac:dyDescent="0.35">
      <c r="A2303" s="196" t="str">
        <f>"52.1908"</f>
        <v>52.1908</v>
      </c>
      <c r="B2303" s="196" t="s">
        <v>5760</v>
      </c>
      <c r="C2303" s="320" t="s">
        <v>4269</v>
      </c>
      <c r="D2303" s="321" t="s">
        <v>8608</v>
      </c>
      <c r="E2303" s="322" t="s">
        <v>8609</v>
      </c>
    </row>
    <row r="2304" spans="1:5" ht="14.5" customHeight="1" x14ac:dyDescent="0.35">
      <c r="A2304" s="196" t="str">
        <f>"52.1909"</f>
        <v>52.1909</v>
      </c>
      <c r="B2304" s="196" t="s">
        <v>5760</v>
      </c>
      <c r="C2304" s="320" t="s">
        <v>4269</v>
      </c>
      <c r="D2304" s="321" t="s">
        <v>8610</v>
      </c>
      <c r="E2304" s="322" t="s">
        <v>8611</v>
      </c>
    </row>
    <row r="2305" spans="1:5" ht="14.5" customHeight="1" x14ac:dyDescent="0.35">
      <c r="A2305" s="196" t="str">
        <f>"52.1910"</f>
        <v>52.1910</v>
      </c>
      <c r="B2305" s="196" t="s">
        <v>5760</v>
      </c>
      <c r="C2305" s="320" t="s">
        <v>4269</v>
      </c>
      <c r="D2305" s="321" t="s">
        <v>8612</v>
      </c>
      <c r="E2305" s="322" t="s">
        <v>8613</v>
      </c>
    </row>
    <row r="2306" spans="1:5" s="327" customFormat="1" ht="14.5" customHeight="1" x14ac:dyDescent="0.35">
      <c r="A2306" s="323" t="str">
        <f>"52.1980"</f>
        <v>52.1980</v>
      </c>
      <c r="B2306" s="323" t="s">
        <v>4297</v>
      </c>
      <c r="C2306" s="324" t="s">
        <v>4269</v>
      </c>
      <c r="D2306" s="325" t="s">
        <v>4328</v>
      </c>
      <c r="E2306" s="326" t="s">
        <v>4329</v>
      </c>
    </row>
    <row r="2307" spans="1:5" ht="14.5" customHeight="1" x14ac:dyDescent="0.35">
      <c r="A2307" s="196" t="str">
        <f>"52.1999"</f>
        <v>52.1999</v>
      </c>
      <c r="B2307" s="196" t="s">
        <v>5760</v>
      </c>
      <c r="C2307" s="320" t="s">
        <v>4269</v>
      </c>
      <c r="D2307" s="321" t="s">
        <v>8614</v>
      </c>
      <c r="E2307" s="322" t="s">
        <v>8615</v>
      </c>
    </row>
    <row r="2308" spans="1:5" ht="14.5" customHeight="1" x14ac:dyDescent="0.35">
      <c r="A2308" s="196" t="str">
        <f>"52.20"</f>
        <v>52.20</v>
      </c>
      <c r="B2308" s="196" t="s">
        <v>5760</v>
      </c>
      <c r="C2308" s="320" t="s">
        <v>4269</v>
      </c>
      <c r="D2308" s="321" t="s">
        <v>8616</v>
      </c>
      <c r="E2308" s="322" t="s">
        <v>8617</v>
      </c>
    </row>
    <row r="2309" spans="1:5" ht="14.5" customHeight="1" x14ac:dyDescent="0.35">
      <c r="A2309" s="196" t="str">
        <f>"52.2001"</f>
        <v>52.2001</v>
      </c>
      <c r="B2309" s="196" t="s">
        <v>4265</v>
      </c>
      <c r="C2309" s="320" t="s">
        <v>4266</v>
      </c>
      <c r="D2309" s="321" t="s">
        <v>8618</v>
      </c>
      <c r="E2309" s="322" t="s">
        <v>8619</v>
      </c>
    </row>
    <row r="2310" spans="1:5" s="327" customFormat="1" ht="14.5" customHeight="1" x14ac:dyDescent="0.35">
      <c r="A2310" s="323" t="str">
        <f>"52.2002"</f>
        <v>52.2002</v>
      </c>
      <c r="B2310" s="323" t="s">
        <v>4297</v>
      </c>
      <c r="C2310" s="324" t="s">
        <v>4269</v>
      </c>
      <c r="D2310" s="325" t="s">
        <v>8620</v>
      </c>
      <c r="E2310" s="326" t="s">
        <v>8621</v>
      </c>
    </row>
    <row r="2311" spans="1:5" s="327" customFormat="1" ht="14.5" customHeight="1" x14ac:dyDescent="0.35">
      <c r="A2311" s="323" t="str">
        <f>"52.2099"</f>
        <v>52.2099</v>
      </c>
      <c r="B2311" s="323" t="s">
        <v>4297</v>
      </c>
      <c r="C2311" s="324" t="s">
        <v>4269</v>
      </c>
      <c r="D2311" s="325" t="s">
        <v>8622</v>
      </c>
      <c r="E2311" s="326" t="s">
        <v>8623</v>
      </c>
    </row>
    <row r="2312" spans="1:5" ht="14.5" customHeight="1" x14ac:dyDescent="0.35">
      <c r="A2312" s="196" t="str">
        <f>"52.21"</f>
        <v>52.21</v>
      </c>
      <c r="B2312" s="196" t="s">
        <v>5760</v>
      </c>
      <c r="C2312" s="320" t="s">
        <v>4269</v>
      </c>
      <c r="D2312" s="321" t="s">
        <v>8624</v>
      </c>
      <c r="E2312" s="322" t="s">
        <v>8625</v>
      </c>
    </row>
    <row r="2313" spans="1:5" ht="14.5" customHeight="1" x14ac:dyDescent="0.35">
      <c r="A2313" s="196" t="str">
        <f>"52.2101"</f>
        <v>52.2101</v>
      </c>
      <c r="B2313" s="196" t="s">
        <v>5760</v>
      </c>
      <c r="C2313" s="320" t="s">
        <v>4269</v>
      </c>
      <c r="D2313" s="321" t="s">
        <v>8624</v>
      </c>
      <c r="E2313" s="322" t="s">
        <v>8626</v>
      </c>
    </row>
    <row r="2314" spans="1:5" ht="14.5" customHeight="1" x14ac:dyDescent="0.35">
      <c r="A2314" s="196" t="str">
        <f>"52.99"</f>
        <v>52.99</v>
      </c>
      <c r="B2314" s="196" t="s">
        <v>5760</v>
      </c>
      <c r="C2314" s="320" t="s">
        <v>4269</v>
      </c>
      <c r="D2314" s="321" t="s">
        <v>8627</v>
      </c>
      <c r="E2314" s="322" t="s">
        <v>8628</v>
      </c>
    </row>
    <row r="2315" spans="1:5" ht="14.5" customHeight="1" x14ac:dyDescent="0.35">
      <c r="A2315" s="196" t="str">
        <f>"52.9999"</f>
        <v>52.9999</v>
      </c>
      <c r="B2315" s="196" t="s">
        <v>5760</v>
      </c>
      <c r="C2315" s="320" t="s">
        <v>4269</v>
      </c>
      <c r="D2315" s="321" t="s">
        <v>8627</v>
      </c>
      <c r="E2315" s="322" t="s">
        <v>8629</v>
      </c>
    </row>
    <row r="2316" spans="1:5" ht="14.5" customHeight="1" x14ac:dyDescent="0.35">
      <c r="A2316" s="196" t="str">
        <f>"53"</f>
        <v>53</v>
      </c>
      <c r="B2316" s="196" t="s">
        <v>5760</v>
      </c>
      <c r="C2316" s="320" t="s">
        <v>4269</v>
      </c>
      <c r="D2316" s="321" t="s">
        <v>8630</v>
      </c>
      <c r="E2316" s="322" t="s">
        <v>8631</v>
      </c>
    </row>
    <row r="2317" spans="1:5" ht="14.5" customHeight="1" x14ac:dyDescent="0.35">
      <c r="A2317" s="196" t="str">
        <f>"53.01"</f>
        <v>53.01</v>
      </c>
      <c r="B2317" s="196" t="s">
        <v>5760</v>
      </c>
      <c r="C2317" s="320" t="s">
        <v>4269</v>
      </c>
      <c r="D2317" s="321" t="s">
        <v>8632</v>
      </c>
      <c r="E2317" s="322" t="s">
        <v>8633</v>
      </c>
    </row>
    <row r="2318" spans="1:5" ht="14.5" customHeight="1" x14ac:dyDescent="0.35">
      <c r="A2318" s="196" t="str">
        <f>"53.0101"</f>
        <v>53.0101</v>
      </c>
      <c r="B2318" s="196" t="s">
        <v>5760</v>
      </c>
      <c r="C2318" s="320" t="s">
        <v>4269</v>
      </c>
      <c r="D2318" s="321" t="s">
        <v>8634</v>
      </c>
      <c r="E2318" s="322" t="s">
        <v>8635</v>
      </c>
    </row>
    <row r="2319" spans="1:5" ht="14.5" customHeight="1" x14ac:dyDescent="0.35">
      <c r="A2319" s="196" t="str">
        <f>"53.0102"</f>
        <v>53.0102</v>
      </c>
      <c r="B2319" s="196" t="s">
        <v>5760</v>
      </c>
      <c r="C2319" s="320" t="s">
        <v>4269</v>
      </c>
      <c r="D2319" s="321" t="s">
        <v>8636</v>
      </c>
      <c r="E2319" s="322" t="s">
        <v>8637</v>
      </c>
    </row>
    <row r="2320" spans="1:5" ht="14.5" customHeight="1" x14ac:dyDescent="0.35">
      <c r="A2320" s="196" t="str">
        <f>"53.0103"</f>
        <v>53.0103</v>
      </c>
      <c r="B2320" s="196" t="s">
        <v>5760</v>
      </c>
      <c r="C2320" s="320" t="s">
        <v>4269</v>
      </c>
      <c r="D2320" s="321" t="s">
        <v>8638</v>
      </c>
      <c r="E2320" s="322" t="s">
        <v>8639</v>
      </c>
    </row>
    <row r="2321" spans="1:5" ht="14.5" customHeight="1" x14ac:dyDescent="0.35">
      <c r="A2321" s="196" t="str">
        <f>"53.0104"</f>
        <v>53.0104</v>
      </c>
      <c r="B2321" s="196" t="s">
        <v>5760</v>
      </c>
      <c r="C2321" s="320" t="s">
        <v>4269</v>
      </c>
      <c r="D2321" s="321" t="s">
        <v>8640</v>
      </c>
      <c r="E2321" s="322" t="s">
        <v>8641</v>
      </c>
    </row>
    <row r="2322" spans="1:5" ht="14.5" customHeight="1" x14ac:dyDescent="0.35">
      <c r="A2322" s="196" t="str">
        <f>"53.0105"</f>
        <v>53.0105</v>
      </c>
      <c r="B2322" s="196" t="s">
        <v>5760</v>
      </c>
      <c r="C2322" s="320" t="s">
        <v>4269</v>
      </c>
      <c r="D2322" s="321" t="s">
        <v>8642</v>
      </c>
      <c r="E2322" s="322" t="s">
        <v>8643</v>
      </c>
    </row>
    <row r="2323" spans="1:5" ht="14.5" customHeight="1" x14ac:dyDescent="0.35">
      <c r="A2323" s="196" t="str">
        <f>"53.0199"</f>
        <v>53.0199</v>
      </c>
      <c r="B2323" s="196" t="s">
        <v>5760</v>
      </c>
      <c r="C2323" s="320" t="s">
        <v>4269</v>
      </c>
      <c r="D2323" s="321" t="s">
        <v>8644</v>
      </c>
      <c r="E2323" s="322" t="s">
        <v>8645</v>
      </c>
    </row>
    <row r="2324" spans="1:5" ht="14.5" customHeight="1" x14ac:dyDescent="0.35">
      <c r="A2324" s="196" t="str">
        <f>"53.02"</f>
        <v>53.02</v>
      </c>
      <c r="B2324" s="196" t="s">
        <v>5760</v>
      </c>
      <c r="C2324" s="320" t="s">
        <v>4269</v>
      </c>
      <c r="D2324" s="321" t="s">
        <v>8646</v>
      </c>
      <c r="E2324" s="322" t="s">
        <v>8647</v>
      </c>
    </row>
    <row r="2325" spans="1:5" ht="14.5" customHeight="1" x14ac:dyDescent="0.35">
      <c r="A2325" s="196" t="str">
        <f>"53.0201"</f>
        <v>53.0201</v>
      </c>
      <c r="B2325" s="196" t="s">
        <v>5760</v>
      </c>
      <c r="C2325" s="320" t="s">
        <v>4269</v>
      </c>
      <c r="D2325" s="321" t="s">
        <v>8648</v>
      </c>
      <c r="E2325" s="322" t="s">
        <v>8649</v>
      </c>
    </row>
    <row r="2326" spans="1:5" ht="14.5" customHeight="1" x14ac:dyDescent="0.35">
      <c r="A2326" s="196" t="str">
        <f>"53.0202"</f>
        <v>53.0202</v>
      </c>
      <c r="B2326" s="196" t="s">
        <v>5760</v>
      </c>
      <c r="C2326" s="320" t="s">
        <v>4269</v>
      </c>
      <c r="D2326" s="321" t="s">
        <v>8650</v>
      </c>
      <c r="E2326" s="322" t="s">
        <v>8651</v>
      </c>
    </row>
    <row r="2327" spans="1:5" ht="14.5" customHeight="1" x14ac:dyDescent="0.35">
      <c r="A2327" s="196" t="str">
        <f>"53.0203"</f>
        <v>53.0203</v>
      </c>
      <c r="B2327" s="196" t="s">
        <v>5760</v>
      </c>
      <c r="C2327" s="320" t="s">
        <v>4269</v>
      </c>
      <c r="D2327" s="321" t="s">
        <v>8652</v>
      </c>
      <c r="E2327" s="322" t="s">
        <v>8653</v>
      </c>
    </row>
    <row r="2328" spans="1:5" ht="14.5" customHeight="1" x14ac:dyDescent="0.35">
      <c r="A2328" s="196" t="str">
        <f>"53.0299"</f>
        <v>53.0299</v>
      </c>
      <c r="B2328" s="196" t="s">
        <v>5760</v>
      </c>
      <c r="C2328" s="320" t="s">
        <v>4269</v>
      </c>
      <c r="D2328" s="321" t="s">
        <v>8654</v>
      </c>
      <c r="E2328" s="322" t="s">
        <v>8655</v>
      </c>
    </row>
    <row r="2329" spans="1:5" ht="14.5" customHeight="1" x14ac:dyDescent="0.35">
      <c r="A2329" s="196" t="str">
        <f>"54"</f>
        <v>54</v>
      </c>
      <c r="B2329" s="196" t="s">
        <v>5760</v>
      </c>
      <c r="C2329" s="320" t="s">
        <v>4269</v>
      </c>
      <c r="D2329" s="321" t="s">
        <v>8656</v>
      </c>
      <c r="E2329" s="322" t="s">
        <v>8657</v>
      </c>
    </row>
    <row r="2330" spans="1:5" ht="14.5" customHeight="1" x14ac:dyDescent="0.35">
      <c r="A2330" s="196" t="str">
        <f>"54.01"</f>
        <v>54.01</v>
      </c>
      <c r="B2330" s="196" t="s">
        <v>5760</v>
      </c>
      <c r="C2330" s="320" t="s">
        <v>4269</v>
      </c>
      <c r="D2330" s="321" t="s">
        <v>8658</v>
      </c>
      <c r="E2330" s="322" t="s">
        <v>8659</v>
      </c>
    </row>
    <row r="2331" spans="1:5" ht="14.5" customHeight="1" x14ac:dyDescent="0.35">
      <c r="A2331" s="196" t="str">
        <f>"54.0101"</f>
        <v>54.0101</v>
      </c>
      <c r="B2331" s="196" t="s">
        <v>5760</v>
      </c>
      <c r="C2331" s="320" t="s">
        <v>4269</v>
      </c>
      <c r="D2331" s="321" t="s">
        <v>8660</v>
      </c>
      <c r="E2331" s="322" t="s">
        <v>8661</v>
      </c>
    </row>
    <row r="2332" spans="1:5" ht="14.5" customHeight="1" x14ac:dyDescent="0.35">
      <c r="A2332" s="196" t="str">
        <f>"54.0102"</f>
        <v>54.0102</v>
      </c>
      <c r="B2332" s="196" t="s">
        <v>5760</v>
      </c>
      <c r="C2332" s="320" t="s">
        <v>4269</v>
      </c>
      <c r="D2332" s="321" t="s">
        <v>8662</v>
      </c>
      <c r="E2332" s="322" t="s">
        <v>8663</v>
      </c>
    </row>
    <row r="2333" spans="1:5" ht="14.5" customHeight="1" x14ac:dyDescent="0.35">
      <c r="A2333" s="196" t="str">
        <f>"54.0103"</f>
        <v>54.0103</v>
      </c>
      <c r="B2333" s="196" t="s">
        <v>5760</v>
      </c>
      <c r="C2333" s="320" t="s">
        <v>4269</v>
      </c>
      <c r="D2333" s="321" t="s">
        <v>8664</v>
      </c>
      <c r="E2333" s="322" t="s">
        <v>8665</v>
      </c>
    </row>
    <row r="2334" spans="1:5" ht="14.5" customHeight="1" x14ac:dyDescent="0.35">
      <c r="A2334" s="196" t="str">
        <f>"54.0104"</f>
        <v>54.0104</v>
      </c>
      <c r="B2334" s="196" t="s">
        <v>5760</v>
      </c>
      <c r="C2334" s="320" t="s">
        <v>4269</v>
      </c>
      <c r="D2334" s="321" t="s">
        <v>8666</v>
      </c>
      <c r="E2334" s="322" t="s">
        <v>8667</v>
      </c>
    </row>
    <row r="2335" spans="1:5" ht="14.5" customHeight="1" x14ac:dyDescent="0.35">
      <c r="A2335" s="196" t="str">
        <f>"54.0105"</f>
        <v>54.0105</v>
      </c>
      <c r="B2335" s="196" t="s">
        <v>5760</v>
      </c>
      <c r="C2335" s="320" t="s">
        <v>4269</v>
      </c>
      <c r="D2335" s="321" t="s">
        <v>8668</v>
      </c>
      <c r="E2335" s="322" t="s">
        <v>8669</v>
      </c>
    </row>
    <row r="2336" spans="1:5" ht="14.5" customHeight="1" x14ac:dyDescent="0.35">
      <c r="A2336" s="196" t="str">
        <f>"54.0106"</f>
        <v>54.0106</v>
      </c>
      <c r="B2336" s="196" t="s">
        <v>5760</v>
      </c>
      <c r="C2336" s="320" t="s">
        <v>4269</v>
      </c>
      <c r="D2336" s="321" t="s">
        <v>8670</v>
      </c>
      <c r="E2336" s="322" t="s">
        <v>8671</v>
      </c>
    </row>
    <row r="2337" spans="1:5" ht="14.5" customHeight="1" x14ac:dyDescent="0.35">
      <c r="A2337" s="196" t="str">
        <f>"54.0107"</f>
        <v>54.0107</v>
      </c>
      <c r="B2337" s="196" t="s">
        <v>5760</v>
      </c>
      <c r="C2337" s="320" t="s">
        <v>4269</v>
      </c>
      <c r="D2337" s="321" t="s">
        <v>8672</v>
      </c>
      <c r="E2337" s="322" t="s">
        <v>8673</v>
      </c>
    </row>
    <row r="2338" spans="1:5" ht="14.5" customHeight="1" x14ac:dyDescent="0.35">
      <c r="A2338" s="196" t="str">
        <f>"54.0108"</f>
        <v>54.0108</v>
      </c>
      <c r="B2338" s="196" t="s">
        <v>5760</v>
      </c>
      <c r="C2338" s="320" t="s">
        <v>4269</v>
      </c>
      <c r="D2338" s="321" t="s">
        <v>8674</v>
      </c>
      <c r="E2338" s="322" t="s">
        <v>8675</v>
      </c>
    </row>
    <row r="2339" spans="1:5" ht="14.5" customHeight="1" x14ac:dyDescent="0.35">
      <c r="A2339" s="196" t="str">
        <f>"54.0199"</f>
        <v>54.0199</v>
      </c>
      <c r="B2339" s="196" t="s">
        <v>5760</v>
      </c>
      <c r="C2339" s="320" t="s">
        <v>4269</v>
      </c>
      <c r="D2339" s="321" t="s">
        <v>8676</v>
      </c>
      <c r="E2339" s="322" t="s">
        <v>8677</v>
      </c>
    </row>
    <row r="2340" spans="1:5" s="327" customFormat="1" ht="14.5" customHeight="1" x14ac:dyDescent="0.35">
      <c r="A2340" s="323" t="str">
        <f>"55"</f>
        <v>55</v>
      </c>
      <c r="B2340" s="323" t="s">
        <v>4297</v>
      </c>
      <c r="C2340" s="324" t="s">
        <v>4269</v>
      </c>
      <c r="D2340" s="325" t="s">
        <v>5885</v>
      </c>
      <c r="E2340" s="326" t="s">
        <v>5886</v>
      </c>
    </row>
    <row r="2341" spans="1:5" s="327" customFormat="1" ht="14.5" customHeight="1" x14ac:dyDescent="0.35">
      <c r="A2341" s="323" t="str">
        <f>"55.01"</f>
        <v>55.01</v>
      </c>
      <c r="B2341" s="323" t="s">
        <v>4297</v>
      </c>
      <c r="C2341" s="324" t="s">
        <v>4269</v>
      </c>
      <c r="D2341" s="325" t="s">
        <v>4328</v>
      </c>
      <c r="E2341" s="326" t="s">
        <v>8678</v>
      </c>
    </row>
    <row r="2342" spans="1:5" s="327" customFormat="1" ht="14.5" customHeight="1" x14ac:dyDescent="0.35">
      <c r="A2342" s="323" t="str">
        <f>"55.0101"</f>
        <v>55.0101</v>
      </c>
      <c r="B2342" s="323" t="s">
        <v>4297</v>
      </c>
      <c r="C2342" s="324" t="s">
        <v>4269</v>
      </c>
      <c r="D2342" s="325" t="s">
        <v>4328</v>
      </c>
      <c r="E2342" s="326" t="s">
        <v>4329</v>
      </c>
    </row>
    <row r="2343" spans="1:5" s="327" customFormat="1" ht="14.5" customHeight="1" x14ac:dyDescent="0.35">
      <c r="A2343" s="323" t="str">
        <f>"55.13"</f>
        <v>55.13</v>
      </c>
      <c r="B2343" s="323" t="s">
        <v>4297</v>
      </c>
      <c r="C2343" s="324" t="s">
        <v>4269</v>
      </c>
      <c r="D2343" s="325" t="s">
        <v>4328</v>
      </c>
      <c r="E2343" s="326" t="s">
        <v>8679</v>
      </c>
    </row>
    <row r="2344" spans="1:5" s="327" customFormat="1" ht="14.5" customHeight="1" x14ac:dyDescent="0.35">
      <c r="A2344" s="323" t="str">
        <f>"55.1301"</f>
        <v>55.1301</v>
      </c>
      <c r="B2344" s="323" t="s">
        <v>4297</v>
      </c>
      <c r="C2344" s="324" t="s">
        <v>4269</v>
      </c>
      <c r="D2344" s="325" t="s">
        <v>4328</v>
      </c>
      <c r="E2344" s="326" t="s">
        <v>4329</v>
      </c>
    </row>
    <row r="2345" spans="1:5" s="327" customFormat="1" ht="14.5" customHeight="1" x14ac:dyDescent="0.35">
      <c r="A2345" s="323" t="str">
        <f>"55.1302"</f>
        <v>55.1302</v>
      </c>
      <c r="B2345" s="323" t="s">
        <v>4297</v>
      </c>
      <c r="C2345" s="324" t="s">
        <v>4269</v>
      </c>
      <c r="D2345" s="325" t="s">
        <v>4328</v>
      </c>
      <c r="E2345" s="326" t="s">
        <v>4329</v>
      </c>
    </row>
    <row r="2346" spans="1:5" s="327" customFormat="1" ht="14.5" customHeight="1" x14ac:dyDescent="0.35">
      <c r="A2346" s="323" t="str">
        <f>"55.1303"</f>
        <v>55.1303</v>
      </c>
      <c r="B2346" s="323" t="s">
        <v>4297</v>
      </c>
      <c r="C2346" s="324" t="s">
        <v>4269</v>
      </c>
      <c r="D2346" s="325" t="s">
        <v>4328</v>
      </c>
      <c r="E2346" s="326" t="s">
        <v>4329</v>
      </c>
    </row>
    <row r="2347" spans="1:5" s="327" customFormat="1" ht="14.5" customHeight="1" x14ac:dyDescent="0.35">
      <c r="A2347" s="323" t="str">
        <f>"55.1304"</f>
        <v>55.1304</v>
      </c>
      <c r="B2347" s="323" t="s">
        <v>4297</v>
      </c>
      <c r="C2347" s="324" t="s">
        <v>4269</v>
      </c>
      <c r="D2347" s="325" t="s">
        <v>4328</v>
      </c>
      <c r="E2347" s="326" t="s">
        <v>4329</v>
      </c>
    </row>
    <row r="2348" spans="1:5" s="327" customFormat="1" ht="14.5" customHeight="1" x14ac:dyDescent="0.35">
      <c r="A2348" s="323" t="str">
        <f>"55.1399"</f>
        <v>55.1399</v>
      </c>
      <c r="B2348" s="323" t="s">
        <v>4297</v>
      </c>
      <c r="C2348" s="324" t="s">
        <v>4269</v>
      </c>
      <c r="D2348" s="325" t="s">
        <v>4328</v>
      </c>
      <c r="E2348" s="326" t="s">
        <v>4329</v>
      </c>
    </row>
    <row r="2349" spans="1:5" s="327" customFormat="1" ht="14.5" customHeight="1" x14ac:dyDescent="0.35">
      <c r="A2349" s="323" t="str">
        <f>"55.14"</f>
        <v>55.14</v>
      </c>
      <c r="B2349" s="323" t="s">
        <v>4297</v>
      </c>
      <c r="C2349" s="324" t="s">
        <v>4269</v>
      </c>
      <c r="D2349" s="325" t="s">
        <v>4328</v>
      </c>
      <c r="E2349" s="326" t="s">
        <v>8680</v>
      </c>
    </row>
    <row r="2350" spans="1:5" s="327" customFormat="1" ht="14.5" customHeight="1" x14ac:dyDescent="0.35">
      <c r="A2350" s="323" t="str">
        <f>"55.1401"</f>
        <v>55.1401</v>
      </c>
      <c r="B2350" s="323" t="s">
        <v>4297</v>
      </c>
      <c r="C2350" s="324" t="s">
        <v>4269</v>
      </c>
      <c r="D2350" s="325" t="s">
        <v>4328</v>
      </c>
      <c r="E2350" s="326" t="s">
        <v>4329</v>
      </c>
    </row>
    <row r="2351" spans="1:5" s="327" customFormat="1" ht="14.5" customHeight="1" x14ac:dyDescent="0.35">
      <c r="A2351" s="323" t="str">
        <f>"55.1403"</f>
        <v>55.1403</v>
      </c>
      <c r="B2351" s="323" t="s">
        <v>4297</v>
      </c>
      <c r="C2351" s="324" t="s">
        <v>4269</v>
      </c>
      <c r="D2351" s="325" t="s">
        <v>4328</v>
      </c>
      <c r="E2351" s="326" t="s">
        <v>4329</v>
      </c>
    </row>
    <row r="2352" spans="1:5" s="327" customFormat="1" ht="14.5" customHeight="1" x14ac:dyDescent="0.35">
      <c r="A2352" s="323" t="str">
        <f>"55.1404"</f>
        <v>55.1404</v>
      </c>
      <c r="B2352" s="323" t="s">
        <v>4297</v>
      </c>
      <c r="C2352" s="324" t="s">
        <v>4269</v>
      </c>
      <c r="D2352" s="325" t="s">
        <v>4328</v>
      </c>
      <c r="E2352" s="326" t="s">
        <v>4329</v>
      </c>
    </row>
    <row r="2353" spans="1:5" s="327" customFormat="1" ht="14.5" customHeight="1" x14ac:dyDescent="0.35">
      <c r="A2353" s="323" t="str">
        <f>"55.1405"</f>
        <v>55.1405</v>
      </c>
      <c r="B2353" s="323" t="s">
        <v>4297</v>
      </c>
      <c r="C2353" s="324" t="s">
        <v>4269</v>
      </c>
      <c r="D2353" s="325" t="s">
        <v>4328</v>
      </c>
      <c r="E2353" s="326" t="s">
        <v>4329</v>
      </c>
    </row>
    <row r="2354" spans="1:5" s="327" customFormat="1" ht="14.5" customHeight="1" x14ac:dyDescent="0.35">
      <c r="A2354" s="323" t="str">
        <f>"55.1499"</f>
        <v>55.1499</v>
      </c>
      <c r="B2354" s="323" t="s">
        <v>4297</v>
      </c>
      <c r="C2354" s="324" t="s">
        <v>4269</v>
      </c>
      <c r="D2354" s="325" t="s">
        <v>4328</v>
      </c>
      <c r="E2354" s="326" t="s">
        <v>4329</v>
      </c>
    </row>
    <row r="2355" spans="1:5" s="327" customFormat="1" ht="14.5" customHeight="1" x14ac:dyDescent="0.35">
      <c r="A2355" s="323" t="str">
        <f>"55.99"</f>
        <v>55.99</v>
      </c>
      <c r="B2355" s="323" t="s">
        <v>4297</v>
      </c>
      <c r="C2355" s="324" t="s">
        <v>4269</v>
      </c>
      <c r="D2355" s="325" t="s">
        <v>4328</v>
      </c>
      <c r="E2355" s="326" t="s">
        <v>8681</v>
      </c>
    </row>
    <row r="2356" spans="1:5" s="327" customFormat="1" ht="14.5" customHeight="1" x14ac:dyDescent="0.35">
      <c r="A2356" s="323" t="str">
        <f>"55.9999"</f>
        <v>55.9999</v>
      </c>
      <c r="B2356" s="323" t="s">
        <v>4297</v>
      </c>
      <c r="C2356" s="324" t="s">
        <v>4269</v>
      </c>
      <c r="D2356" s="325" t="s">
        <v>4328</v>
      </c>
      <c r="E2356" s="326" t="s">
        <v>4329</v>
      </c>
    </row>
    <row r="2357" spans="1:5" ht="14.5" customHeight="1" x14ac:dyDescent="0.35">
      <c r="A2357" s="196" t="str">
        <f>"60"</f>
        <v>60</v>
      </c>
      <c r="B2357" s="196" t="s">
        <v>4265</v>
      </c>
      <c r="C2357" s="320" t="s">
        <v>4266</v>
      </c>
      <c r="D2357" s="321" t="s">
        <v>8682</v>
      </c>
      <c r="E2357" s="322" t="s">
        <v>8683</v>
      </c>
    </row>
    <row r="2358" spans="1:5" ht="14.5" customHeight="1" x14ac:dyDescent="0.35">
      <c r="A2358" s="196" t="str">
        <f>"60.01"</f>
        <v>60.01</v>
      </c>
      <c r="B2358" s="196" t="s">
        <v>4265</v>
      </c>
      <c r="C2358" s="320" t="s">
        <v>4266</v>
      </c>
      <c r="D2358" s="321" t="s">
        <v>8684</v>
      </c>
      <c r="E2358" s="322" t="s">
        <v>8685</v>
      </c>
    </row>
    <row r="2359" spans="1:5" ht="14.5" customHeight="1" x14ac:dyDescent="0.35">
      <c r="A2359" s="196" t="str">
        <f>"60.0101"</f>
        <v>60.0101</v>
      </c>
      <c r="B2359" s="196" t="s">
        <v>5760</v>
      </c>
      <c r="C2359" s="320" t="s">
        <v>4269</v>
      </c>
      <c r="D2359" s="321" t="s">
        <v>8686</v>
      </c>
      <c r="E2359" s="322" t="s">
        <v>8687</v>
      </c>
    </row>
    <row r="2360" spans="1:5" ht="14.5" customHeight="1" x14ac:dyDescent="0.35">
      <c r="A2360" s="196" t="str">
        <f>"60.0102"</f>
        <v>60.0102</v>
      </c>
      <c r="B2360" s="196" t="s">
        <v>5760</v>
      </c>
      <c r="C2360" s="320" t="s">
        <v>4269</v>
      </c>
      <c r="D2360" s="321" t="s">
        <v>8688</v>
      </c>
      <c r="E2360" s="322" t="s">
        <v>8689</v>
      </c>
    </row>
    <row r="2361" spans="1:5" ht="14.5" customHeight="1" x14ac:dyDescent="0.35">
      <c r="A2361" s="196" t="str">
        <f>"60.0103"</f>
        <v>60.0103</v>
      </c>
      <c r="B2361" s="196" t="s">
        <v>5760</v>
      </c>
      <c r="C2361" s="320" t="s">
        <v>4269</v>
      </c>
      <c r="D2361" s="321" t="s">
        <v>8690</v>
      </c>
      <c r="E2361" s="322" t="s">
        <v>8691</v>
      </c>
    </row>
    <row r="2362" spans="1:5" ht="14.5" customHeight="1" x14ac:dyDescent="0.35">
      <c r="A2362" s="196" t="str">
        <f>"60.0104"</f>
        <v>60.0104</v>
      </c>
      <c r="B2362" s="196" t="s">
        <v>5760</v>
      </c>
      <c r="C2362" s="320" t="s">
        <v>4269</v>
      </c>
      <c r="D2362" s="321" t="s">
        <v>8692</v>
      </c>
      <c r="E2362" s="322" t="s">
        <v>8693</v>
      </c>
    </row>
    <row r="2363" spans="1:5" ht="14.5" customHeight="1" x14ac:dyDescent="0.35">
      <c r="A2363" s="196" t="str">
        <f>"60.0105"</f>
        <v>60.0105</v>
      </c>
      <c r="B2363" s="196" t="s">
        <v>5760</v>
      </c>
      <c r="C2363" s="320" t="s">
        <v>4269</v>
      </c>
      <c r="D2363" s="321" t="s">
        <v>8694</v>
      </c>
      <c r="E2363" s="322" t="s">
        <v>8695</v>
      </c>
    </row>
    <row r="2364" spans="1:5" ht="14.5" customHeight="1" x14ac:dyDescent="0.35">
      <c r="A2364" s="196" t="str">
        <f>"60.0106"</f>
        <v>60.0106</v>
      </c>
      <c r="B2364" s="196" t="s">
        <v>5760</v>
      </c>
      <c r="C2364" s="320" t="s">
        <v>4269</v>
      </c>
      <c r="D2364" s="321" t="s">
        <v>8696</v>
      </c>
      <c r="E2364" s="322" t="s">
        <v>8697</v>
      </c>
    </row>
    <row r="2365" spans="1:5" ht="14.5" customHeight="1" x14ac:dyDescent="0.35">
      <c r="A2365" s="196" t="str">
        <f>"60.0107"</f>
        <v>60.0107</v>
      </c>
      <c r="B2365" s="196" t="s">
        <v>5760</v>
      </c>
      <c r="C2365" s="320" t="s">
        <v>4269</v>
      </c>
      <c r="D2365" s="321" t="s">
        <v>8698</v>
      </c>
      <c r="E2365" s="322" t="s">
        <v>8699</v>
      </c>
    </row>
    <row r="2366" spans="1:5" ht="14.5" customHeight="1" x14ac:dyDescent="0.35">
      <c r="A2366" s="196" t="str">
        <f>"60.0108"</f>
        <v>60.0108</v>
      </c>
      <c r="B2366" s="196" t="s">
        <v>5760</v>
      </c>
      <c r="C2366" s="320" t="s">
        <v>4269</v>
      </c>
      <c r="D2366" s="321" t="s">
        <v>8700</v>
      </c>
      <c r="E2366" s="322" t="s">
        <v>8701</v>
      </c>
    </row>
    <row r="2367" spans="1:5" ht="14.5" customHeight="1" x14ac:dyDescent="0.35">
      <c r="A2367" s="196" t="str">
        <f>"60.0109"</f>
        <v>60.0109</v>
      </c>
      <c r="B2367" s="196" t="s">
        <v>5760</v>
      </c>
      <c r="C2367" s="320" t="s">
        <v>4269</v>
      </c>
      <c r="D2367" s="321" t="s">
        <v>8702</v>
      </c>
      <c r="E2367" s="322" t="s">
        <v>8703</v>
      </c>
    </row>
    <row r="2368" spans="1:5" s="327" customFormat="1" ht="14.5" customHeight="1" x14ac:dyDescent="0.35">
      <c r="A2368" s="323" t="str">
        <f>"60.0110"</f>
        <v>60.0110</v>
      </c>
      <c r="B2368" s="323" t="s">
        <v>4297</v>
      </c>
      <c r="C2368" s="324" t="s">
        <v>4269</v>
      </c>
      <c r="D2368" s="325" t="s">
        <v>8704</v>
      </c>
      <c r="E2368" s="326" t="s">
        <v>8705</v>
      </c>
    </row>
    <row r="2369" spans="1:5" ht="14.5" customHeight="1" x14ac:dyDescent="0.35">
      <c r="A2369" s="196" t="str">
        <f>"60.0199"</f>
        <v>60.0199</v>
      </c>
      <c r="B2369" s="196" t="s">
        <v>4265</v>
      </c>
      <c r="C2369" s="320" t="s">
        <v>4266</v>
      </c>
      <c r="D2369" s="321" t="s">
        <v>8706</v>
      </c>
      <c r="E2369" s="322" t="s">
        <v>8707</v>
      </c>
    </row>
    <row r="2370" spans="1:5" ht="14.5" customHeight="1" x14ac:dyDescent="0.35">
      <c r="A2370" s="196" t="str">
        <f>"60.03"</f>
        <v>60.03</v>
      </c>
      <c r="B2370" s="196" t="s">
        <v>4265</v>
      </c>
      <c r="C2370" s="320" t="s">
        <v>4266</v>
      </c>
      <c r="D2370" s="321" t="s">
        <v>8708</v>
      </c>
      <c r="E2370" s="322" t="s">
        <v>8709</v>
      </c>
    </row>
    <row r="2371" spans="1:5" ht="14.5" customHeight="1" x14ac:dyDescent="0.35">
      <c r="A2371" s="196" t="str">
        <f>"60.0301"</f>
        <v>60.0301</v>
      </c>
      <c r="B2371" s="196" t="s">
        <v>5760</v>
      </c>
      <c r="C2371" s="320" t="s">
        <v>4269</v>
      </c>
      <c r="D2371" s="321" t="s">
        <v>8710</v>
      </c>
      <c r="E2371" s="322" t="s">
        <v>8711</v>
      </c>
    </row>
    <row r="2372" spans="1:5" ht="14.5" customHeight="1" x14ac:dyDescent="0.35">
      <c r="A2372" s="196" t="str">
        <f>"60.0302"</f>
        <v>60.0302</v>
      </c>
      <c r="B2372" s="196" t="s">
        <v>5760</v>
      </c>
      <c r="C2372" s="320" t="s">
        <v>4269</v>
      </c>
      <c r="D2372" s="321" t="s">
        <v>8712</v>
      </c>
      <c r="E2372" s="322" t="s">
        <v>8713</v>
      </c>
    </row>
    <row r="2373" spans="1:5" ht="14.5" customHeight="1" x14ac:dyDescent="0.35">
      <c r="A2373" s="196" t="str">
        <f>"60.0303"</f>
        <v>60.0303</v>
      </c>
      <c r="B2373" s="196" t="s">
        <v>5760</v>
      </c>
      <c r="C2373" s="320" t="s">
        <v>4269</v>
      </c>
      <c r="D2373" s="321" t="s">
        <v>8714</v>
      </c>
      <c r="E2373" s="322" t="s">
        <v>8715</v>
      </c>
    </row>
    <row r="2374" spans="1:5" ht="14.5" customHeight="1" x14ac:dyDescent="0.35">
      <c r="A2374" s="196" t="str">
        <f>"60.0304"</f>
        <v>60.0304</v>
      </c>
      <c r="B2374" s="196" t="s">
        <v>5760</v>
      </c>
      <c r="C2374" s="320" t="s">
        <v>4269</v>
      </c>
      <c r="D2374" s="321" t="s">
        <v>8716</v>
      </c>
      <c r="E2374" s="322" t="s">
        <v>8717</v>
      </c>
    </row>
    <row r="2375" spans="1:5" ht="14.5" customHeight="1" x14ac:dyDescent="0.35">
      <c r="A2375" s="196" t="str">
        <f>"60.0305"</f>
        <v>60.0305</v>
      </c>
      <c r="B2375" s="196" t="s">
        <v>5760</v>
      </c>
      <c r="C2375" s="320" t="s">
        <v>4269</v>
      </c>
      <c r="D2375" s="321" t="s">
        <v>8718</v>
      </c>
      <c r="E2375" s="322" t="s">
        <v>8719</v>
      </c>
    </row>
    <row r="2376" spans="1:5" ht="14.5" customHeight="1" x14ac:dyDescent="0.35">
      <c r="A2376" s="196" t="str">
        <f>"60.0306"</f>
        <v>60.0306</v>
      </c>
      <c r="B2376" s="196" t="s">
        <v>5760</v>
      </c>
      <c r="C2376" s="320" t="s">
        <v>4269</v>
      </c>
      <c r="D2376" s="321" t="s">
        <v>8720</v>
      </c>
      <c r="E2376" s="322" t="s">
        <v>8721</v>
      </c>
    </row>
    <row r="2377" spans="1:5" ht="14.5" customHeight="1" x14ac:dyDescent="0.35">
      <c r="A2377" s="196" t="str">
        <f>"60.0307"</f>
        <v>60.0307</v>
      </c>
      <c r="B2377" s="196" t="s">
        <v>5760</v>
      </c>
      <c r="C2377" s="320" t="s">
        <v>4269</v>
      </c>
      <c r="D2377" s="321" t="s">
        <v>8722</v>
      </c>
      <c r="E2377" s="322" t="s">
        <v>8723</v>
      </c>
    </row>
    <row r="2378" spans="1:5" ht="14.5" customHeight="1" x14ac:dyDescent="0.35">
      <c r="A2378" s="196" t="str">
        <f>"60.0308"</f>
        <v>60.0308</v>
      </c>
      <c r="B2378" s="196" t="s">
        <v>5760</v>
      </c>
      <c r="C2378" s="320" t="s">
        <v>4269</v>
      </c>
      <c r="D2378" s="321" t="s">
        <v>8724</v>
      </c>
      <c r="E2378" s="322" t="s">
        <v>8725</v>
      </c>
    </row>
    <row r="2379" spans="1:5" ht="14.5" customHeight="1" x14ac:dyDescent="0.35">
      <c r="A2379" s="196" t="str">
        <f>"60.0309"</f>
        <v>60.0309</v>
      </c>
      <c r="B2379" s="196" t="s">
        <v>5760</v>
      </c>
      <c r="C2379" s="320" t="s">
        <v>4269</v>
      </c>
      <c r="D2379" s="321" t="s">
        <v>8726</v>
      </c>
      <c r="E2379" s="322" t="s">
        <v>8727</v>
      </c>
    </row>
    <row r="2380" spans="1:5" ht="14.5" customHeight="1" x14ac:dyDescent="0.35">
      <c r="A2380" s="196" t="str">
        <f>"60.0310"</f>
        <v>60.0310</v>
      </c>
      <c r="B2380" s="196" t="s">
        <v>5760</v>
      </c>
      <c r="C2380" s="320" t="s">
        <v>4269</v>
      </c>
      <c r="D2380" s="321" t="s">
        <v>8728</v>
      </c>
      <c r="E2380" s="322" t="s">
        <v>8729</v>
      </c>
    </row>
    <row r="2381" spans="1:5" ht="14.5" customHeight="1" x14ac:dyDescent="0.35">
      <c r="A2381" s="196" t="str">
        <f>"60.0311"</f>
        <v>60.0311</v>
      </c>
      <c r="B2381" s="196" t="s">
        <v>5760</v>
      </c>
      <c r="C2381" s="320" t="s">
        <v>4269</v>
      </c>
      <c r="D2381" s="321" t="s">
        <v>8730</v>
      </c>
      <c r="E2381" s="322" t="s">
        <v>8731</v>
      </c>
    </row>
    <row r="2382" spans="1:5" ht="14.5" customHeight="1" x14ac:dyDescent="0.35">
      <c r="A2382" s="196" t="str">
        <f>"60.0312"</f>
        <v>60.0312</v>
      </c>
      <c r="B2382" s="196" t="s">
        <v>5760</v>
      </c>
      <c r="C2382" s="320" t="s">
        <v>4269</v>
      </c>
      <c r="D2382" s="321" t="s">
        <v>8732</v>
      </c>
      <c r="E2382" s="322" t="s">
        <v>8733</v>
      </c>
    </row>
    <row r="2383" spans="1:5" ht="14.5" customHeight="1" x14ac:dyDescent="0.35">
      <c r="A2383" s="196" t="str">
        <f>"60.0313"</f>
        <v>60.0313</v>
      </c>
      <c r="B2383" s="196" t="s">
        <v>5760</v>
      </c>
      <c r="C2383" s="320" t="s">
        <v>4269</v>
      </c>
      <c r="D2383" s="321" t="s">
        <v>8734</v>
      </c>
      <c r="E2383" s="322" t="s">
        <v>8735</v>
      </c>
    </row>
    <row r="2384" spans="1:5" ht="14.5" customHeight="1" x14ac:dyDescent="0.35">
      <c r="A2384" s="196" t="str">
        <f>"60.0314"</f>
        <v>60.0314</v>
      </c>
      <c r="B2384" s="196" t="s">
        <v>5760</v>
      </c>
      <c r="C2384" s="320" t="s">
        <v>4269</v>
      </c>
      <c r="D2384" s="321" t="s">
        <v>8736</v>
      </c>
      <c r="E2384" s="322" t="s">
        <v>8737</v>
      </c>
    </row>
    <row r="2385" spans="1:5" ht="14.5" customHeight="1" x14ac:dyDescent="0.35">
      <c r="A2385" s="196" t="str">
        <f>"60.0315"</f>
        <v>60.0315</v>
      </c>
      <c r="B2385" s="196" t="s">
        <v>5760</v>
      </c>
      <c r="C2385" s="320" t="s">
        <v>4269</v>
      </c>
      <c r="D2385" s="321" t="s">
        <v>8738</v>
      </c>
      <c r="E2385" s="322" t="s">
        <v>8739</v>
      </c>
    </row>
    <row r="2386" spans="1:5" ht="14.5" customHeight="1" x14ac:dyDescent="0.35">
      <c r="A2386" s="196" t="str">
        <f>"60.0316"</f>
        <v>60.0316</v>
      </c>
      <c r="B2386" s="196" t="s">
        <v>5760</v>
      </c>
      <c r="C2386" s="320" t="s">
        <v>4269</v>
      </c>
      <c r="D2386" s="321" t="s">
        <v>8740</v>
      </c>
      <c r="E2386" s="322" t="s">
        <v>8741</v>
      </c>
    </row>
    <row r="2387" spans="1:5" ht="14.5" customHeight="1" x14ac:dyDescent="0.35">
      <c r="A2387" s="196" t="str">
        <f>"60.0317"</f>
        <v>60.0317</v>
      </c>
      <c r="B2387" s="196" t="s">
        <v>5760</v>
      </c>
      <c r="C2387" s="320" t="s">
        <v>4269</v>
      </c>
      <c r="D2387" s="321" t="s">
        <v>8742</v>
      </c>
      <c r="E2387" s="322" t="s">
        <v>8743</v>
      </c>
    </row>
    <row r="2388" spans="1:5" ht="14.5" customHeight="1" x14ac:dyDescent="0.35">
      <c r="A2388" s="196" t="str">
        <f>"60.0318"</f>
        <v>60.0318</v>
      </c>
      <c r="B2388" s="196" t="s">
        <v>5760</v>
      </c>
      <c r="C2388" s="320" t="s">
        <v>4269</v>
      </c>
      <c r="D2388" s="321" t="s">
        <v>8744</v>
      </c>
      <c r="E2388" s="322" t="s">
        <v>8745</v>
      </c>
    </row>
    <row r="2389" spans="1:5" ht="14.5" customHeight="1" x14ac:dyDescent="0.35">
      <c r="A2389" s="196" t="str">
        <f>"60.0319"</f>
        <v>60.0319</v>
      </c>
      <c r="B2389" s="196" t="s">
        <v>5760</v>
      </c>
      <c r="C2389" s="320" t="s">
        <v>4269</v>
      </c>
      <c r="D2389" s="321" t="s">
        <v>8746</v>
      </c>
      <c r="E2389" s="322" t="s">
        <v>8747</v>
      </c>
    </row>
    <row r="2390" spans="1:5" ht="14.5" customHeight="1" x14ac:dyDescent="0.35">
      <c r="A2390" s="196" t="str">
        <f>"60.0320"</f>
        <v>60.0320</v>
      </c>
      <c r="B2390" s="196" t="s">
        <v>5760</v>
      </c>
      <c r="C2390" s="320" t="s">
        <v>4269</v>
      </c>
      <c r="D2390" s="321" t="s">
        <v>8748</v>
      </c>
      <c r="E2390" s="322" t="s">
        <v>8749</v>
      </c>
    </row>
    <row r="2391" spans="1:5" ht="14.5" customHeight="1" x14ac:dyDescent="0.35">
      <c r="A2391" s="196" t="str">
        <f>"60.0399"</f>
        <v>60.0399</v>
      </c>
      <c r="B2391" s="196" t="s">
        <v>4265</v>
      </c>
      <c r="C2391" s="320" t="s">
        <v>4266</v>
      </c>
      <c r="D2391" s="321" t="s">
        <v>8750</v>
      </c>
      <c r="E2391" s="322" t="s">
        <v>8751</v>
      </c>
    </row>
    <row r="2392" spans="1:5" s="333" customFormat="1" ht="14.5" customHeight="1" x14ac:dyDescent="0.35">
      <c r="A2392" s="328" t="str">
        <f>"60.04"</f>
        <v>60.04</v>
      </c>
      <c r="B2392" s="328" t="s">
        <v>7353</v>
      </c>
      <c r="C2392" s="329" t="s">
        <v>4269</v>
      </c>
      <c r="D2392" s="330" t="s">
        <v>8752</v>
      </c>
      <c r="E2392" s="331" t="s">
        <v>8753</v>
      </c>
    </row>
    <row r="2393" spans="1:5" s="332" customFormat="1" ht="14.5" customHeight="1" x14ac:dyDescent="0.35">
      <c r="A2393" s="328" t="str">
        <f>"60.0401"</f>
        <v>60.0401</v>
      </c>
      <c r="B2393" s="328" t="s">
        <v>4318</v>
      </c>
      <c r="C2393" s="329" t="s">
        <v>4269</v>
      </c>
      <c r="D2393" s="330" t="s">
        <v>8754</v>
      </c>
      <c r="E2393" s="331" t="s">
        <v>8755</v>
      </c>
    </row>
    <row r="2394" spans="1:5" s="332" customFormat="1" ht="14.5" customHeight="1" x14ac:dyDescent="0.35">
      <c r="A2394" s="328" t="str">
        <f>"60.0402"</f>
        <v>60.0402</v>
      </c>
      <c r="B2394" s="328" t="s">
        <v>4318</v>
      </c>
      <c r="C2394" s="329" t="s">
        <v>4269</v>
      </c>
      <c r="D2394" s="330" t="s">
        <v>8756</v>
      </c>
      <c r="E2394" s="331" t="s">
        <v>8757</v>
      </c>
    </row>
    <row r="2395" spans="1:5" s="332" customFormat="1" ht="14.5" customHeight="1" x14ac:dyDescent="0.35">
      <c r="A2395" s="328" t="str">
        <f>"60.0403"</f>
        <v>60.0403</v>
      </c>
      <c r="B2395" s="328" t="s">
        <v>4318</v>
      </c>
      <c r="C2395" s="329" t="s">
        <v>4269</v>
      </c>
      <c r="D2395" s="330" t="s">
        <v>8758</v>
      </c>
      <c r="E2395" s="331" t="s">
        <v>8759</v>
      </c>
    </row>
    <row r="2396" spans="1:5" s="332" customFormat="1" ht="14.5" customHeight="1" x14ac:dyDescent="0.35">
      <c r="A2396" s="328" t="str">
        <f>"60.0404"</f>
        <v>60.0404</v>
      </c>
      <c r="B2396" s="328" t="s">
        <v>4318</v>
      </c>
      <c r="C2396" s="329" t="s">
        <v>4269</v>
      </c>
      <c r="D2396" s="330" t="s">
        <v>8760</v>
      </c>
      <c r="E2396" s="331" t="s">
        <v>8761</v>
      </c>
    </row>
    <row r="2397" spans="1:5" s="332" customFormat="1" ht="14.5" customHeight="1" x14ac:dyDescent="0.35">
      <c r="A2397" s="328" t="str">
        <f>"60.0405"</f>
        <v>60.0405</v>
      </c>
      <c r="B2397" s="328" t="s">
        <v>4318</v>
      </c>
      <c r="C2397" s="329" t="s">
        <v>4269</v>
      </c>
      <c r="D2397" s="330" t="s">
        <v>8762</v>
      </c>
      <c r="E2397" s="331" t="s">
        <v>8763</v>
      </c>
    </row>
    <row r="2398" spans="1:5" s="333" customFormat="1" ht="14.5" customHeight="1" x14ac:dyDescent="0.35">
      <c r="A2398" s="328" t="str">
        <f>"60.0406"</f>
        <v>60.0406</v>
      </c>
      <c r="B2398" s="328" t="s">
        <v>7353</v>
      </c>
      <c r="C2398" s="329" t="s">
        <v>4269</v>
      </c>
      <c r="D2398" s="330" t="s">
        <v>8764</v>
      </c>
      <c r="E2398" s="331" t="s">
        <v>8765</v>
      </c>
    </row>
    <row r="2399" spans="1:5" s="332" customFormat="1" ht="14.5" customHeight="1" x14ac:dyDescent="0.35">
      <c r="A2399" s="328" t="str">
        <f>"60.0407"</f>
        <v>60.0407</v>
      </c>
      <c r="B2399" s="328" t="s">
        <v>4318</v>
      </c>
      <c r="C2399" s="329" t="s">
        <v>4269</v>
      </c>
      <c r="D2399" s="330" t="s">
        <v>8766</v>
      </c>
      <c r="E2399" s="331" t="s">
        <v>8767</v>
      </c>
    </row>
    <row r="2400" spans="1:5" s="333" customFormat="1" ht="14.5" customHeight="1" x14ac:dyDescent="0.35">
      <c r="A2400" s="328" t="str">
        <f>"60.0408"</f>
        <v>60.0408</v>
      </c>
      <c r="B2400" s="328" t="s">
        <v>7353</v>
      </c>
      <c r="C2400" s="329" t="s">
        <v>4269</v>
      </c>
      <c r="D2400" s="330" t="s">
        <v>8768</v>
      </c>
      <c r="E2400" s="331" t="s">
        <v>8765</v>
      </c>
    </row>
    <row r="2401" spans="1:5" s="332" customFormat="1" ht="14.5" customHeight="1" x14ac:dyDescent="0.35">
      <c r="A2401" s="328" t="str">
        <f>"60.0409"</f>
        <v>60.0409</v>
      </c>
      <c r="B2401" s="328" t="s">
        <v>4318</v>
      </c>
      <c r="C2401" s="329" t="s">
        <v>4269</v>
      </c>
      <c r="D2401" s="330" t="s">
        <v>8769</v>
      </c>
      <c r="E2401" s="331" t="s">
        <v>8770</v>
      </c>
    </row>
    <row r="2402" spans="1:5" s="332" customFormat="1" ht="14.5" customHeight="1" x14ac:dyDescent="0.35">
      <c r="A2402" s="328" t="str">
        <f>"60.0410"</f>
        <v>60.0410</v>
      </c>
      <c r="B2402" s="328" t="s">
        <v>4318</v>
      </c>
      <c r="C2402" s="329" t="s">
        <v>4269</v>
      </c>
      <c r="D2402" s="330" t="s">
        <v>8771</v>
      </c>
      <c r="E2402" s="331" t="s">
        <v>8772</v>
      </c>
    </row>
    <row r="2403" spans="1:5" s="332" customFormat="1" ht="14.5" customHeight="1" x14ac:dyDescent="0.35">
      <c r="A2403" s="328" t="str">
        <f>"60.0411"</f>
        <v>60.0411</v>
      </c>
      <c r="B2403" s="328" t="s">
        <v>4318</v>
      </c>
      <c r="C2403" s="329" t="s">
        <v>4269</v>
      </c>
      <c r="D2403" s="330" t="s">
        <v>8773</v>
      </c>
      <c r="E2403" s="331" t="s">
        <v>8774</v>
      </c>
    </row>
    <row r="2404" spans="1:5" s="332" customFormat="1" ht="14.5" customHeight="1" x14ac:dyDescent="0.35">
      <c r="A2404" s="328" t="str">
        <f>"60.0412"</f>
        <v>60.0412</v>
      </c>
      <c r="B2404" s="328" t="s">
        <v>4318</v>
      </c>
      <c r="C2404" s="329" t="s">
        <v>4269</v>
      </c>
      <c r="D2404" s="330" t="s">
        <v>8775</v>
      </c>
      <c r="E2404" s="331" t="s">
        <v>8776</v>
      </c>
    </row>
    <row r="2405" spans="1:5" s="332" customFormat="1" ht="14.5" customHeight="1" x14ac:dyDescent="0.35">
      <c r="A2405" s="328" t="str">
        <f>"60.0413"</f>
        <v>60.0413</v>
      </c>
      <c r="B2405" s="328" t="s">
        <v>4318</v>
      </c>
      <c r="C2405" s="329" t="s">
        <v>4269</v>
      </c>
      <c r="D2405" s="330" t="s">
        <v>8777</v>
      </c>
      <c r="E2405" s="331" t="s">
        <v>8778</v>
      </c>
    </row>
    <row r="2406" spans="1:5" s="332" customFormat="1" ht="14.5" customHeight="1" x14ac:dyDescent="0.35">
      <c r="A2406" s="328" t="str">
        <f>"60.0414"</f>
        <v>60.0414</v>
      </c>
      <c r="B2406" s="328" t="s">
        <v>4318</v>
      </c>
      <c r="C2406" s="329" t="s">
        <v>4269</v>
      </c>
      <c r="D2406" s="330" t="s">
        <v>8779</v>
      </c>
      <c r="E2406" s="331" t="s">
        <v>8780</v>
      </c>
    </row>
    <row r="2407" spans="1:5" s="332" customFormat="1" ht="14.5" customHeight="1" x14ac:dyDescent="0.35">
      <c r="A2407" s="328" t="str">
        <f>"60.0415"</f>
        <v>60.0415</v>
      </c>
      <c r="B2407" s="328" t="s">
        <v>4318</v>
      </c>
      <c r="C2407" s="329" t="s">
        <v>4269</v>
      </c>
      <c r="D2407" s="330" t="s">
        <v>8781</v>
      </c>
      <c r="E2407" s="331" t="s">
        <v>8782</v>
      </c>
    </row>
    <row r="2408" spans="1:5" s="332" customFormat="1" ht="14.5" customHeight="1" x14ac:dyDescent="0.35">
      <c r="A2408" s="328" t="str">
        <f>"60.0416"</f>
        <v>60.0416</v>
      </c>
      <c r="B2408" s="328" t="s">
        <v>4318</v>
      </c>
      <c r="C2408" s="329" t="s">
        <v>4269</v>
      </c>
      <c r="D2408" s="330" t="s">
        <v>8783</v>
      </c>
      <c r="E2408" s="331" t="s">
        <v>8784</v>
      </c>
    </row>
    <row r="2409" spans="1:5" s="332" customFormat="1" ht="14.5" customHeight="1" x14ac:dyDescent="0.35">
      <c r="A2409" s="328" t="str">
        <f>"60.0417"</f>
        <v>60.0417</v>
      </c>
      <c r="B2409" s="328" t="s">
        <v>4318</v>
      </c>
      <c r="C2409" s="329" t="s">
        <v>4269</v>
      </c>
      <c r="D2409" s="330" t="s">
        <v>8785</v>
      </c>
      <c r="E2409" s="331" t="s">
        <v>8786</v>
      </c>
    </row>
    <row r="2410" spans="1:5" s="332" customFormat="1" ht="14.5" customHeight="1" x14ac:dyDescent="0.35">
      <c r="A2410" s="328" t="str">
        <f>"60.0418"</f>
        <v>60.0418</v>
      </c>
      <c r="B2410" s="328" t="s">
        <v>4318</v>
      </c>
      <c r="C2410" s="329" t="s">
        <v>4269</v>
      </c>
      <c r="D2410" s="330" t="s">
        <v>8787</v>
      </c>
      <c r="E2410" s="331" t="s">
        <v>8788</v>
      </c>
    </row>
    <row r="2411" spans="1:5" s="332" customFormat="1" ht="14.5" customHeight="1" x14ac:dyDescent="0.35">
      <c r="A2411" s="328" t="str">
        <f>"60.0419"</f>
        <v>60.0419</v>
      </c>
      <c r="B2411" s="328" t="s">
        <v>4318</v>
      </c>
      <c r="C2411" s="329" t="s">
        <v>4269</v>
      </c>
      <c r="D2411" s="330" t="s">
        <v>8789</v>
      </c>
      <c r="E2411" s="331" t="s">
        <v>8790</v>
      </c>
    </row>
    <row r="2412" spans="1:5" s="332" customFormat="1" ht="14.5" customHeight="1" x14ac:dyDescent="0.35">
      <c r="A2412" s="328" t="str">
        <f>"60.0420"</f>
        <v>60.0420</v>
      </c>
      <c r="B2412" s="328" t="s">
        <v>4318</v>
      </c>
      <c r="C2412" s="329" t="s">
        <v>4269</v>
      </c>
      <c r="D2412" s="330" t="s">
        <v>8791</v>
      </c>
      <c r="E2412" s="331" t="s">
        <v>8792</v>
      </c>
    </row>
    <row r="2413" spans="1:5" s="332" customFormat="1" ht="14.5" customHeight="1" x14ac:dyDescent="0.35">
      <c r="A2413" s="328" t="str">
        <f>"60.0421"</f>
        <v>60.0421</v>
      </c>
      <c r="B2413" s="328" t="s">
        <v>4318</v>
      </c>
      <c r="C2413" s="329" t="s">
        <v>4269</v>
      </c>
      <c r="D2413" s="330" t="s">
        <v>8793</v>
      </c>
      <c r="E2413" s="331" t="s">
        <v>8794</v>
      </c>
    </row>
    <row r="2414" spans="1:5" s="332" customFormat="1" ht="14.5" customHeight="1" x14ac:dyDescent="0.35">
      <c r="A2414" s="328" t="str">
        <f>"60.0422"</f>
        <v>60.0422</v>
      </c>
      <c r="B2414" s="328" t="s">
        <v>4318</v>
      </c>
      <c r="C2414" s="329" t="s">
        <v>4269</v>
      </c>
      <c r="D2414" s="330" t="s">
        <v>8795</v>
      </c>
      <c r="E2414" s="331" t="s">
        <v>8796</v>
      </c>
    </row>
    <row r="2415" spans="1:5" s="332" customFormat="1" ht="14.5" customHeight="1" x14ac:dyDescent="0.35">
      <c r="A2415" s="328" t="str">
        <f>"60.0423"</f>
        <v>60.0423</v>
      </c>
      <c r="B2415" s="328" t="s">
        <v>4318</v>
      </c>
      <c r="C2415" s="329" t="s">
        <v>4269</v>
      </c>
      <c r="D2415" s="330" t="s">
        <v>8797</v>
      </c>
      <c r="E2415" s="331" t="s">
        <v>8798</v>
      </c>
    </row>
    <row r="2416" spans="1:5" s="332" customFormat="1" ht="14.5" customHeight="1" x14ac:dyDescent="0.35">
      <c r="A2416" s="328" t="str">
        <f>"60.0424"</f>
        <v>60.0424</v>
      </c>
      <c r="B2416" s="328" t="s">
        <v>4318</v>
      </c>
      <c r="C2416" s="329" t="s">
        <v>4269</v>
      </c>
      <c r="D2416" s="330" t="s">
        <v>8799</v>
      </c>
      <c r="E2416" s="331" t="s">
        <v>8800</v>
      </c>
    </row>
    <row r="2417" spans="1:5" s="332" customFormat="1" ht="14.5" customHeight="1" x14ac:dyDescent="0.35">
      <c r="A2417" s="328" t="str">
        <f>"60.0425"</f>
        <v>60.0425</v>
      </c>
      <c r="B2417" s="328" t="s">
        <v>4318</v>
      </c>
      <c r="C2417" s="329" t="s">
        <v>4269</v>
      </c>
      <c r="D2417" s="330" t="s">
        <v>8801</v>
      </c>
      <c r="E2417" s="331" t="s">
        <v>8802</v>
      </c>
    </row>
    <row r="2418" spans="1:5" s="332" customFormat="1" ht="14.5" customHeight="1" x14ac:dyDescent="0.35">
      <c r="A2418" s="328" t="str">
        <f>"60.0426"</f>
        <v>60.0426</v>
      </c>
      <c r="B2418" s="328" t="s">
        <v>4318</v>
      </c>
      <c r="C2418" s="329" t="s">
        <v>4269</v>
      </c>
      <c r="D2418" s="330" t="s">
        <v>8803</v>
      </c>
      <c r="E2418" s="331" t="s">
        <v>8804</v>
      </c>
    </row>
    <row r="2419" spans="1:5" s="332" customFormat="1" ht="14.5" customHeight="1" x14ac:dyDescent="0.35">
      <c r="A2419" s="328" t="str">
        <f>"60.0427"</f>
        <v>60.0427</v>
      </c>
      <c r="B2419" s="328" t="s">
        <v>4318</v>
      </c>
      <c r="C2419" s="329" t="s">
        <v>4269</v>
      </c>
      <c r="D2419" s="330" t="s">
        <v>8805</v>
      </c>
      <c r="E2419" s="331" t="s">
        <v>8806</v>
      </c>
    </row>
    <row r="2420" spans="1:5" s="332" customFormat="1" ht="14.5" customHeight="1" x14ac:dyDescent="0.35">
      <c r="A2420" s="328" t="str">
        <f>"60.0428"</f>
        <v>60.0428</v>
      </c>
      <c r="B2420" s="328" t="s">
        <v>4318</v>
      </c>
      <c r="C2420" s="329" t="s">
        <v>4269</v>
      </c>
      <c r="D2420" s="330" t="s">
        <v>8807</v>
      </c>
      <c r="E2420" s="331" t="s">
        <v>8808</v>
      </c>
    </row>
    <row r="2421" spans="1:5" s="332" customFormat="1" ht="14.5" customHeight="1" x14ac:dyDescent="0.35">
      <c r="A2421" s="328" t="str">
        <f>"60.0429"</f>
        <v>60.0429</v>
      </c>
      <c r="B2421" s="328" t="s">
        <v>4318</v>
      </c>
      <c r="C2421" s="329" t="s">
        <v>4269</v>
      </c>
      <c r="D2421" s="330" t="s">
        <v>8809</v>
      </c>
      <c r="E2421" s="331" t="s">
        <v>8810</v>
      </c>
    </row>
    <row r="2422" spans="1:5" s="332" customFormat="1" ht="14.5" customHeight="1" x14ac:dyDescent="0.35">
      <c r="A2422" s="328" t="str">
        <f>"60.0430"</f>
        <v>60.0430</v>
      </c>
      <c r="B2422" s="328" t="s">
        <v>4318</v>
      </c>
      <c r="C2422" s="329" t="s">
        <v>4269</v>
      </c>
      <c r="D2422" s="330" t="s">
        <v>8811</v>
      </c>
      <c r="E2422" s="331" t="s">
        <v>8812</v>
      </c>
    </row>
    <row r="2423" spans="1:5" s="332" customFormat="1" ht="14.5" customHeight="1" x14ac:dyDescent="0.35">
      <c r="A2423" s="328" t="str">
        <f>"60.0431"</f>
        <v>60.0431</v>
      </c>
      <c r="B2423" s="328" t="s">
        <v>4318</v>
      </c>
      <c r="C2423" s="329" t="s">
        <v>4269</v>
      </c>
      <c r="D2423" s="330" t="s">
        <v>8813</v>
      </c>
      <c r="E2423" s="331" t="s">
        <v>8814</v>
      </c>
    </row>
    <row r="2424" spans="1:5" s="332" customFormat="1" ht="14.5" customHeight="1" x14ac:dyDescent="0.35">
      <c r="A2424" s="328" t="str">
        <f>"60.0432"</f>
        <v>60.0432</v>
      </c>
      <c r="B2424" s="328" t="s">
        <v>4318</v>
      </c>
      <c r="C2424" s="329" t="s">
        <v>4269</v>
      </c>
      <c r="D2424" s="330" t="s">
        <v>8815</v>
      </c>
      <c r="E2424" s="331" t="s">
        <v>8816</v>
      </c>
    </row>
    <row r="2425" spans="1:5" s="332" customFormat="1" ht="14.5" customHeight="1" x14ac:dyDescent="0.35">
      <c r="A2425" s="328" t="str">
        <f>"60.0433"</f>
        <v>60.0433</v>
      </c>
      <c r="B2425" s="328" t="s">
        <v>4318</v>
      </c>
      <c r="C2425" s="329" t="s">
        <v>4269</v>
      </c>
      <c r="D2425" s="330" t="s">
        <v>8817</v>
      </c>
      <c r="E2425" s="331" t="s">
        <v>8818</v>
      </c>
    </row>
    <row r="2426" spans="1:5" s="332" customFormat="1" ht="14.5" customHeight="1" x14ac:dyDescent="0.35">
      <c r="A2426" s="328" t="str">
        <f>"60.0434"</f>
        <v>60.0434</v>
      </c>
      <c r="B2426" s="328" t="s">
        <v>4318</v>
      </c>
      <c r="C2426" s="329" t="s">
        <v>4269</v>
      </c>
      <c r="D2426" s="330" t="s">
        <v>8819</v>
      </c>
      <c r="E2426" s="331" t="s">
        <v>8820</v>
      </c>
    </row>
    <row r="2427" spans="1:5" s="333" customFormat="1" ht="14.5" customHeight="1" x14ac:dyDescent="0.35">
      <c r="A2427" s="328" t="str">
        <f>"60.0499"</f>
        <v>60.0499</v>
      </c>
      <c r="B2427" s="328" t="s">
        <v>7353</v>
      </c>
      <c r="C2427" s="329" t="s">
        <v>4269</v>
      </c>
      <c r="D2427" s="330" t="s">
        <v>8821</v>
      </c>
      <c r="E2427" s="331" t="s">
        <v>8753</v>
      </c>
    </row>
    <row r="2428" spans="1:5" s="333" customFormat="1" ht="14.5" customHeight="1" x14ac:dyDescent="0.35">
      <c r="A2428" s="328" t="str">
        <f>"60.05"</f>
        <v>60.05</v>
      </c>
      <c r="B2428" s="328" t="s">
        <v>7353</v>
      </c>
      <c r="C2428" s="329" t="s">
        <v>4269</v>
      </c>
      <c r="D2428" s="330" t="s">
        <v>8822</v>
      </c>
      <c r="E2428" s="331" t="s">
        <v>8753</v>
      </c>
    </row>
    <row r="2429" spans="1:5" s="332" customFormat="1" ht="14.5" customHeight="1" x14ac:dyDescent="0.35">
      <c r="A2429" s="328" t="str">
        <f>"60.0501"</f>
        <v>60.0501</v>
      </c>
      <c r="B2429" s="328" t="s">
        <v>4318</v>
      </c>
      <c r="C2429" s="329" t="s">
        <v>4269</v>
      </c>
      <c r="D2429" s="330" t="s">
        <v>8823</v>
      </c>
      <c r="E2429" s="331" t="s">
        <v>8824</v>
      </c>
    </row>
    <row r="2430" spans="1:5" s="332" customFormat="1" ht="14.5" customHeight="1" x14ac:dyDescent="0.35">
      <c r="A2430" s="328" t="str">
        <f>"60.0502"</f>
        <v>60.0502</v>
      </c>
      <c r="B2430" s="328" t="s">
        <v>4318</v>
      </c>
      <c r="C2430" s="329" t="s">
        <v>4269</v>
      </c>
      <c r="D2430" s="330" t="s">
        <v>8825</v>
      </c>
      <c r="E2430" s="331" t="s">
        <v>8826</v>
      </c>
    </row>
    <row r="2431" spans="1:5" s="332" customFormat="1" ht="14.5" customHeight="1" x14ac:dyDescent="0.35">
      <c r="A2431" s="328" t="str">
        <f>"60.0503"</f>
        <v>60.0503</v>
      </c>
      <c r="B2431" s="328" t="s">
        <v>4318</v>
      </c>
      <c r="C2431" s="329" t="s">
        <v>4269</v>
      </c>
      <c r="D2431" s="330" t="s">
        <v>8827</v>
      </c>
      <c r="E2431" s="331" t="s">
        <v>8828</v>
      </c>
    </row>
    <row r="2432" spans="1:5" s="332" customFormat="1" ht="14.5" customHeight="1" x14ac:dyDescent="0.35">
      <c r="A2432" s="328" t="str">
        <f>"60.0504"</f>
        <v>60.0504</v>
      </c>
      <c r="B2432" s="328" t="s">
        <v>4318</v>
      </c>
      <c r="C2432" s="329" t="s">
        <v>4269</v>
      </c>
      <c r="D2432" s="330" t="s">
        <v>8829</v>
      </c>
      <c r="E2432" s="331" t="s">
        <v>8830</v>
      </c>
    </row>
    <row r="2433" spans="1:5" s="332" customFormat="1" ht="14.5" customHeight="1" x14ac:dyDescent="0.35">
      <c r="A2433" s="328" t="str">
        <f>"60.0505"</f>
        <v>60.0505</v>
      </c>
      <c r="B2433" s="328" t="s">
        <v>4318</v>
      </c>
      <c r="C2433" s="329" t="s">
        <v>4269</v>
      </c>
      <c r="D2433" s="330" t="s">
        <v>8831</v>
      </c>
      <c r="E2433" s="331" t="s">
        <v>8832</v>
      </c>
    </row>
    <row r="2434" spans="1:5" s="332" customFormat="1" ht="14.5" customHeight="1" x14ac:dyDescent="0.35">
      <c r="A2434" s="328" t="str">
        <f>"60.0506"</f>
        <v>60.0506</v>
      </c>
      <c r="B2434" s="328" t="s">
        <v>4318</v>
      </c>
      <c r="C2434" s="329" t="s">
        <v>4269</v>
      </c>
      <c r="D2434" s="330" t="s">
        <v>8833</v>
      </c>
      <c r="E2434" s="331" t="s">
        <v>8834</v>
      </c>
    </row>
    <row r="2435" spans="1:5" s="332" customFormat="1" ht="14.5" customHeight="1" x14ac:dyDescent="0.35">
      <c r="A2435" s="328" t="str">
        <f>"60.0507"</f>
        <v>60.0507</v>
      </c>
      <c r="B2435" s="328" t="s">
        <v>4318</v>
      </c>
      <c r="C2435" s="329" t="s">
        <v>4269</v>
      </c>
      <c r="D2435" s="330" t="s">
        <v>8835</v>
      </c>
      <c r="E2435" s="331" t="s">
        <v>8836</v>
      </c>
    </row>
    <row r="2436" spans="1:5" s="332" customFormat="1" ht="14.5" customHeight="1" x14ac:dyDescent="0.35">
      <c r="A2436" s="328" t="str">
        <f>"60.0508"</f>
        <v>60.0508</v>
      </c>
      <c r="B2436" s="328" t="s">
        <v>4318</v>
      </c>
      <c r="C2436" s="329" t="s">
        <v>4269</v>
      </c>
      <c r="D2436" s="330" t="s">
        <v>8837</v>
      </c>
      <c r="E2436" s="331" t="s">
        <v>8838</v>
      </c>
    </row>
    <row r="2437" spans="1:5" s="332" customFormat="1" ht="14.5" customHeight="1" x14ac:dyDescent="0.35">
      <c r="A2437" s="328" t="str">
        <f>"60.0509"</f>
        <v>60.0509</v>
      </c>
      <c r="B2437" s="328" t="s">
        <v>4318</v>
      </c>
      <c r="C2437" s="329" t="s">
        <v>4269</v>
      </c>
      <c r="D2437" s="330" t="s">
        <v>8839</v>
      </c>
      <c r="E2437" s="331" t="s">
        <v>8840</v>
      </c>
    </row>
    <row r="2438" spans="1:5" s="332" customFormat="1" ht="14.5" customHeight="1" x14ac:dyDescent="0.35">
      <c r="A2438" s="328" t="str">
        <f>"60.0510"</f>
        <v>60.0510</v>
      </c>
      <c r="B2438" s="328" t="s">
        <v>4318</v>
      </c>
      <c r="C2438" s="329" t="s">
        <v>4269</v>
      </c>
      <c r="D2438" s="330" t="s">
        <v>8841</v>
      </c>
      <c r="E2438" s="331" t="s">
        <v>8842</v>
      </c>
    </row>
    <row r="2439" spans="1:5" s="332" customFormat="1" ht="14.5" customHeight="1" x14ac:dyDescent="0.35">
      <c r="A2439" s="328" t="str">
        <f>"60.0511"</f>
        <v>60.0511</v>
      </c>
      <c r="B2439" s="328" t="s">
        <v>4318</v>
      </c>
      <c r="C2439" s="329" t="s">
        <v>4269</v>
      </c>
      <c r="D2439" s="330" t="s">
        <v>8843</v>
      </c>
      <c r="E2439" s="331" t="s">
        <v>8844</v>
      </c>
    </row>
    <row r="2440" spans="1:5" s="332" customFormat="1" ht="14.5" customHeight="1" x14ac:dyDescent="0.35">
      <c r="A2440" s="328" t="str">
        <f>"60.0512"</f>
        <v>60.0512</v>
      </c>
      <c r="B2440" s="328" t="s">
        <v>4318</v>
      </c>
      <c r="C2440" s="329" t="s">
        <v>4269</v>
      </c>
      <c r="D2440" s="330" t="s">
        <v>8845</v>
      </c>
      <c r="E2440" s="331" t="s">
        <v>8846</v>
      </c>
    </row>
    <row r="2441" spans="1:5" s="332" customFormat="1" ht="14.5" customHeight="1" x14ac:dyDescent="0.35">
      <c r="A2441" s="328" t="str">
        <f>"60.0513"</f>
        <v>60.0513</v>
      </c>
      <c r="B2441" s="328" t="s">
        <v>4318</v>
      </c>
      <c r="C2441" s="329" t="s">
        <v>4269</v>
      </c>
      <c r="D2441" s="330" t="s">
        <v>8847</v>
      </c>
      <c r="E2441" s="331" t="s">
        <v>8848</v>
      </c>
    </row>
    <row r="2442" spans="1:5" s="332" customFormat="1" ht="14.5" customHeight="1" x14ac:dyDescent="0.35">
      <c r="A2442" s="328" t="str">
        <f>"60.0514"</f>
        <v>60.0514</v>
      </c>
      <c r="B2442" s="328" t="s">
        <v>4318</v>
      </c>
      <c r="C2442" s="329" t="s">
        <v>4269</v>
      </c>
      <c r="D2442" s="330" t="s">
        <v>8849</v>
      </c>
      <c r="E2442" s="331" t="s">
        <v>8850</v>
      </c>
    </row>
    <row r="2443" spans="1:5" s="332" customFormat="1" ht="14.5" customHeight="1" x14ac:dyDescent="0.35">
      <c r="A2443" s="328" t="str">
        <f>"60.0515"</f>
        <v>60.0515</v>
      </c>
      <c r="B2443" s="328" t="s">
        <v>4318</v>
      </c>
      <c r="C2443" s="329" t="s">
        <v>4269</v>
      </c>
      <c r="D2443" s="330" t="s">
        <v>8851</v>
      </c>
      <c r="E2443" s="331" t="s">
        <v>8852</v>
      </c>
    </row>
    <row r="2444" spans="1:5" s="332" customFormat="1" ht="14.5" customHeight="1" x14ac:dyDescent="0.35">
      <c r="A2444" s="328" t="str">
        <f>"60.0516"</f>
        <v>60.0516</v>
      </c>
      <c r="B2444" s="328" t="s">
        <v>4318</v>
      </c>
      <c r="C2444" s="329" t="s">
        <v>4269</v>
      </c>
      <c r="D2444" s="330" t="s">
        <v>8853</v>
      </c>
      <c r="E2444" s="331" t="s">
        <v>8854</v>
      </c>
    </row>
    <row r="2445" spans="1:5" s="332" customFormat="1" ht="14.5" customHeight="1" x14ac:dyDescent="0.35">
      <c r="A2445" s="328" t="str">
        <f>"60.0517"</f>
        <v>60.0517</v>
      </c>
      <c r="B2445" s="328" t="s">
        <v>4318</v>
      </c>
      <c r="C2445" s="329" t="s">
        <v>4269</v>
      </c>
      <c r="D2445" s="330" t="s">
        <v>8855</v>
      </c>
      <c r="E2445" s="331" t="s">
        <v>8856</v>
      </c>
    </row>
    <row r="2446" spans="1:5" s="332" customFormat="1" ht="14.5" customHeight="1" x14ac:dyDescent="0.35">
      <c r="A2446" s="328" t="str">
        <f>"60.0518"</f>
        <v>60.0518</v>
      </c>
      <c r="B2446" s="328" t="s">
        <v>4318</v>
      </c>
      <c r="C2446" s="329" t="s">
        <v>4269</v>
      </c>
      <c r="D2446" s="330" t="s">
        <v>8857</v>
      </c>
      <c r="E2446" s="331" t="s">
        <v>8858</v>
      </c>
    </row>
    <row r="2447" spans="1:5" s="332" customFormat="1" ht="14.5" customHeight="1" x14ac:dyDescent="0.35">
      <c r="A2447" s="328" t="str">
        <f>"60.0519"</f>
        <v>60.0519</v>
      </c>
      <c r="B2447" s="328" t="s">
        <v>4318</v>
      </c>
      <c r="C2447" s="329" t="s">
        <v>4269</v>
      </c>
      <c r="D2447" s="330" t="s">
        <v>8859</v>
      </c>
      <c r="E2447" s="331" t="s">
        <v>8860</v>
      </c>
    </row>
    <row r="2448" spans="1:5" s="332" customFormat="1" ht="14.5" customHeight="1" x14ac:dyDescent="0.35">
      <c r="A2448" s="328" t="str">
        <f>"60.0520"</f>
        <v>60.0520</v>
      </c>
      <c r="B2448" s="328" t="s">
        <v>4318</v>
      </c>
      <c r="C2448" s="329" t="s">
        <v>4269</v>
      </c>
      <c r="D2448" s="330" t="s">
        <v>8861</v>
      </c>
      <c r="E2448" s="331" t="s">
        <v>8862</v>
      </c>
    </row>
    <row r="2449" spans="1:5" s="332" customFormat="1" ht="14.5" customHeight="1" x14ac:dyDescent="0.35">
      <c r="A2449" s="328" t="str">
        <f>"60.0521"</f>
        <v>60.0521</v>
      </c>
      <c r="B2449" s="328" t="s">
        <v>4318</v>
      </c>
      <c r="C2449" s="329" t="s">
        <v>4269</v>
      </c>
      <c r="D2449" s="330" t="s">
        <v>8863</v>
      </c>
      <c r="E2449" s="331" t="s">
        <v>8864</v>
      </c>
    </row>
    <row r="2450" spans="1:5" s="332" customFormat="1" ht="14.5" customHeight="1" x14ac:dyDescent="0.35">
      <c r="A2450" s="328" t="str">
        <f>"60.0522"</f>
        <v>60.0522</v>
      </c>
      <c r="B2450" s="328" t="s">
        <v>4318</v>
      </c>
      <c r="C2450" s="329" t="s">
        <v>4269</v>
      </c>
      <c r="D2450" s="330" t="s">
        <v>8865</v>
      </c>
      <c r="E2450" s="331" t="s">
        <v>8866</v>
      </c>
    </row>
    <row r="2451" spans="1:5" s="332" customFormat="1" ht="14.5" customHeight="1" x14ac:dyDescent="0.35">
      <c r="A2451" s="328" t="str">
        <f>"60.0523"</f>
        <v>60.0523</v>
      </c>
      <c r="B2451" s="328" t="s">
        <v>4318</v>
      </c>
      <c r="C2451" s="329" t="s">
        <v>4269</v>
      </c>
      <c r="D2451" s="330" t="s">
        <v>8867</v>
      </c>
      <c r="E2451" s="331" t="s">
        <v>8868</v>
      </c>
    </row>
    <row r="2452" spans="1:5" s="332" customFormat="1" ht="14.5" customHeight="1" x14ac:dyDescent="0.35">
      <c r="A2452" s="328" t="str">
        <f>"60.0524"</f>
        <v>60.0524</v>
      </c>
      <c r="B2452" s="328" t="s">
        <v>4318</v>
      </c>
      <c r="C2452" s="329" t="s">
        <v>4269</v>
      </c>
      <c r="D2452" s="330" t="s">
        <v>8869</v>
      </c>
      <c r="E2452" s="331" t="s">
        <v>8870</v>
      </c>
    </row>
    <row r="2453" spans="1:5" s="332" customFormat="1" ht="14.5" customHeight="1" x14ac:dyDescent="0.35">
      <c r="A2453" s="328" t="str">
        <f>"60.0525"</f>
        <v>60.0525</v>
      </c>
      <c r="B2453" s="328" t="s">
        <v>4318</v>
      </c>
      <c r="C2453" s="329" t="s">
        <v>4269</v>
      </c>
      <c r="D2453" s="330" t="s">
        <v>8871</v>
      </c>
      <c r="E2453" s="331" t="s">
        <v>8872</v>
      </c>
    </row>
    <row r="2454" spans="1:5" s="332" customFormat="1" ht="14.5" customHeight="1" x14ac:dyDescent="0.35">
      <c r="A2454" s="328" t="str">
        <f>"60.0526"</f>
        <v>60.0526</v>
      </c>
      <c r="B2454" s="328" t="s">
        <v>4318</v>
      </c>
      <c r="C2454" s="329" t="s">
        <v>4269</v>
      </c>
      <c r="D2454" s="330" t="s">
        <v>8873</v>
      </c>
      <c r="E2454" s="331" t="s">
        <v>8874</v>
      </c>
    </row>
    <row r="2455" spans="1:5" s="332" customFormat="1" ht="14.5" customHeight="1" x14ac:dyDescent="0.35">
      <c r="A2455" s="328" t="str">
        <f>"60.0527"</f>
        <v>60.0527</v>
      </c>
      <c r="B2455" s="328" t="s">
        <v>4318</v>
      </c>
      <c r="C2455" s="329" t="s">
        <v>4269</v>
      </c>
      <c r="D2455" s="330" t="s">
        <v>8875</v>
      </c>
      <c r="E2455" s="331" t="s">
        <v>8876</v>
      </c>
    </row>
    <row r="2456" spans="1:5" s="332" customFormat="1" ht="14.5" customHeight="1" x14ac:dyDescent="0.35">
      <c r="A2456" s="328" t="str">
        <f>"60.0528"</f>
        <v>60.0528</v>
      </c>
      <c r="B2456" s="328" t="s">
        <v>4318</v>
      </c>
      <c r="C2456" s="329" t="s">
        <v>4269</v>
      </c>
      <c r="D2456" s="330" t="s">
        <v>8877</v>
      </c>
      <c r="E2456" s="331" t="s">
        <v>8878</v>
      </c>
    </row>
    <row r="2457" spans="1:5" s="332" customFormat="1" ht="14.5" customHeight="1" x14ac:dyDescent="0.35">
      <c r="A2457" s="328" t="str">
        <f>"60.0529"</f>
        <v>60.0529</v>
      </c>
      <c r="B2457" s="328" t="s">
        <v>4318</v>
      </c>
      <c r="C2457" s="329" t="s">
        <v>4269</v>
      </c>
      <c r="D2457" s="330" t="s">
        <v>8879</v>
      </c>
      <c r="E2457" s="331" t="s">
        <v>8880</v>
      </c>
    </row>
    <row r="2458" spans="1:5" s="332" customFormat="1" ht="14.5" customHeight="1" x14ac:dyDescent="0.35">
      <c r="A2458" s="328" t="str">
        <f>"60.0530"</f>
        <v>60.0530</v>
      </c>
      <c r="B2458" s="328" t="s">
        <v>4318</v>
      </c>
      <c r="C2458" s="329" t="s">
        <v>4269</v>
      </c>
      <c r="D2458" s="330" t="s">
        <v>8881</v>
      </c>
      <c r="E2458" s="331" t="s">
        <v>8882</v>
      </c>
    </row>
    <row r="2459" spans="1:5" s="332" customFormat="1" ht="14.5" customHeight="1" x14ac:dyDescent="0.35">
      <c r="A2459" s="328" t="str">
        <f>"60.0531"</f>
        <v>60.0531</v>
      </c>
      <c r="B2459" s="328" t="s">
        <v>4318</v>
      </c>
      <c r="C2459" s="329" t="s">
        <v>4269</v>
      </c>
      <c r="D2459" s="330" t="s">
        <v>8883</v>
      </c>
      <c r="E2459" s="331" t="s">
        <v>8884</v>
      </c>
    </row>
    <row r="2460" spans="1:5" s="332" customFormat="1" ht="14.5" customHeight="1" x14ac:dyDescent="0.35">
      <c r="A2460" s="328" t="str">
        <f>"60.0532"</f>
        <v>60.0532</v>
      </c>
      <c r="B2460" s="328" t="s">
        <v>4318</v>
      </c>
      <c r="C2460" s="329" t="s">
        <v>4269</v>
      </c>
      <c r="D2460" s="330" t="s">
        <v>8885</v>
      </c>
      <c r="E2460" s="331" t="s">
        <v>8886</v>
      </c>
    </row>
    <row r="2461" spans="1:5" s="332" customFormat="1" ht="14.5" customHeight="1" x14ac:dyDescent="0.35">
      <c r="A2461" s="328" t="str">
        <f>"60.0533"</f>
        <v>60.0533</v>
      </c>
      <c r="B2461" s="328" t="s">
        <v>4318</v>
      </c>
      <c r="C2461" s="329" t="s">
        <v>4269</v>
      </c>
      <c r="D2461" s="330" t="s">
        <v>8887</v>
      </c>
      <c r="E2461" s="331" t="s">
        <v>8888</v>
      </c>
    </row>
    <row r="2462" spans="1:5" s="332" customFormat="1" ht="14.5" customHeight="1" x14ac:dyDescent="0.35">
      <c r="A2462" s="328" t="str">
        <f>"60.0534"</f>
        <v>60.0534</v>
      </c>
      <c r="B2462" s="328" t="s">
        <v>4318</v>
      </c>
      <c r="C2462" s="329" t="s">
        <v>4269</v>
      </c>
      <c r="D2462" s="330" t="s">
        <v>8889</v>
      </c>
      <c r="E2462" s="331" t="s">
        <v>8890</v>
      </c>
    </row>
    <row r="2463" spans="1:5" s="332" customFormat="1" ht="14.5" customHeight="1" x14ac:dyDescent="0.35">
      <c r="A2463" s="328" t="str">
        <f>"60.0535"</f>
        <v>60.0535</v>
      </c>
      <c r="B2463" s="328" t="s">
        <v>4318</v>
      </c>
      <c r="C2463" s="329" t="s">
        <v>4269</v>
      </c>
      <c r="D2463" s="330" t="s">
        <v>8891</v>
      </c>
      <c r="E2463" s="331" t="s">
        <v>8892</v>
      </c>
    </row>
    <row r="2464" spans="1:5" s="332" customFormat="1" ht="14.5" customHeight="1" x14ac:dyDescent="0.35">
      <c r="A2464" s="328" t="str">
        <f>"60.0536"</f>
        <v>60.0536</v>
      </c>
      <c r="B2464" s="328" t="s">
        <v>4318</v>
      </c>
      <c r="C2464" s="329" t="s">
        <v>4269</v>
      </c>
      <c r="D2464" s="330" t="s">
        <v>8893</v>
      </c>
      <c r="E2464" s="331" t="s">
        <v>8894</v>
      </c>
    </row>
    <row r="2465" spans="1:5" s="332" customFormat="1" ht="14.5" customHeight="1" x14ac:dyDescent="0.35">
      <c r="A2465" s="328" t="str">
        <f>"60.0537"</f>
        <v>60.0537</v>
      </c>
      <c r="B2465" s="328" t="s">
        <v>4318</v>
      </c>
      <c r="C2465" s="329" t="s">
        <v>4269</v>
      </c>
      <c r="D2465" s="330" t="s">
        <v>8895</v>
      </c>
      <c r="E2465" s="331" t="s">
        <v>8896</v>
      </c>
    </row>
    <row r="2466" spans="1:5" s="332" customFormat="1" ht="14.5" customHeight="1" x14ac:dyDescent="0.35">
      <c r="A2466" s="328" t="str">
        <f>"60.0538"</f>
        <v>60.0538</v>
      </c>
      <c r="B2466" s="328" t="s">
        <v>4318</v>
      </c>
      <c r="C2466" s="329" t="s">
        <v>4269</v>
      </c>
      <c r="D2466" s="330" t="s">
        <v>8897</v>
      </c>
      <c r="E2466" s="331" t="s">
        <v>8898</v>
      </c>
    </row>
    <row r="2467" spans="1:5" s="332" customFormat="1" ht="14.5" customHeight="1" x14ac:dyDescent="0.35">
      <c r="A2467" s="328" t="str">
        <f>"60.0539"</f>
        <v>60.0539</v>
      </c>
      <c r="B2467" s="328" t="s">
        <v>4318</v>
      </c>
      <c r="C2467" s="329" t="s">
        <v>4269</v>
      </c>
      <c r="D2467" s="330" t="s">
        <v>8899</v>
      </c>
      <c r="E2467" s="331" t="s">
        <v>8900</v>
      </c>
    </row>
    <row r="2468" spans="1:5" s="332" customFormat="1" ht="14.5" customHeight="1" x14ac:dyDescent="0.35">
      <c r="A2468" s="328" t="str">
        <f>"60.0540"</f>
        <v>60.0540</v>
      </c>
      <c r="B2468" s="328" t="s">
        <v>4318</v>
      </c>
      <c r="C2468" s="329" t="s">
        <v>4269</v>
      </c>
      <c r="D2468" s="330" t="s">
        <v>8901</v>
      </c>
      <c r="E2468" s="331" t="s">
        <v>8902</v>
      </c>
    </row>
    <row r="2469" spans="1:5" s="332" customFormat="1" ht="14.5" customHeight="1" x14ac:dyDescent="0.35">
      <c r="A2469" s="328" t="str">
        <f>"60.0541"</f>
        <v>60.0541</v>
      </c>
      <c r="B2469" s="328" t="s">
        <v>4318</v>
      </c>
      <c r="C2469" s="329" t="s">
        <v>4269</v>
      </c>
      <c r="D2469" s="330" t="s">
        <v>8903</v>
      </c>
      <c r="E2469" s="331" t="s">
        <v>8904</v>
      </c>
    </row>
    <row r="2470" spans="1:5" s="332" customFormat="1" ht="14.5" customHeight="1" x14ac:dyDescent="0.35">
      <c r="A2470" s="328" t="str">
        <f>"60.0542"</f>
        <v>60.0542</v>
      </c>
      <c r="B2470" s="328" t="s">
        <v>4318</v>
      </c>
      <c r="C2470" s="329" t="s">
        <v>4269</v>
      </c>
      <c r="D2470" s="330" t="s">
        <v>8905</v>
      </c>
      <c r="E2470" s="331" t="s">
        <v>8906</v>
      </c>
    </row>
    <row r="2471" spans="1:5" s="332" customFormat="1" ht="14.5" customHeight="1" x14ac:dyDescent="0.35">
      <c r="A2471" s="328" t="str">
        <f>"60.0543"</f>
        <v>60.0543</v>
      </c>
      <c r="B2471" s="328" t="s">
        <v>4318</v>
      </c>
      <c r="C2471" s="329" t="s">
        <v>4269</v>
      </c>
      <c r="D2471" s="330" t="s">
        <v>8907</v>
      </c>
      <c r="E2471" s="331" t="s">
        <v>8908</v>
      </c>
    </row>
    <row r="2472" spans="1:5" s="332" customFormat="1" ht="14.5" customHeight="1" x14ac:dyDescent="0.35">
      <c r="A2472" s="328" t="str">
        <f>"60.0544"</f>
        <v>60.0544</v>
      </c>
      <c r="B2472" s="328" t="s">
        <v>4318</v>
      </c>
      <c r="C2472" s="329" t="s">
        <v>4269</v>
      </c>
      <c r="D2472" s="330" t="s">
        <v>8909</v>
      </c>
      <c r="E2472" s="331" t="s">
        <v>8910</v>
      </c>
    </row>
    <row r="2473" spans="1:5" s="332" customFormat="1" ht="14.5" customHeight="1" x14ac:dyDescent="0.35">
      <c r="A2473" s="328" t="str">
        <f>"60.0545"</f>
        <v>60.0545</v>
      </c>
      <c r="B2473" s="328" t="s">
        <v>4318</v>
      </c>
      <c r="C2473" s="329" t="s">
        <v>4269</v>
      </c>
      <c r="D2473" s="330" t="s">
        <v>8911</v>
      </c>
      <c r="E2473" s="331" t="s">
        <v>8912</v>
      </c>
    </row>
    <row r="2474" spans="1:5" s="332" customFormat="1" ht="14.5" customHeight="1" x14ac:dyDescent="0.35">
      <c r="A2474" s="328" t="str">
        <f>"60.0546"</f>
        <v>60.0546</v>
      </c>
      <c r="B2474" s="328" t="s">
        <v>4318</v>
      </c>
      <c r="C2474" s="329" t="s">
        <v>4269</v>
      </c>
      <c r="D2474" s="330" t="s">
        <v>8913</v>
      </c>
      <c r="E2474" s="331" t="s">
        <v>8914</v>
      </c>
    </row>
    <row r="2475" spans="1:5" s="332" customFormat="1" ht="14.5" customHeight="1" x14ac:dyDescent="0.35">
      <c r="A2475" s="328" t="str">
        <f>"60.0547"</f>
        <v>60.0547</v>
      </c>
      <c r="B2475" s="328" t="s">
        <v>4318</v>
      </c>
      <c r="C2475" s="329" t="s">
        <v>4269</v>
      </c>
      <c r="D2475" s="330" t="s">
        <v>8915</v>
      </c>
      <c r="E2475" s="331" t="s">
        <v>8916</v>
      </c>
    </row>
    <row r="2476" spans="1:5" s="332" customFormat="1" ht="14.5" customHeight="1" x14ac:dyDescent="0.35">
      <c r="A2476" s="328" t="str">
        <f>"60.0548"</f>
        <v>60.0548</v>
      </c>
      <c r="B2476" s="328" t="s">
        <v>4318</v>
      </c>
      <c r="C2476" s="329" t="s">
        <v>4269</v>
      </c>
      <c r="D2476" s="330" t="s">
        <v>8917</v>
      </c>
      <c r="E2476" s="331" t="s">
        <v>8918</v>
      </c>
    </row>
    <row r="2477" spans="1:5" s="332" customFormat="1" ht="14.5" customHeight="1" x14ac:dyDescent="0.35">
      <c r="A2477" s="328" t="str">
        <f>"60.0549"</f>
        <v>60.0549</v>
      </c>
      <c r="B2477" s="328" t="s">
        <v>4318</v>
      </c>
      <c r="C2477" s="329" t="s">
        <v>4269</v>
      </c>
      <c r="D2477" s="330" t="s">
        <v>8919</v>
      </c>
      <c r="E2477" s="331" t="s">
        <v>8920</v>
      </c>
    </row>
    <row r="2478" spans="1:5" s="332" customFormat="1" ht="14.5" customHeight="1" x14ac:dyDescent="0.35">
      <c r="A2478" s="328" t="str">
        <f>"60.0550"</f>
        <v>60.0550</v>
      </c>
      <c r="B2478" s="328" t="s">
        <v>4318</v>
      </c>
      <c r="C2478" s="329" t="s">
        <v>4269</v>
      </c>
      <c r="D2478" s="330" t="s">
        <v>8921</v>
      </c>
      <c r="E2478" s="331" t="s">
        <v>8922</v>
      </c>
    </row>
    <row r="2479" spans="1:5" s="332" customFormat="1" ht="14.5" customHeight="1" x14ac:dyDescent="0.35">
      <c r="A2479" s="328" t="str">
        <f>"60.0551"</f>
        <v>60.0551</v>
      </c>
      <c r="B2479" s="328" t="s">
        <v>4318</v>
      </c>
      <c r="C2479" s="329" t="s">
        <v>4269</v>
      </c>
      <c r="D2479" s="330" t="s">
        <v>8923</v>
      </c>
      <c r="E2479" s="331" t="s">
        <v>8924</v>
      </c>
    </row>
    <row r="2480" spans="1:5" s="332" customFormat="1" ht="14.5" customHeight="1" x14ac:dyDescent="0.35">
      <c r="A2480" s="328" t="str">
        <f>"60.0552"</f>
        <v>60.0552</v>
      </c>
      <c r="B2480" s="328" t="s">
        <v>4318</v>
      </c>
      <c r="C2480" s="329" t="s">
        <v>4269</v>
      </c>
      <c r="D2480" s="330" t="s">
        <v>8925</v>
      </c>
      <c r="E2480" s="331" t="s">
        <v>8926</v>
      </c>
    </row>
    <row r="2481" spans="1:5" s="332" customFormat="1" ht="14.5" customHeight="1" x14ac:dyDescent="0.35">
      <c r="A2481" s="328" t="str">
        <f>"60.0553"</f>
        <v>60.0553</v>
      </c>
      <c r="B2481" s="328" t="s">
        <v>4318</v>
      </c>
      <c r="C2481" s="329" t="s">
        <v>4269</v>
      </c>
      <c r="D2481" s="330" t="s">
        <v>8927</v>
      </c>
      <c r="E2481" s="331" t="s">
        <v>8928</v>
      </c>
    </row>
    <row r="2482" spans="1:5" s="332" customFormat="1" ht="14.5" customHeight="1" x14ac:dyDescent="0.35">
      <c r="A2482" s="328" t="str">
        <f>"60.0554"</f>
        <v>60.0554</v>
      </c>
      <c r="B2482" s="328" t="s">
        <v>4318</v>
      </c>
      <c r="C2482" s="329" t="s">
        <v>4269</v>
      </c>
      <c r="D2482" s="330" t="s">
        <v>8929</v>
      </c>
      <c r="E2482" s="331" t="s">
        <v>8930</v>
      </c>
    </row>
    <row r="2483" spans="1:5" s="332" customFormat="1" ht="14.5" customHeight="1" x14ac:dyDescent="0.35">
      <c r="A2483" s="328" t="str">
        <f>"60.0555"</f>
        <v>60.0555</v>
      </c>
      <c r="B2483" s="328" t="s">
        <v>4318</v>
      </c>
      <c r="C2483" s="329" t="s">
        <v>4269</v>
      </c>
      <c r="D2483" s="330" t="s">
        <v>8931</v>
      </c>
      <c r="E2483" s="331" t="s">
        <v>8932</v>
      </c>
    </row>
    <row r="2484" spans="1:5" s="332" customFormat="1" ht="14.5" customHeight="1" x14ac:dyDescent="0.35">
      <c r="A2484" s="328" t="str">
        <f>"60.0556"</f>
        <v>60.0556</v>
      </c>
      <c r="B2484" s="328" t="s">
        <v>4318</v>
      </c>
      <c r="C2484" s="329" t="s">
        <v>4269</v>
      </c>
      <c r="D2484" s="330" t="s">
        <v>8933</v>
      </c>
      <c r="E2484" s="331" t="s">
        <v>8934</v>
      </c>
    </row>
    <row r="2485" spans="1:5" s="332" customFormat="1" ht="14.5" customHeight="1" x14ac:dyDescent="0.35">
      <c r="A2485" s="328" t="str">
        <f>"60.0557"</f>
        <v>60.0557</v>
      </c>
      <c r="B2485" s="328" t="s">
        <v>4318</v>
      </c>
      <c r="C2485" s="329" t="s">
        <v>4269</v>
      </c>
      <c r="D2485" s="330" t="s">
        <v>8935</v>
      </c>
      <c r="E2485" s="331" t="s">
        <v>8936</v>
      </c>
    </row>
    <row r="2486" spans="1:5" s="332" customFormat="1" ht="14.5" customHeight="1" x14ac:dyDescent="0.35">
      <c r="A2486" s="328" t="str">
        <f>"60.0558"</f>
        <v>60.0558</v>
      </c>
      <c r="B2486" s="328" t="s">
        <v>4318</v>
      </c>
      <c r="C2486" s="329" t="s">
        <v>4269</v>
      </c>
      <c r="D2486" s="330" t="s">
        <v>8937</v>
      </c>
      <c r="E2486" s="331" t="s">
        <v>8938</v>
      </c>
    </row>
    <row r="2487" spans="1:5" s="332" customFormat="1" ht="14.5" customHeight="1" x14ac:dyDescent="0.35">
      <c r="A2487" s="328" t="str">
        <f>"60.0559"</f>
        <v>60.0559</v>
      </c>
      <c r="B2487" s="328" t="s">
        <v>4318</v>
      </c>
      <c r="C2487" s="329" t="s">
        <v>4269</v>
      </c>
      <c r="D2487" s="330" t="s">
        <v>8939</v>
      </c>
      <c r="E2487" s="331" t="s">
        <v>8940</v>
      </c>
    </row>
    <row r="2488" spans="1:5" s="332" customFormat="1" ht="14.5" customHeight="1" x14ac:dyDescent="0.35">
      <c r="A2488" s="328" t="str">
        <f>"60.0560"</f>
        <v>60.0560</v>
      </c>
      <c r="B2488" s="328" t="s">
        <v>4318</v>
      </c>
      <c r="C2488" s="329" t="s">
        <v>4269</v>
      </c>
      <c r="D2488" s="330" t="s">
        <v>8941</v>
      </c>
      <c r="E2488" s="331" t="s">
        <v>8942</v>
      </c>
    </row>
    <row r="2489" spans="1:5" s="332" customFormat="1" ht="14.5" customHeight="1" x14ac:dyDescent="0.35">
      <c r="A2489" s="328" t="str">
        <f>"60.0561"</f>
        <v>60.0561</v>
      </c>
      <c r="B2489" s="328" t="s">
        <v>4318</v>
      </c>
      <c r="C2489" s="329" t="s">
        <v>4269</v>
      </c>
      <c r="D2489" s="330" t="s">
        <v>8943</v>
      </c>
      <c r="E2489" s="331" t="s">
        <v>8944</v>
      </c>
    </row>
    <row r="2490" spans="1:5" s="332" customFormat="1" ht="14.5" customHeight="1" x14ac:dyDescent="0.35">
      <c r="A2490" s="328" t="str">
        <f>"60.0562"</f>
        <v>60.0562</v>
      </c>
      <c r="B2490" s="328" t="s">
        <v>4318</v>
      </c>
      <c r="C2490" s="329" t="s">
        <v>4269</v>
      </c>
      <c r="D2490" s="330" t="s">
        <v>8945</v>
      </c>
      <c r="E2490" s="331" t="s">
        <v>8946</v>
      </c>
    </row>
    <row r="2491" spans="1:5" s="332" customFormat="1" ht="14.5" customHeight="1" x14ac:dyDescent="0.35">
      <c r="A2491" s="328" t="str">
        <f>"60.0563"</f>
        <v>60.0563</v>
      </c>
      <c r="B2491" s="328" t="s">
        <v>4318</v>
      </c>
      <c r="C2491" s="329" t="s">
        <v>4269</v>
      </c>
      <c r="D2491" s="330" t="s">
        <v>8947</v>
      </c>
      <c r="E2491" s="331" t="s">
        <v>8948</v>
      </c>
    </row>
    <row r="2492" spans="1:5" s="332" customFormat="1" ht="14.5" customHeight="1" x14ac:dyDescent="0.35">
      <c r="A2492" s="328" t="str">
        <f>"60.0564"</f>
        <v>60.0564</v>
      </c>
      <c r="B2492" s="328" t="s">
        <v>4318</v>
      </c>
      <c r="C2492" s="329" t="s">
        <v>4269</v>
      </c>
      <c r="D2492" s="330" t="s">
        <v>8949</v>
      </c>
      <c r="E2492" s="331" t="s">
        <v>8950</v>
      </c>
    </row>
    <row r="2493" spans="1:5" s="332" customFormat="1" ht="14.5" customHeight="1" x14ac:dyDescent="0.35">
      <c r="A2493" s="328" t="str">
        <f>"60.0565"</f>
        <v>60.0565</v>
      </c>
      <c r="B2493" s="328" t="s">
        <v>4318</v>
      </c>
      <c r="C2493" s="329" t="s">
        <v>4269</v>
      </c>
      <c r="D2493" s="330" t="s">
        <v>8951</v>
      </c>
      <c r="E2493" s="331" t="s">
        <v>8952</v>
      </c>
    </row>
    <row r="2494" spans="1:5" s="332" customFormat="1" ht="14.5" customHeight="1" x14ac:dyDescent="0.35">
      <c r="A2494" s="328" t="str">
        <f>"60.0566"</f>
        <v>60.0566</v>
      </c>
      <c r="B2494" s="328" t="s">
        <v>4318</v>
      </c>
      <c r="C2494" s="329" t="s">
        <v>4269</v>
      </c>
      <c r="D2494" s="330" t="s">
        <v>8953</v>
      </c>
      <c r="E2494" s="331" t="s">
        <v>8954</v>
      </c>
    </row>
    <row r="2495" spans="1:5" s="332" customFormat="1" ht="14.5" customHeight="1" x14ac:dyDescent="0.35">
      <c r="A2495" s="328" t="str">
        <f>"60.0567"</f>
        <v>60.0567</v>
      </c>
      <c r="B2495" s="328" t="s">
        <v>4318</v>
      </c>
      <c r="C2495" s="329" t="s">
        <v>4269</v>
      </c>
      <c r="D2495" s="330" t="s">
        <v>8955</v>
      </c>
      <c r="E2495" s="331" t="s">
        <v>8956</v>
      </c>
    </row>
    <row r="2496" spans="1:5" s="333" customFormat="1" ht="14.5" customHeight="1" x14ac:dyDescent="0.35">
      <c r="A2496" s="328" t="str">
        <f>"60.0568"</f>
        <v>60.0568</v>
      </c>
      <c r="B2496" s="328" t="s">
        <v>7353</v>
      </c>
      <c r="C2496" s="329" t="s">
        <v>4269</v>
      </c>
      <c r="D2496" s="330" t="s">
        <v>8957</v>
      </c>
      <c r="E2496" s="331" t="s">
        <v>8958</v>
      </c>
    </row>
    <row r="2497" spans="1:5" s="332" customFormat="1" ht="14.5" customHeight="1" x14ac:dyDescent="0.35">
      <c r="A2497" s="328" t="str">
        <f>"60.0569"</f>
        <v>60.0569</v>
      </c>
      <c r="B2497" s="328" t="s">
        <v>4318</v>
      </c>
      <c r="C2497" s="329" t="s">
        <v>4269</v>
      </c>
      <c r="D2497" s="330" t="s">
        <v>8959</v>
      </c>
      <c r="E2497" s="331" t="s">
        <v>8960</v>
      </c>
    </row>
    <row r="2498" spans="1:5" s="332" customFormat="1" ht="14.5" customHeight="1" x14ac:dyDescent="0.35">
      <c r="A2498" s="328" t="str">
        <f>"60.0570"</f>
        <v>60.0570</v>
      </c>
      <c r="B2498" s="328" t="s">
        <v>4318</v>
      </c>
      <c r="C2498" s="329" t="s">
        <v>4269</v>
      </c>
      <c r="D2498" s="330" t="s">
        <v>8961</v>
      </c>
      <c r="E2498" s="331" t="s">
        <v>8962</v>
      </c>
    </row>
    <row r="2499" spans="1:5" s="332" customFormat="1" ht="14.5" customHeight="1" x14ac:dyDescent="0.35">
      <c r="A2499" s="328" t="str">
        <f>"60.0571"</f>
        <v>60.0571</v>
      </c>
      <c r="B2499" s="328" t="s">
        <v>4318</v>
      </c>
      <c r="C2499" s="329" t="s">
        <v>4269</v>
      </c>
      <c r="D2499" s="330" t="s">
        <v>8963</v>
      </c>
      <c r="E2499" s="331" t="s">
        <v>8964</v>
      </c>
    </row>
    <row r="2500" spans="1:5" s="332" customFormat="1" ht="14.5" customHeight="1" x14ac:dyDescent="0.35">
      <c r="A2500" s="328" t="str">
        <f>"60.0572"</f>
        <v>60.0572</v>
      </c>
      <c r="B2500" s="328" t="s">
        <v>4318</v>
      </c>
      <c r="C2500" s="329" t="s">
        <v>4269</v>
      </c>
      <c r="D2500" s="330" t="s">
        <v>8965</v>
      </c>
      <c r="E2500" s="331" t="s">
        <v>8966</v>
      </c>
    </row>
    <row r="2501" spans="1:5" s="332" customFormat="1" ht="14.5" customHeight="1" x14ac:dyDescent="0.35">
      <c r="A2501" s="328" t="str">
        <f>"60.0573"</f>
        <v>60.0573</v>
      </c>
      <c r="B2501" s="328" t="s">
        <v>4318</v>
      </c>
      <c r="C2501" s="329" t="s">
        <v>4269</v>
      </c>
      <c r="D2501" s="330" t="s">
        <v>8967</v>
      </c>
      <c r="E2501" s="331" t="s">
        <v>8968</v>
      </c>
    </row>
    <row r="2502" spans="1:5" s="332" customFormat="1" ht="14.5" customHeight="1" x14ac:dyDescent="0.35">
      <c r="A2502" s="328" t="str">
        <f>"60.0574"</f>
        <v>60.0574</v>
      </c>
      <c r="B2502" s="328" t="s">
        <v>4318</v>
      </c>
      <c r="C2502" s="329" t="s">
        <v>4269</v>
      </c>
      <c r="D2502" s="330" t="s">
        <v>8969</v>
      </c>
      <c r="E2502" s="331" t="s">
        <v>8970</v>
      </c>
    </row>
    <row r="2503" spans="1:5" s="332" customFormat="1" ht="14.5" customHeight="1" x14ac:dyDescent="0.35">
      <c r="A2503" s="328" t="str">
        <f>"60.0575"</f>
        <v>60.0575</v>
      </c>
      <c r="B2503" s="328" t="s">
        <v>4318</v>
      </c>
      <c r="C2503" s="329" t="s">
        <v>4269</v>
      </c>
      <c r="D2503" s="330" t="s">
        <v>8971</v>
      </c>
      <c r="E2503" s="331" t="s">
        <v>8972</v>
      </c>
    </row>
    <row r="2504" spans="1:5" s="332" customFormat="1" ht="14.5" customHeight="1" x14ac:dyDescent="0.35">
      <c r="A2504" s="328" t="str">
        <f>"60.0576"</f>
        <v>60.0576</v>
      </c>
      <c r="B2504" s="328" t="s">
        <v>4318</v>
      </c>
      <c r="C2504" s="329" t="s">
        <v>4269</v>
      </c>
      <c r="D2504" s="330" t="s">
        <v>8973</v>
      </c>
      <c r="E2504" s="331" t="s">
        <v>8974</v>
      </c>
    </row>
    <row r="2505" spans="1:5" s="332" customFormat="1" ht="14.5" customHeight="1" x14ac:dyDescent="0.35">
      <c r="A2505" s="328" t="str">
        <f>"60.0577"</f>
        <v>60.0577</v>
      </c>
      <c r="B2505" s="328" t="s">
        <v>4318</v>
      </c>
      <c r="C2505" s="329" t="s">
        <v>4269</v>
      </c>
      <c r="D2505" s="330" t="s">
        <v>8975</v>
      </c>
      <c r="E2505" s="331" t="s">
        <v>8976</v>
      </c>
    </row>
    <row r="2506" spans="1:5" s="332" customFormat="1" ht="14.5" customHeight="1" x14ac:dyDescent="0.35">
      <c r="A2506" s="328" t="str">
        <f>"60.0578"</f>
        <v>60.0578</v>
      </c>
      <c r="B2506" s="328" t="s">
        <v>4318</v>
      </c>
      <c r="C2506" s="329" t="s">
        <v>4269</v>
      </c>
      <c r="D2506" s="330" t="s">
        <v>8977</v>
      </c>
      <c r="E2506" s="331" t="s">
        <v>8978</v>
      </c>
    </row>
    <row r="2507" spans="1:5" s="332" customFormat="1" ht="14.5" customHeight="1" x14ac:dyDescent="0.35">
      <c r="A2507" s="328" t="str">
        <f>"60.0579"</f>
        <v>60.0579</v>
      </c>
      <c r="B2507" s="328" t="s">
        <v>4318</v>
      </c>
      <c r="C2507" s="329" t="s">
        <v>4269</v>
      </c>
      <c r="D2507" s="330" t="s">
        <v>8979</v>
      </c>
      <c r="E2507" s="331" t="s">
        <v>8980</v>
      </c>
    </row>
    <row r="2508" spans="1:5" s="332" customFormat="1" ht="14.5" customHeight="1" x14ac:dyDescent="0.35">
      <c r="A2508" s="328" t="str">
        <f>"60.0580"</f>
        <v>60.0580</v>
      </c>
      <c r="B2508" s="328" t="s">
        <v>4318</v>
      </c>
      <c r="C2508" s="329" t="s">
        <v>4269</v>
      </c>
      <c r="D2508" s="330" t="s">
        <v>8981</v>
      </c>
      <c r="E2508" s="331" t="s">
        <v>8982</v>
      </c>
    </row>
    <row r="2509" spans="1:5" s="332" customFormat="1" ht="14.5" customHeight="1" x14ac:dyDescent="0.35">
      <c r="A2509" s="328" t="str">
        <f>"60.0581"</f>
        <v>60.0581</v>
      </c>
      <c r="B2509" s="328" t="s">
        <v>4318</v>
      </c>
      <c r="C2509" s="329" t="s">
        <v>4269</v>
      </c>
      <c r="D2509" s="330" t="s">
        <v>8983</v>
      </c>
      <c r="E2509" s="331" t="s">
        <v>8984</v>
      </c>
    </row>
    <row r="2510" spans="1:5" s="332" customFormat="1" ht="14.5" customHeight="1" x14ac:dyDescent="0.35">
      <c r="A2510" s="328" t="str">
        <f>"60.0582"</f>
        <v>60.0582</v>
      </c>
      <c r="B2510" s="328" t="s">
        <v>4318</v>
      </c>
      <c r="C2510" s="329" t="s">
        <v>4269</v>
      </c>
      <c r="D2510" s="330" t="s">
        <v>8985</v>
      </c>
      <c r="E2510" s="331" t="s">
        <v>8986</v>
      </c>
    </row>
    <row r="2511" spans="1:5" s="332" customFormat="1" ht="14.5" customHeight="1" x14ac:dyDescent="0.35">
      <c r="A2511" s="328" t="str">
        <f>"60.0583"</f>
        <v>60.0583</v>
      </c>
      <c r="B2511" s="328" t="s">
        <v>4318</v>
      </c>
      <c r="C2511" s="329" t="s">
        <v>4269</v>
      </c>
      <c r="D2511" s="330" t="s">
        <v>8987</v>
      </c>
      <c r="E2511" s="331" t="s">
        <v>8988</v>
      </c>
    </row>
    <row r="2512" spans="1:5" s="332" customFormat="1" ht="14.5" customHeight="1" x14ac:dyDescent="0.35">
      <c r="A2512" s="328" t="str">
        <f>"60.0584"</f>
        <v>60.0584</v>
      </c>
      <c r="B2512" s="328" t="s">
        <v>4318</v>
      </c>
      <c r="C2512" s="329" t="s">
        <v>4269</v>
      </c>
      <c r="D2512" s="330" t="s">
        <v>8989</v>
      </c>
      <c r="E2512" s="331" t="s">
        <v>8990</v>
      </c>
    </row>
    <row r="2513" spans="1:5" s="333" customFormat="1" ht="14.5" customHeight="1" x14ac:dyDescent="0.35">
      <c r="A2513" s="328" t="str">
        <f>"60.0599"</f>
        <v>60.0599</v>
      </c>
      <c r="B2513" s="328" t="s">
        <v>7353</v>
      </c>
      <c r="C2513" s="329" t="s">
        <v>4269</v>
      </c>
      <c r="D2513" s="330" t="s">
        <v>8991</v>
      </c>
      <c r="E2513" s="331" t="s">
        <v>8753</v>
      </c>
    </row>
    <row r="2514" spans="1:5" s="332" customFormat="1" ht="14.5" customHeight="1" x14ac:dyDescent="0.35">
      <c r="A2514" s="328" t="str">
        <f>"60.06"</f>
        <v>60.06</v>
      </c>
      <c r="B2514" s="328" t="s">
        <v>4318</v>
      </c>
      <c r="C2514" s="329" t="s">
        <v>4269</v>
      </c>
      <c r="D2514" s="330" t="s">
        <v>8992</v>
      </c>
      <c r="E2514" s="331" t="s">
        <v>8993</v>
      </c>
    </row>
    <row r="2515" spans="1:5" s="333" customFormat="1" ht="14.5" customHeight="1" x14ac:dyDescent="0.35">
      <c r="A2515" s="328" t="str">
        <f>"60.0601"</f>
        <v>60.0601</v>
      </c>
      <c r="B2515" s="328" t="s">
        <v>7353</v>
      </c>
      <c r="C2515" s="329" t="s">
        <v>4269</v>
      </c>
      <c r="D2515" s="330" t="s">
        <v>8994</v>
      </c>
      <c r="E2515" s="331" t="s">
        <v>8995</v>
      </c>
    </row>
    <row r="2516" spans="1:5" s="333" customFormat="1" ht="14.5" customHeight="1" x14ac:dyDescent="0.35">
      <c r="A2516" s="328" t="str">
        <f>"60.0602"</f>
        <v>60.0602</v>
      </c>
      <c r="B2516" s="328" t="s">
        <v>7353</v>
      </c>
      <c r="C2516" s="329" t="s">
        <v>4269</v>
      </c>
      <c r="D2516" s="330" t="s">
        <v>8996</v>
      </c>
      <c r="E2516" s="331" t="s">
        <v>8995</v>
      </c>
    </row>
    <row r="2517" spans="1:5" s="327" customFormat="1" ht="14.5" customHeight="1" x14ac:dyDescent="0.35">
      <c r="A2517" s="323" t="str">
        <f>"60.07"</f>
        <v>60.07</v>
      </c>
      <c r="B2517" s="323" t="s">
        <v>4297</v>
      </c>
      <c r="C2517" s="324" t="s">
        <v>4269</v>
      </c>
      <c r="D2517" s="325" t="s">
        <v>8997</v>
      </c>
      <c r="E2517" s="326" t="s">
        <v>8998</v>
      </c>
    </row>
    <row r="2518" spans="1:5" s="327" customFormat="1" ht="14.5" customHeight="1" x14ac:dyDescent="0.35">
      <c r="A2518" s="323" t="str">
        <f>"60.0701"</f>
        <v>60.0701</v>
      </c>
      <c r="B2518" s="323" t="s">
        <v>4297</v>
      </c>
      <c r="C2518" s="324" t="s">
        <v>4269</v>
      </c>
      <c r="D2518" s="325" t="s">
        <v>8999</v>
      </c>
      <c r="E2518" s="326" t="s">
        <v>9000</v>
      </c>
    </row>
    <row r="2519" spans="1:5" s="327" customFormat="1" ht="14.5" customHeight="1" x14ac:dyDescent="0.35">
      <c r="A2519" s="323" t="str">
        <f>"60.0702"</f>
        <v>60.0702</v>
      </c>
      <c r="B2519" s="323" t="s">
        <v>4297</v>
      </c>
      <c r="C2519" s="324" t="s">
        <v>4269</v>
      </c>
      <c r="D2519" s="325" t="s">
        <v>9001</v>
      </c>
      <c r="E2519" s="326" t="s">
        <v>9002</v>
      </c>
    </row>
    <row r="2520" spans="1:5" s="327" customFormat="1" ht="14.5" customHeight="1" x14ac:dyDescent="0.35">
      <c r="A2520" s="323" t="str">
        <f>"60.0703"</f>
        <v>60.0703</v>
      </c>
      <c r="B2520" s="323" t="s">
        <v>4297</v>
      </c>
      <c r="C2520" s="324" t="s">
        <v>4269</v>
      </c>
      <c r="D2520" s="325" t="s">
        <v>9003</v>
      </c>
      <c r="E2520" s="326" t="s">
        <v>9004</v>
      </c>
    </row>
    <row r="2521" spans="1:5" s="327" customFormat="1" ht="14.5" customHeight="1" x14ac:dyDescent="0.35">
      <c r="A2521" s="323" t="str">
        <f>"60.0704"</f>
        <v>60.0704</v>
      </c>
      <c r="B2521" s="323" t="s">
        <v>4297</v>
      </c>
      <c r="C2521" s="324" t="s">
        <v>4269</v>
      </c>
      <c r="D2521" s="325" t="s">
        <v>9005</v>
      </c>
      <c r="E2521" s="326" t="s">
        <v>9006</v>
      </c>
    </row>
    <row r="2522" spans="1:5" s="327" customFormat="1" ht="14.5" customHeight="1" x14ac:dyDescent="0.35">
      <c r="A2522" s="323" t="str">
        <f>"60.0705"</f>
        <v>60.0705</v>
      </c>
      <c r="B2522" s="323" t="s">
        <v>4297</v>
      </c>
      <c r="C2522" s="324" t="s">
        <v>4269</v>
      </c>
      <c r="D2522" s="325" t="s">
        <v>9007</v>
      </c>
      <c r="E2522" s="326" t="s">
        <v>9008</v>
      </c>
    </row>
    <row r="2523" spans="1:5" s="327" customFormat="1" ht="14.5" customHeight="1" x14ac:dyDescent="0.35">
      <c r="A2523" s="323" t="str">
        <f>"60.0706"</f>
        <v>60.0706</v>
      </c>
      <c r="B2523" s="323" t="s">
        <v>4297</v>
      </c>
      <c r="C2523" s="324" t="s">
        <v>4269</v>
      </c>
      <c r="D2523" s="325" t="s">
        <v>9009</v>
      </c>
      <c r="E2523" s="326" t="s">
        <v>9010</v>
      </c>
    </row>
    <row r="2524" spans="1:5" s="327" customFormat="1" ht="14.5" customHeight="1" x14ac:dyDescent="0.35">
      <c r="A2524" s="323" t="str">
        <f>"60.0707"</f>
        <v>60.0707</v>
      </c>
      <c r="B2524" s="323" t="s">
        <v>4297</v>
      </c>
      <c r="C2524" s="324" t="s">
        <v>4269</v>
      </c>
      <c r="D2524" s="325" t="s">
        <v>9011</v>
      </c>
      <c r="E2524" s="326" t="s">
        <v>9012</v>
      </c>
    </row>
    <row r="2525" spans="1:5" s="327" customFormat="1" ht="14.5" customHeight="1" x14ac:dyDescent="0.35">
      <c r="A2525" s="323" t="str">
        <f>"60.0708"</f>
        <v>60.0708</v>
      </c>
      <c r="B2525" s="323" t="s">
        <v>4297</v>
      </c>
      <c r="C2525" s="324" t="s">
        <v>4269</v>
      </c>
      <c r="D2525" s="325" t="s">
        <v>9013</v>
      </c>
      <c r="E2525" s="326" t="s">
        <v>9014</v>
      </c>
    </row>
    <row r="2526" spans="1:5" s="327" customFormat="1" ht="14.5" customHeight="1" x14ac:dyDescent="0.35">
      <c r="A2526" s="323" t="str">
        <f>"60.0709"</f>
        <v>60.0709</v>
      </c>
      <c r="B2526" s="323" t="s">
        <v>4297</v>
      </c>
      <c r="C2526" s="324" t="s">
        <v>4269</v>
      </c>
      <c r="D2526" s="325" t="s">
        <v>9015</v>
      </c>
      <c r="E2526" s="326" t="s">
        <v>9016</v>
      </c>
    </row>
    <row r="2527" spans="1:5" s="327" customFormat="1" ht="14.5" customHeight="1" x14ac:dyDescent="0.35">
      <c r="A2527" s="323" t="str">
        <f>"60.0710"</f>
        <v>60.0710</v>
      </c>
      <c r="B2527" s="323" t="s">
        <v>4297</v>
      </c>
      <c r="C2527" s="324" t="s">
        <v>4269</v>
      </c>
      <c r="D2527" s="325" t="s">
        <v>9017</v>
      </c>
      <c r="E2527" s="326" t="s">
        <v>9018</v>
      </c>
    </row>
    <row r="2528" spans="1:5" s="327" customFormat="1" ht="14.5" customHeight="1" x14ac:dyDescent="0.35">
      <c r="A2528" s="323" t="str">
        <f>"60.0711"</f>
        <v>60.0711</v>
      </c>
      <c r="B2528" s="323" t="s">
        <v>4297</v>
      </c>
      <c r="C2528" s="324" t="s">
        <v>4269</v>
      </c>
      <c r="D2528" s="325" t="s">
        <v>9019</v>
      </c>
      <c r="E2528" s="326" t="s">
        <v>9020</v>
      </c>
    </row>
    <row r="2529" spans="1:5" s="327" customFormat="1" ht="14.5" customHeight="1" x14ac:dyDescent="0.35">
      <c r="A2529" s="323" t="str">
        <f>"60.0712"</f>
        <v>60.0712</v>
      </c>
      <c r="B2529" s="323" t="s">
        <v>4297</v>
      </c>
      <c r="C2529" s="324" t="s">
        <v>4269</v>
      </c>
      <c r="D2529" s="325" t="s">
        <v>9021</v>
      </c>
      <c r="E2529" s="326" t="s">
        <v>9022</v>
      </c>
    </row>
    <row r="2530" spans="1:5" s="327" customFormat="1" ht="14.5" customHeight="1" x14ac:dyDescent="0.35">
      <c r="A2530" s="323" t="str">
        <f>"60.0713"</f>
        <v>60.0713</v>
      </c>
      <c r="B2530" s="323" t="s">
        <v>4297</v>
      </c>
      <c r="C2530" s="324" t="s">
        <v>4269</v>
      </c>
      <c r="D2530" s="325" t="s">
        <v>9023</v>
      </c>
      <c r="E2530" s="326" t="s">
        <v>9024</v>
      </c>
    </row>
    <row r="2531" spans="1:5" s="327" customFormat="1" ht="14.5" customHeight="1" x14ac:dyDescent="0.35">
      <c r="A2531" s="323" t="str">
        <f>"60.0714"</f>
        <v>60.0714</v>
      </c>
      <c r="B2531" s="323" t="s">
        <v>4297</v>
      </c>
      <c r="C2531" s="324" t="s">
        <v>4269</v>
      </c>
      <c r="D2531" s="325" t="s">
        <v>9025</v>
      </c>
      <c r="E2531" s="326" t="s">
        <v>9026</v>
      </c>
    </row>
    <row r="2532" spans="1:5" s="327" customFormat="1" ht="14.5" customHeight="1" x14ac:dyDescent="0.35">
      <c r="A2532" s="323" t="str">
        <f>"60.0715"</f>
        <v>60.0715</v>
      </c>
      <c r="B2532" s="323" t="s">
        <v>4297</v>
      </c>
      <c r="C2532" s="324" t="s">
        <v>4269</v>
      </c>
      <c r="D2532" s="325" t="s">
        <v>9027</v>
      </c>
      <c r="E2532" s="326" t="s">
        <v>9028</v>
      </c>
    </row>
    <row r="2533" spans="1:5" s="327" customFormat="1" ht="14.5" customHeight="1" x14ac:dyDescent="0.35">
      <c r="A2533" s="323" t="str">
        <f>"60.0716"</f>
        <v>60.0716</v>
      </c>
      <c r="B2533" s="323" t="s">
        <v>4297</v>
      </c>
      <c r="C2533" s="324" t="s">
        <v>4269</v>
      </c>
      <c r="D2533" s="325" t="s">
        <v>9029</v>
      </c>
      <c r="E2533" s="326" t="s">
        <v>9030</v>
      </c>
    </row>
    <row r="2534" spans="1:5" s="327" customFormat="1" ht="14.5" customHeight="1" x14ac:dyDescent="0.35">
      <c r="A2534" s="323" t="str">
        <f>"60.0717"</f>
        <v>60.0717</v>
      </c>
      <c r="B2534" s="323" t="s">
        <v>4297</v>
      </c>
      <c r="C2534" s="324" t="s">
        <v>4269</v>
      </c>
      <c r="D2534" s="325" t="s">
        <v>9031</v>
      </c>
      <c r="E2534" s="326" t="s">
        <v>9032</v>
      </c>
    </row>
    <row r="2535" spans="1:5" s="327" customFormat="1" ht="14.5" customHeight="1" x14ac:dyDescent="0.35">
      <c r="A2535" s="323" t="str">
        <f>"60.0718"</f>
        <v>60.0718</v>
      </c>
      <c r="B2535" s="323" t="s">
        <v>4297</v>
      </c>
      <c r="C2535" s="324" t="s">
        <v>4269</v>
      </c>
      <c r="D2535" s="325" t="s">
        <v>9033</v>
      </c>
      <c r="E2535" s="326" t="s">
        <v>9034</v>
      </c>
    </row>
    <row r="2536" spans="1:5" s="327" customFormat="1" ht="14.5" customHeight="1" x14ac:dyDescent="0.35">
      <c r="A2536" s="323" t="str">
        <f>"60.0719"</f>
        <v>60.0719</v>
      </c>
      <c r="B2536" s="323" t="s">
        <v>4297</v>
      </c>
      <c r="C2536" s="324" t="s">
        <v>4269</v>
      </c>
      <c r="D2536" s="325" t="s">
        <v>9035</v>
      </c>
      <c r="E2536" s="326" t="s">
        <v>9036</v>
      </c>
    </row>
    <row r="2537" spans="1:5" s="327" customFormat="1" ht="14.5" customHeight="1" x14ac:dyDescent="0.35">
      <c r="A2537" s="323" t="str">
        <f>"60.0720"</f>
        <v>60.0720</v>
      </c>
      <c r="B2537" s="323" t="s">
        <v>4297</v>
      </c>
      <c r="C2537" s="324" t="s">
        <v>4269</v>
      </c>
      <c r="D2537" s="325" t="s">
        <v>9037</v>
      </c>
      <c r="E2537" s="326" t="s">
        <v>9038</v>
      </c>
    </row>
    <row r="2538" spans="1:5" s="327" customFormat="1" ht="14.5" customHeight="1" x14ac:dyDescent="0.35">
      <c r="A2538" s="323" t="str">
        <f>"60.0721"</f>
        <v>60.0721</v>
      </c>
      <c r="B2538" s="323" t="s">
        <v>4297</v>
      </c>
      <c r="C2538" s="324" t="s">
        <v>4269</v>
      </c>
      <c r="D2538" s="325" t="s">
        <v>9039</v>
      </c>
      <c r="E2538" s="326" t="s">
        <v>9040</v>
      </c>
    </row>
    <row r="2539" spans="1:5" s="327" customFormat="1" ht="14.5" customHeight="1" x14ac:dyDescent="0.35">
      <c r="A2539" s="323" t="str">
        <f>"60.0722"</f>
        <v>60.0722</v>
      </c>
      <c r="B2539" s="323" t="s">
        <v>4297</v>
      </c>
      <c r="C2539" s="324" t="s">
        <v>4269</v>
      </c>
      <c r="D2539" s="325" t="s">
        <v>9041</v>
      </c>
      <c r="E2539" s="326" t="s">
        <v>9042</v>
      </c>
    </row>
    <row r="2540" spans="1:5" s="327" customFormat="1" ht="14.5" customHeight="1" x14ac:dyDescent="0.35">
      <c r="A2540" s="323" t="str">
        <f>"60.0723"</f>
        <v>60.0723</v>
      </c>
      <c r="B2540" s="323" t="s">
        <v>4297</v>
      </c>
      <c r="C2540" s="324" t="s">
        <v>4269</v>
      </c>
      <c r="D2540" s="325" t="s">
        <v>9043</v>
      </c>
      <c r="E2540" s="326" t="s">
        <v>9044</v>
      </c>
    </row>
    <row r="2541" spans="1:5" s="327" customFormat="1" ht="14.5" customHeight="1" x14ac:dyDescent="0.35">
      <c r="A2541" s="323" t="str">
        <f>"60.0724"</f>
        <v>60.0724</v>
      </c>
      <c r="B2541" s="323" t="s">
        <v>4297</v>
      </c>
      <c r="C2541" s="324" t="s">
        <v>4269</v>
      </c>
      <c r="D2541" s="325" t="s">
        <v>9045</v>
      </c>
      <c r="E2541" s="326" t="s">
        <v>9046</v>
      </c>
    </row>
    <row r="2542" spans="1:5" s="327" customFormat="1" ht="14.5" customHeight="1" x14ac:dyDescent="0.35">
      <c r="A2542" s="323" t="str">
        <f>"60.0725"</f>
        <v>60.0725</v>
      </c>
      <c r="B2542" s="323" t="s">
        <v>4297</v>
      </c>
      <c r="C2542" s="324" t="s">
        <v>4269</v>
      </c>
      <c r="D2542" s="325" t="s">
        <v>9047</v>
      </c>
      <c r="E2542" s="326" t="s">
        <v>9048</v>
      </c>
    </row>
    <row r="2543" spans="1:5" s="327" customFormat="1" ht="14.5" customHeight="1" x14ac:dyDescent="0.35">
      <c r="A2543" s="323" t="str">
        <f>"60.0726"</f>
        <v>60.0726</v>
      </c>
      <c r="B2543" s="323" t="s">
        <v>4297</v>
      </c>
      <c r="C2543" s="324" t="s">
        <v>4269</v>
      </c>
      <c r="D2543" s="325" t="s">
        <v>9049</v>
      </c>
      <c r="E2543" s="326" t="s">
        <v>9050</v>
      </c>
    </row>
    <row r="2544" spans="1:5" s="327" customFormat="1" ht="14.5" customHeight="1" x14ac:dyDescent="0.35">
      <c r="A2544" s="323" t="str">
        <f>"60.0727"</f>
        <v>60.0727</v>
      </c>
      <c r="B2544" s="323" t="s">
        <v>4297</v>
      </c>
      <c r="C2544" s="324" t="s">
        <v>4269</v>
      </c>
      <c r="D2544" s="325" t="s">
        <v>9051</v>
      </c>
      <c r="E2544" s="326" t="s">
        <v>9052</v>
      </c>
    </row>
    <row r="2545" spans="1:5" s="327" customFormat="1" ht="14.5" customHeight="1" x14ac:dyDescent="0.35">
      <c r="A2545" s="323" t="str">
        <f>"60.0728"</f>
        <v>60.0728</v>
      </c>
      <c r="B2545" s="323" t="s">
        <v>4297</v>
      </c>
      <c r="C2545" s="324" t="s">
        <v>4269</v>
      </c>
      <c r="D2545" s="325" t="s">
        <v>9053</v>
      </c>
      <c r="E2545" s="326" t="s">
        <v>9054</v>
      </c>
    </row>
    <row r="2546" spans="1:5" s="327" customFormat="1" ht="14.5" customHeight="1" x14ac:dyDescent="0.35">
      <c r="A2546" s="323" t="str">
        <f>"60.0729"</f>
        <v>60.0729</v>
      </c>
      <c r="B2546" s="323" t="s">
        <v>4297</v>
      </c>
      <c r="C2546" s="324" t="s">
        <v>4269</v>
      </c>
      <c r="D2546" s="325" t="s">
        <v>9055</v>
      </c>
      <c r="E2546" s="326" t="s">
        <v>9056</v>
      </c>
    </row>
    <row r="2547" spans="1:5" s="327" customFormat="1" ht="14.5" customHeight="1" x14ac:dyDescent="0.35">
      <c r="A2547" s="323" t="str">
        <f>"60.0730"</f>
        <v>60.0730</v>
      </c>
      <c r="B2547" s="323" t="s">
        <v>4297</v>
      </c>
      <c r="C2547" s="324" t="s">
        <v>4269</v>
      </c>
      <c r="D2547" s="325" t="s">
        <v>9057</v>
      </c>
      <c r="E2547" s="326" t="s">
        <v>9058</v>
      </c>
    </row>
    <row r="2548" spans="1:5" s="327" customFormat="1" ht="14.5" customHeight="1" x14ac:dyDescent="0.35">
      <c r="A2548" s="323" t="str">
        <f>"60.0731"</f>
        <v>60.0731</v>
      </c>
      <c r="B2548" s="323" t="s">
        <v>4297</v>
      </c>
      <c r="C2548" s="324" t="s">
        <v>4269</v>
      </c>
      <c r="D2548" s="325" t="s">
        <v>9059</v>
      </c>
      <c r="E2548" s="326" t="s">
        <v>9060</v>
      </c>
    </row>
    <row r="2549" spans="1:5" s="327" customFormat="1" ht="14.5" customHeight="1" x14ac:dyDescent="0.35">
      <c r="A2549" s="323" t="str">
        <f>"60.0732"</f>
        <v>60.0732</v>
      </c>
      <c r="B2549" s="323" t="s">
        <v>4297</v>
      </c>
      <c r="C2549" s="324" t="s">
        <v>4269</v>
      </c>
      <c r="D2549" s="325" t="s">
        <v>9061</v>
      </c>
      <c r="E2549" s="326" t="s">
        <v>9062</v>
      </c>
    </row>
    <row r="2550" spans="1:5" s="327" customFormat="1" ht="14.5" customHeight="1" x14ac:dyDescent="0.35">
      <c r="A2550" s="323" t="str">
        <f>"60.0733"</f>
        <v>60.0733</v>
      </c>
      <c r="B2550" s="323" t="s">
        <v>4297</v>
      </c>
      <c r="C2550" s="324" t="s">
        <v>4269</v>
      </c>
      <c r="D2550" s="325" t="s">
        <v>9063</v>
      </c>
      <c r="E2550" s="326" t="s">
        <v>9064</v>
      </c>
    </row>
    <row r="2551" spans="1:5" s="327" customFormat="1" ht="14.5" customHeight="1" x14ac:dyDescent="0.35">
      <c r="A2551" s="323" t="str">
        <f>"60.0734"</f>
        <v>60.0734</v>
      </c>
      <c r="B2551" s="323" t="s">
        <v>4297</v>
      </c>
      <c r="C2551" s="324" t="s">
        <v>4269</v>
      </c>
      <c r="D2551" s="325" t="s">
        <v>9065</v>
      </c>
      <c r="E2551" s="326" t="s">
        <v>9066</v>
      </c>
    </row>
    <row r="2552" spans="1:5" s="327" customFormat="1" ht="14.5" customHeight="1" x14ac:dyDescent="0.35">
      <c r="A2552" s="323" t="str">
        <f>"60.0735"</f>
        <v>60.0735</v>
      </c>
      <c r="B2552" s="323" t="s">
        <v>4297</v>
      </c>
      <c r="C2552" s="324" t="s">
        <v>4269</v>
      </c>
      <c r="D2552" s="325" t="s">
        <v>9067</v>
      </c>
      <c r="E2552" s="326" t="s">
        <v>9068</v>
      </c>
    </row>
    <row r="2553" spans="1:5" s="327" customFormat="1" ht="14.5" customHeight="1" x14ac:dyDescent="0.35">
      <c r="A2553" s="323" t="str">
        <f>"60.0736"</f>
        <v>60.0736</v>
      </c>
      <c r="B2553" s="323" t="s">
        <v>4297</v>
      </c>
      <c r="C2553" s="324" t="s">
        <v>4269</v>
      </c>
      <c r="D2553" s="325" t="s">
        <v>9069</v>
      </c>
      <c r="E2553" s="326" t="s">
        <v>9070</v>
      </c>
    </row>
    <row r="2554" spans="1:5" s="327" customFormat="1" ht="14.5" customHeight="1" x14ac:dyDescent="0.35">
      <c r="A2554" s="323" t="str">
        <f>"60.0737"</f>
        <v>60.0737</v>
      </c>
      <c r="B2554" s="323" t="s">
        <v>4297</v>
      </c>
      <c r="C2554" s="324" t="s">
        <v>4269</v>
      </c>
      <c r="D2554" s="325" t="s">
        <v>9071</v>
      </c>
      <c r="E2554" s="326" t="s">
        <v>9072</v>
      </c>
    </row>
    <row r="2555" spans="1:5" s="327" customFormat="1" ht="14.5" customHeight="1" x14ac:dyDescent="0.35">
      <c r="A2555" s="323" t="str">
        <f>"60.0738"</f>
        <v>60.0738</v>
      </c>
      <c r="B2555" s="323" t="s">
        <v>4297</v>
      </c>
      <c r="C2555" s="324" t="s">
        <v>4269</v>
      </c>
      <c r="D2555" s="325" t="s">
        <v>9073</v>
      </c>
      <c r="E2555" s="326" t="s">
        <v>9074</v>
      </c>
    </row>
    <row r="2556" spans="1:5" s="327" customFormat="1" ht="14.5" customHeight="1" x14ac:dyDescent="0.35">
      <c r="A2556" s="323" t="str">
        <f>"60.0739"</f>
        <v>60.0739</v>
      </c>
      <c r="B2556" s="323" t="s">
        <v>4297</v>
      </c>
      <c r="C2556" s="324" t="s">
        <v>4269</v>
      </c>
      <c r="D2556" s="325" t="s">
        <v>9075</v>
      </c>
      <c r="E2556" s="326" t="s">
        <v>9076</v>
      </c>
    </row>
    <row r="2557" spans="1:5" s="327" customFormat="1" ht="14.5" customHeight="1" x14ac:dyDescent="0.35">
      <c r="A2557" s="323" t="str">
        <f>"60.0740"</f>
        <v>60.0740</v>
      </c>
      <c r="B2557" s="323" t="s">
        <v>4297</v>
      </c>
      <c r="C2557" s="324" t="s">
        <v>4269</v>
      </c>
      <c r="D2557" s="325" t="s">
        <v>9077</v>
      </c>
      <c r="E2557" s="326" t="s">
        <v>9078</v>
      </c>
    </row>
    <row r="2558" spans="1:5" s="327" customFormat="1" ht="14.5" customHeight="1" x14ac:dyDescent="0.35">
      <c r="A2558" s="323" t="str">
        <f>"60.0741"</f>
        <v>60.0741</v>
      </c>
      <c r="B2558" s="323" t="s">
        <v>4297</v>
      </c>
      <c r="C2558" s="324" t="s">
        <v>4269</v>
      </c>
      <c r="D2558" s="325" t="s">
        <v>9079</v>
      </c>
      <c r="E2558" s="326" t="s">
        <v>9080</v>
      </c>
    </row>
    <row r="2559" spans="1:5" s="327" customFormat="1" ht="14.5" customHeight="1" x14ac:dyDescent="0.35">
      <c r="A2559" s="323" t="str">
        <f>"60.0742"</f>
        <v>60.0742</v>
      </c>
      <c r="B2559" s="323" t="s">
        <v>4297</v>
      </c>
      <c r="C2559" s="324" t="s">
        <v>4269</v>
      </c>
      <c r="D2559" s="325" t="s">
        <v>9081</v>
      </c>
      <c r="E2559" s="326" t="s">
        <v>9082</v>
      </c>
    </row>
    <row r="2560" spans="1:5" s="327" customFormat="1" ht="14.5" customHeight="1" x14ac:dyDescent="0.35">
      <c r="A2560" s="323" t="str">
        <f>"60.0743"</f>
        <v>60.0743</v>
      </c>
      <c r="B2560" s="323" t="s">
        <v>4297</v>
      </c>
      <c r="C2560" s="324" t="s">
        <v>4269</v>
      </c>
      <c r="D2560" s="325" t="s">
        <v>9083</v>
      </c>
      <c r="E2560" s="326" t="s">
        <v>9084</v>
      </c>
    </row>
    <row r="2561" spans="1:5" s="327" customFormat="1" ht="14.5" customHeight="1" x14ac:dyDescent="0.35">
      <c r="A2561" s="323" t="str">
        <f>"60.0744"</f>
        <v>60.0744</v>
      </c>
      <c r="B2561" s="323" t="s">
        <v>4297</v>
      </c>
      <c r="C2561" s="324" t="s">
        <v>4269</v>
      </c>
      <c r="D2561" s="325" t="s">
        <v>9085</v>
      </c>
      <c r="E2561" s="326" t="s">
        <v>9086</v>
      </c>
    </row>
    <row r="2562" spans="1:5" s="327" customFormat="1" ht="14.5" customHeight="1" x14ac:dyDescent="0.35">
      <c r="A2562" s="323" t="str">
        <f>"60.0745"</f>
        <v>60.0745</v>
      </c>
      <c r="B2562" s="323" t="s">
        <v>4297</v>
      </c>
      <c r="C2562" s="324" t="s">
        <v>4269</v>
      </c>
      <c r="D2562" s="325" t="s">
        <v>9087</v>
      </c>
      <c r="E2562" s="326" t="s">
        <v>9088</v>
      </c>
    </row>
    <row r="2563" spans="1:5" s="327" customFormat="1" ht="14.5" customHeight="1" x14ac:dyDescent="0.35">
      <c r="A2563" s="323" t="str">
        <f>"60.0746"</f>
        <v>60.0746</v>
      </c>
      <c r="B2563" s="323" t="s">
        <v>4297</v>
      </c>
      <c r="C2563" s="324" t="s">
        <v>4269</v>
      </c>
      <c r="D2563" s="325" t="s">
        <v>9089</v>
      </c>
      <c r="E2563" s="326" t="s">
        <v>9090</v>
      </c>
    </row>
    <row r="2564" spans="1:5" s="327" customFormat="1" ht="14.5" customHeight="1" x14ac:dyDescent="0.35">
      <c r="A2564" s="323" t="str">
        <f>"60.0747"</f>
        <v>60.0747</v>
      </c>
      <c r="B2564" s="323" t="s">
        <v>4297</v>
      </c>
      <c r="C2564" s="324" t="s">
        <v>4269</v>
      </c>
      <c r="D2564" s="325" t="s">
        <v>9091</v>
      </c>
      <c r="E2564" s="326" t="s">
        <v>9092</v>
      </c>
    </row>
    <row r="2565" spans="1:5" s="327" customFormat="1" ht="14.5" customHeight="1" x14ac:dyDescent="0.35">
      <c r="A2565" s="323" t="str">
        <f>"60.0748"</f>
        <v>60.0748</v>
      </c>
      <c r="B2565" s="323" t="s">
        <v>4297</v>
      </c>
      <c r="C2565" s="324" t="s">
        <v>4269</v>
      </c>
      <c r="D2565" s="325" t="s">
        <v>9093</v>
      </c>
      <c r="E2565" s="326" t="s">
        <v>9094</v>
      </c>
    </row>
    <row r="2566" spans="1:5" s="327" customFormat="1" ht="14.5" customHeight="1" x14ac:dyDescent="0.35">
      <c r="A2566" s="323" t="str">
        <f>"60.0749"</f>
        <v>60.0749</v>
      </c>
      <c r="B2566" s="323" t="s">
        <v>4297</v>
      </c>
      <c r="C2566" s="324" t="s">
        <v>4269</v>
      </c>
      <c r="D2566" s="325" t="s">
        <v>9095</v>
      </c>
      <c r="E2566" s="326" t="s">
        <v>9096</v>
      </c>
    </row>
    <row r="2567" spans="1:5" s="327" customFormat="1" ht="14.5" customHeight="1" x14ac:dyDescent="0.35">
      <c r="A2567" s="323" t="str">
        <f>"60.0750"</f>
        <v>60.0750</v>
      </c>
      <c r="B2567" s="323" t="s">
        <v>4297</v>
      </c>
      <c r="C2567" s="324" t="s">
        <v>4269</v>
      </c>
      <c r="D2567" s="325" t="s">
        <v>9097</v>
      </c>
      <c r="E2567" s="326" t="s">
        <v>9098</v>
      </c>
    </row>
    <row r="2568" spans="1:5" s="327" customFormat="1" ht="14.5" customHeight="1" x14ac:dyDescent="0.35">
      <c r="A2568" s="323" t="str">
        <f>"60.0751"</f>
        <v>60.0751</v>
      </c>
      <c r="B2568" s="323" t="s">
        <v>4297</v>
      </c>
      <c r="C2568" s="324" t="s">
        <v>4269</v>
      </c>
      <c r="D2568" s="325" t="s">
        <v>9099</v>
      </c>
      <c r="E2568" s="326" t="s">
        <v>9100</v>
      </c>
    </row>
    <row r="2569" spans="1:5" s="327" customFormat="1" ht="14.5" customHeight="1" x14ac:dyDescent="0.35">
      <c r="A2569" s="323" t="str">
        <f>"60.0799"</f>
        <v>60.0799</v>
      </c>
      <c r="B2569" s="323" t="s">
        <v>4297</v>
      </c>
      <c r="C2569" s="324" t="s">
        <v>4269</v>
      </c>
      <c r="D2569" s="325" t="s">
        <v>9101</v>
      </c>
      <c r="E2569" s="326" t="s">
        <v>9102</v>
      </c>
    </row>
    <row r="2570" spans="1:5" s="327" customFormat="1" ht="14.5" customHeight="1" x14ac:dyDescent="0.35">
      <c r="A2570" s="323" t="str">
        <f>"60.08"</f>
        <v>60.08</v>
      </c>
      <c r="B2570" s="323" t="s">
        <v>4297</v>
      </c>
      <c r="C2570" s="324" t="s">
        <v>4269</v>
      </c>
      <c r="D2570" s="325" t="s">
        <v>9103</v>
      </c>
      <c r="E2570" s="326" t="s">
        <v>9104</v>
      </c>
    </row>
    <row r="2571" spans="1:5" s="327" customFormat="1" ht="14.5" customHeight="1" x14ac:dyDescent="0.35">
      <c r="A2571" s="323" t="str">
        <f>"60.0801"</f>
        <v>60.0801</v>
      </c>
      <c r="B2571" s="323" t="s">
        <v>4297</v>
      </c>
      <c r="C2571" s="324" t="s">
        <v>4269</v>
      </c>
      <c r="D2571" s="325" t="s">
        <v>9105</v>
      </c>
      <c r="E2571" s="326" t="s">
        <v>9106</v>
      </c>
    </row>
    <row r="2572" spans="1:5" s="327" customFormat="1" ht="14.5" customHeight="1" x14ac:dyDescent="0.35">
      <c r="A2572" s="323" t="str">
        <f>"60.0802"</f>
        <v>60.0802</v>
      </c>
      <c r="B2572" s="323" t="s">
        <v>4297</v>
      </c>
      <c r="C2572" s="324" t="s">
        <v>4269</v>
      </c>
      <c r="D2572" s="325" t="s">
        <v>9107</v>
      </c>
      <c r="E2572" s="326" t="s">
        <v>9108</v>
      </c>
    </row>
    <row r="2573" spans="1:5" s="327" customFormat="1" ht="14.5" customHeight="1" x14ac:dyDescent="0.35">
      <c r="A2573" s="323" t="str">
        <f>"60.0803"</f>
        <v>60.0803</v>
      </c>
      <c r="B2573" s="323" t="s">
        <v>4297</v>
      </c>
      <c r="C2573" s="324" t="s">
        <v>4269</v>
      </c>
      <c r="D2573" s="325" t="s">
        <v>9109</v>
      </c>
      <c r="E2573" s="326" t="s">
        <v>9110</v>
      </c>
    </row>
    <row r="2574" spans="1:5" s="327" customFormat="1" ht="14.5" customHeight="1" x14ac:dyDescent="0.35">
      <c r="A2574" s="323" t="str">
        <f>"60.0804"</f>
        <v>60.0804</v>
      </c>
      <c r="B2574" s="323" t="s">
        <v>4297</v>
      </c>
      <c r="C2574" s="324" t="s">
        <v>4269</v>
      </c>
      <c r="D2574" s="325" t="s">
        <v>9111</v>
      </c>
      <c r="E2574" s="326" t="s">
        <v>9112</v>
      </c>
    </row>
    <row r="2575" spans="1:5" s="327" customFormat="1" ht="14.5" customHeight="1" x14ac:dyDescent="0.35">
      <c r="A2575" s="323" t="str">
        <f>"60.0805"</f>
        <v>60.0805</v>
      </c>
      <c r="B2575" s="323" t="s">
        <v>4297</v>
      </c>
      <c r="C2575" s="324" t="s">
        <v>4269</v>
      </c>
      <c r="D2575" s="325" t="s">
        <v>9113</v>
      </c>
      <c r="E2575" s="326" t="s">
        <v>9114</v>
      </c>
    </row>
    <row r="2576" spans="1:5" s="327" customFormat="1" ht="14.5" customHeight="1" x14ac:dyDescent="0.35">
      <c r="A2576" s="323" t="str">
        <f>"60.0806"</f>
        <v>60.0806</v>
      </c>
      <c r="B2576" s="323" t="s">
        <v>4297</v>
      </c>
      <c r="C2576" s="324" t="s">
        <v>4269</v>
      </c>
      <c r="D2576" s="325" t="s">
        <v>9115</v>
      </c>
      <c r="E2576" s="326" t="s">
        <v>9116</v>
      </c>
    </row>
    <row r="2577" spans="1:5" s="327" customFormat="1" ht="14.5" customHeight="1" x14ac:dyDescent="0.35">
      <c r="A2577" s="323" t="str">
        <f>"60.0807"</f>
        <v>60.0807</v>
      </c>
      <c r="B2577" s="323" t="s">
        <v>4297</v>
      </c>
      <c r="C2577" s="324" t="s">
        <v>4269</v>
      </c>
      <c r="D2577" s="325" t="s">
        <v>9117</v>
      </c>
      <c r="E2577" s="326" t="s">
        <v>9118</v>
      </c>
    </row>
    <row r="2578" spans="1:5" s="327" customFormat="1" ht="14.5" customHeight="1" x14ac:dyDescent="0.35">
      <c r="A2578" s="323" t="str">
        <f>"60.0808"</f>
        <v>60.0808</v>
      </c>
      <c r="B2578" s="323" t="s">
        <v>4297</v>
      </c>
      <c r="C2578" s="324" t="s">
        <v>4269</v>
      </c>
      <c r="D2578" s="325" t="s">
        <v>9119</v>
      </c>
      <c r="E2578" s="326" t="s">
        <v>9120</v>
      </c>
    </row>
    <row r="2579" spans="1:5" s="327" customFormat="1" ht="14.5" customHeight="1" x14ac:dyDescent="0.35">
      <c r="A2579" s="323" t="str">
        <f>"60.0809"</f>
        <v>60.0809</v>
      </c>
      <c r="B2579" s="323" t="s">
        <v>4297</v>
      </c>
      <c r="C2579" s="324" t="s">
        <v>4269</v>
      </c>
      <c r="D2579" s="325" t="s">
        <v>9121</v>
      </c>
      <c r="E2579" s="326" t="s">
        <v>9122</v>
      </c>
    </row>
    <row r="2580" spans="1:5" s="327" customFormat="1" ht="14.5" customHeight="1" x14ac:dyDescent="0.35">
      <c r="A2580" s="323" t="str">
        <f>"60.0810"</f>
        <v>60.0810</v>
      </c>
      <c r="B2580" s="323" t="s">
        <v>4297</v>
      </c>
      <c r="C2580" s="324" t="s">
        <v>4269</v>
      </c>
      <c r="D2580" s="325" t="s">
        <v>9123</v>
      </c>
      <c r="E2580" s="326" t="s">
        <v>9124</v>
      </c>
    </row>
    <row r="2581" spans="1:5" s="327" customFormat="1" ht="14.5" customHeight="1" x14ac:dyDescent="0.35">
      <c r="A2581" s="323" t="str">
        <f>"60.0811"</f>
        <v>60.0811</v>
      </c>
      <c r="B2581" s="323" t="s">
        <v>4297</v>
      </c>
      <c r="C2581" s="324" t="s">
        <v>4269</v>
      </c>
      <c r="D2581" s="325" t="s">
        <v>9125</v>
      </c>
      <c r="E2581" s="326" t="s">
        <v>9126</v>
      </c>
    </row>
    <row r="2582" spans="1:5" s="327" customFormat="1" ht="14.5" customHeight="1" x14ac:dyDescent="0.35">
      <c r="A2582" s="323" t="str">
        <f>"60.0812"</f>
        <v>60.0812</v>
      </c>
      <c r="B2582" s="323" t="s">
        <v>4297</v>
      </c>
      <c r="C2582" s="324" t="s">
        <v>4269</v>
      </c>
      <c r="D2582" s="325" t="s">
        <v>9127</v>
      </c>
      <c r="E2582" s="326" t="s">
        <v>9128</v>
      </c>
    </row>
    <row r="2583" spans="1:5" s="327" customFormat="1" ht="14.5" customHeight="1" x14ac:dyDescent="0.35">
      <c r="A2583" s="323" t="str">
        <f>"60.0813"</f>
        <v>60.0813</v>
      </c>
      <c r="B2583" s="323" t="s">
        <v>4297</v>
      </c>
      <c r="C2583" s="324" t="s">
        <v>4269</v>
      </c>
      <c r="D2583" s="325" t="s">
        <v>9129</v>
      </c>
      <c r="E2583" s="326" t="s">
        <v>9130</v>
      </c>
    </row>
    <row r="2584" spans="1:5" s="327" customFormat="1" ht="14.5" customHeight="1" x14ac:dyDescent="0.35">
      <c r="A2584" s="323" t="str">
        <f>"60.0814"</f>
        <v>60.0814</v>
      </c>
      <c r="B2584" s="323" t="s">
        <v>4297</v>
      </c>
      <c r="C2584" s="324" t="s">
        <v>4269</v>
      </c>
      <c r="D2584" s="325" t="s">
        <v>9131</v>
      </c>
      <c r="E2584" s="326" t="s">
        <v>9132</v>
      </c>
    </row>
    <row r="2585" spans="1:5" s="327" customFormat="1" ht="14.5" customHeight="1" x14ac:dyDescent="0.35">
      <c r="A2585" s="323" t="str">
        <f>"60.0815"</f>
        <v>60.0815</v>
      </c>
      <c r="B2585" s="323" t="s">
        <v>4297</v>
      </c>
      <c r="C2585" s="324" t="s">
        <v>4269</v>
      </c>
      <c r="D2585" s="325" t="s">
        <v>9133</v>
      </c>
      <c r="E2585" s="326" t="s">
        <v>9134</v>
      </c>
    </row>
    <row r="2586" spans="1:5" s="327" customFormat="1" ht="14.5" customHeight="1" x14ac:dyDescent="0.35">
      <c r="A2586" s="323" t="str">
        <f>"60.0816"</f>
        <v>60.0816</v>
      </c>
      <c r="B2586" s="323" t="s">
        <v>4297</v>
      </c>
      <c r="C2586" s="324" t="s">
        <v>4269</v>
      </c>
      <c r="D2586" s="325" t="s">
        <v>9135</v>
      </c>
      <c r="E2586" s="326" t="s">
        <v>9136</v>
      </c>
    </row>
    <row r="2587" spans="1:5" s="327" customFormat="1" ht="14.5" customHeight="1" x14ac:dyDescent="0.35">
      <c r="A2587" s="323" t="str">
        <f>"60.0817"</f>
        <v>60.0817</v>
      </c>
      <c r="B2587" s="323" t="s">
        <v>4297</v>
      </c>
      <c r="C2587" s="324" t="s">
        <v>4269</v>
      </c>
      <c r="D2587" s="325" t="s">
        <v>9137</v>
      </c>
      <c r="E2587" s="326" t="s">
        <v>9138</v>
      </c>
    </row>
    <row r="2588" spans="1:5" s="327" customFormat="1" ht="14.5" customHeight="1" x14ac:dyDescent="0.35">
      <c r="A2588" s="323" t="str">
        <f>"60.0818"</f>
        <v>60.0818</v>
      </c>
      <c r="B2588" s="323" t="s">
        <v>4297</v>
      </c>
      <c r="C2588" s="324" t="s">
        <v>4269</v>
      </c>
      <c r="D2588" s="325" t="s">
        <v>9139</v>
      </c>
      <c r="E2588" s="326" t="s">
        <v>9140</v>
      </c>
    </row>
    <row r="2589" spans="1:5" s="327" customFormat="1" ht="14.5" customHeight="1" x14ac:dyDescent="0.35">
      <c r="A2589" s="323" t="str">
        <f>"60.0819"</f>
        <v>60.0819</v>
      </c>
      <c r="B2589" s="323" t="s">
        <v>4297</v>
      </c>
      <c r="C2589" s="324" t="s">
        <v>4269</v>
      </c>
      <c r="D2589" s="325" t="s">
        <v>9141</v>
      </c>
      <c r="E2589" s="326" t="s">
        <v>9142</v>
      </c>
    </row>
    <row r="2590" spans="1:5" s="327" customFormat="1" ht="14.5" customHeight="1" x14ac:dyDescent="0.35">
      <c r="A2590" s="323" t="str">
        <f>"60.0820"</f>
        <v>60.0820</v>
      </c>
      <c r="B2590" s="323" t="s">
        <v>4297</v>
      </c>
      <c r="C2590" s="324" t="s">
        <v>4269</v>
      </c>
      <c r="D2590" s="325" t="s">
        <v>9143</v>
      </c>
      <c r="E2590" s="326" t="s">
        <v>9144</v>
      </c>
    </row>
    <row r="2591" spans="1:5" s="327" customFormat="1" ht="14.5" customHeight="1" x14ac:dyDescent="0.35">
      <c r="A2591" s="323" t="str">
        <f>"60.0821"</f>
        <v>60.0821</v>
      </c>
      <c r="B2591" s="323" t="s">
        <v>4297</v>
      </c>
      <c r="C2591" s="324" t="s">
        <v>4269</v>
      </c>
      <c r="D2591" s="325" t="s">
        <v>9145</v>
      </c>
      <c r="E2591" s="326" t="s">
        <v>9146</v>
      </c>
    </row>
    <row r="2592" spans="1:5" s="327" customFormat="1" ht="14.5" customHeight="1" x14ac:dyDescent="0.35">
      <c r="A2592" s="323" t="str">
        <f>"60.0822"</f>
        <v>60.0822</v>
      </c>
      <c r="B2592" s="323" t="s">
        <v>4297</v>
      </c>
      <c r="C2592" s="324" t="s">
        <v>4269</v>
      </c>
      <c r="D2592" s="325" t="s">
        <v>9147</v>
      </c>
      <c r="E2592" s="326" t="s">
        <v>9148</v>
      </c>
    </row>
    <row r="2593" spans="1:5" s="327" customFormat="1" ht="14.5" customHeight="1" x14ac:dyDescent="0.35">
      <c r="A2593" s="323" t="str">
        <f>"60.0823"</f>
        <v>60.0823</v>
      </c>
      <c r="B2593" s="323" t="s">
        <v>4297</v>
      </c>
      <c r="C2593" s="324" t="s">
        <v>4269</v>
      </c>
      <c r="D2593" s="325" t="s">
        <v>9149</v>
      </c>
      <c r="E2593" s="326" t="s">
        <v>9150</v>
      </c>
    </row>
    <row r="2594" spans="1:5" s="327" customFormat="1" ht="14.5" customHeight="1" x14ac:dyDescent="0.35">
      <c r="A2594" s="323" t="str">
        <f>"60.0824"</f>
        <v>60.0824</v>
      </c>
      <c r="B2594" s="323" t="s">
        <v>4297</v>
      </c>
      <c r="C2594" s="324" t="s">
        <v>4269</v>
      </c>
      <c r="D2594" s="325" t="s">
        <v>9151</v>
      </c>
      <c r="E2594" s="326" t="s">
        <v>9152</v>
      </c>
    </row>
    <row r="2595" spans="1:5" s="327" customFormat="1" ht="14.5" customHeight="1" x14ac:dyDescent="0.35">
      <c r="A2595" s="323" t="str">
        <f>"60.0825"</f>
        <v>60.0825</v>
      </c>
      <c r="B2595" s="323" t="s">
        <v>4297</v>
      </c>
      <c r="C2595" s="324" t="s">
        <v>4269</v>
      </c>
      <c r="D2595" s="325" t="s">
        <v>9153</v>
      </c>
      <c r="E2595" s="326" t="s">
        <v>9154</v>
      </c>
    </row>
    <row r="2596" spans="1:5" s="327" customFormat="1" ht="14.5" customHeight="1" x14ac:dyDescent="0.35">
      <c r="A2596" s="323" t="str">
        <f>"60.0826"</f>
        <v>60.0826</v>
      </c>
      <c r="B2596" s="323" t="s">
        <v>4297</v>
      </c>
      <c r="C2596" s="324" t="s">
        <v>4269</v>
      </c>
      <c r="D2596" s="325" t="s">
        <v>9155</v>
      </c>
      <c r="E2596" s="326" t="s">
        <v>9156</v>
      </c>
    </row>
    <row r="2597" spans="1:5" s="327" customFormat="1" ht="14.5" customHeight="1" x14ac:dyDescent="0.35">
      <c r="A2597" s="323" t="str">
        <f>"60.0827"</f>
        <v>60.0827</v>
      </c>
      <c r="B2597" s="323" t="s">
        <v>4297</v>
      </c>
      <c r="C2597" s="324" t="s">
        <v>4269</v>
      </c>
      <c r="D2597" s="325" t="s">
        <v>9157</v>
      </c>
      <c r="E2597" s="326" t="s">
        <v>9158</v>
      </c>
    </row>
    <row r="2598" spans="1:5" s="327" customFormat="1" ht="14.5" customHeight="1" x14ac:dyDescent="0.35">
      <c r="A2598" s="323" t="str">
        <f>"60.0828"</f>
        <v>60.0828</v>
      </c>
      <c r="B2598" s="323" t="s">
        <v>4297</v>
      </c>
      <c r="C2598" s="324" t="s">
        <v>4269</v>
      </c>
      <c r="D2598" s="325" t="s">
        <v>9159</v>
      </c>
      <c r="E2598" s="326" t="s">
        <v>9160</v>
      </c>
    </row>
    <row r="2599" spans="1:5" s="327" customFormat="1" ht="14.5" customHeight="1" x14ac:dyDescent="0.35">
      <c r="A2599" s="323" t="str">
        <f>"60.0829"</f>
        <v>60.0829</v>
      </c>
      <c r="B2599" s="323" t="s">
        <v>4297</v>
      </c>
      <c r="C2599" s="324" t="s">
        <v>4269</v>
      </c>
      <c r="D2599" s="325" t="s">
        <v>9161</v>
      </c>
      <c r="E2599" s="326" t="s">
        <v>9162</v>
      </c>
    </row>
    <row r="2600" spans="1:5" s="327" customFormat="1" ht="14.5" customHeight="1" x14ac:dyDescent="0.35">
      <c r="A2600" s="323" t="str">
        <f>"60.0830"</f>
        <v>60.0830</v>
      </c>
      <c r="B2600" s="323" t="s">
        <v>4297</v>
      </c>
      <c r="C2600" s="324" t="s">
        <v>4269</v>
      </c>
      <c r="D2600" s="325" t="s">
        <v>9163</v>
      </c>
      <c r="E2600" s="326" t="s">
        <v>9164</v>
      </c>
    </row>
    <row r="2601" spans="1:5" s="327" customFormat="1" ht="14.5" customHeight="1" x14ac:dyDescent="0.35">
      <c r="A2601" s="323" t="str">
        <f>"60.0831"</f>
        <v>60.0831</v>
      </c>
      <c r="B2601" s="323" t="s">
        <v>4297</v>
      </c>
      <c r="C2601" s="324" t="s">
        <v>4269</v>
      </c>
      <c r="D2601" s="325" t="s">
        <v>9165</v>
      </c>
      <c r="E2601" s="326" t="s">
        <v>9166</v>
      </c>
    </row>
    <row r="2602" spans="1:5" s="327" customFormat="1" ht="14.5" customHeight="1" x14ac:dyDescent="0.35">
      <c r="A2602" s="323" t="str">
        <f>"60.0832"</f>
        <v>60.0832</v>
      </c>
      <c r="B2602" s="323" t="s">
        <v>4297</v>
      </c>
      <c r="C2602" s="324" t="s">
        <v>4269</v>
      </c>
      <c r="D2602" s="325" t="s">
        <v>9167</v>
      </c>
      <c r="E2602" s="326" t="s">
        <v>9168</v>
      </c>
    </row>
    <row r="2603" spans="1:5" s="327" customFormat="1" ht="14.5" customHeight="1" x14ac:dyDescent="0.35">
      <c r="A2603" s="323" t="str">
        <f>"60.0899"</f>
        <v>60.0899</v>
      </c>
      <c r="B2603" s="323" t="s">
        <v>4297</v>
      </c>
      <c r="C2603" s="324" t="s">
        <v>4269</v>
      </c>
      <c r="D2603" s="325" t="s">
        <v>9169</v>
      </c>
      <c r="E2603" s="326" t="s">
        <v>9170</v>
      </c>
    </row>
    <row r="2604" spans="1:5" s="327" customFormat="1" ht="14.5" customHeight="1" x14ac:dyDescent="0.35">
      <c r="A2604" s="323" t="str">
        <f>"60.09"</f>
        <v>60.09</v>
      </c>
      <c r="B2604" s="323" t="s">
        <v>4297</v>
      </c>
      <c r="C2604" s="324" t="s">
        <v>4269</v>
      </c>
      <c r="D2604" s="325" t="s">
        <v>9171</v>
      </c>
      <c r="E2604" s="326" t="s">
        <v>9172</v>
      </c>
    </row>
    <row r="2605" spans="1:5" s="327" customFormat="1" ht="14.5" customHeight="1" x14ac:dyDescent="0.35">
      <c r="A2605" s="323" t="str">
        <f>"60.0901"</f>
        <v>60.0901</v>
      </c>
      <c r="B2605" s="323" t="s">
        <v>4297</v>
      </c>
      <c r="C2605" s="324" t="s">
        <v>4269</v>
      </c>
      <c r="D2605" s="325" t="s">
        <v>9173</v>
      </c>
      <c r="E2605" s="326" t="s">
        <v>9174</v>
      </c>
    </row>
    <row r="2606" spans="1:5" s="327" customFormat="1" ht="14.5" customHeight="1" x14ac:dyDescent="0.35">
      <c r="A2606" s="323" t="str">
        <f>"60.0902"</f>
        <v>60.0902</v>
      </c>
      <c r="B2606" s="323" t="s">
        <v>4297</v>
      </c>
      <c r="C2606" s="324" t="s">
        <v>4269</v>
      </c>
      <c r="D2606" s="325" t="s">
        <v>9175</v>
      </c>
      <c r="E2606" s="326" t="s">
        <v>9176</v>
      </c>
    </row>
    <row r="2607" spans="1:5" s="327" customFormat="1" ht="14.5" customHeight="1" x14ac:dyDescent="0.35">
      <c r="A2607" s="323" t="str">
        <f>"60.0903"</f>
        <v>60.0903</v>
      </c>
      <c r="B2607" s="323" t="s">
        <v>4297</v>
      </c>
      <c r="C2607" s="324" t="s">
        <v>4269</v>
      </c>
      <c r="D2607" s="325" t="s">
        <v>9177</v>
      </c>
      <c r="E2607" s="326" t="s">
        <v>9178</v>
      </c>
    </row>
    <row r="2608" spans="1:5" s="327" customFormat="1" ht="14.5" customHeight="1" x14ac:dyDescent="0.35">
      <c r="A2608" s="323" t="str">
        <f>"60.0904"</f>
        <v>60.0904</v>
      </c>
      <c r="B2608" s="323" t="s">
        <v>4297</v>
      </c>
      <c r="C2608" s="324" t="s">
        <v>4269</v>
      </c>
      <c r="D2608" s="325" t="s">
        <v>9179</v>
      </c>
      <c r="E2608" s="326" t="s">
        <v>9180</v>
      </c>
    </row>
    <row r="2609" spans="1:5" s="327" customFormat="1" ht="14.5" customHeight="1" x14ac:dyDescent="0.35">
      <c r="A2609" s="323" t="str">
        <f>"60.0905"</f>
        <v>60.0905</v>
      </c>
      <c r="B2609" s="323" t="s">
        <v>4297</v>
      </c>
      <c r="C2609" s="324" t="s">
        <v>4269</v>
      </c>
      <c r="D2609" s="325" t="s">
        <v>9181</v>
      </c>
      <c r="E2609" s="326" t="s">
        <v>9182</v>
      </c>
    </row>
    <row r="2610" spans="1:5" s="327" customFormat="1" ht="14.5" customHeight="1" x14ac:dyDescent="0.35">
      <c r="A2610" s="323" t="str">
        <f>"60.0906"</f>
        <v>60.0906</v>
      </c>
      <c r="B2610" s="323" t="s">
        <v>4297</v>
      </c>
      <c r="C2610" s="324" t="s">
        <v>4269</v>
      </c>
      <c r="D2610" s="325" t="s">
        <v>9183</v>
      </c>
      <c r="E2610" s="326" t="s">
        <v>9184</v>
      </c>
    </row>
    <row r="2611" spans="1:5" s="327" customFormat="1" ht="14.5" customHeight="1" x14ac:dyDescent="0.35">
      <c r="A2611" s="323" t="str">
        <f>"60.0907"</f>
        <v>60.0907</v>
      </c>
      <c r="B2611" s="323" t="s">
        <v>4297</v>
      </c>
      <c r="C2611" s="324" t="s">
        <v>4269</v>
      </c>
      <c r="D2611" s="325" t="s">
        <v>9185</v>
      </c>
      <c r="E2611" s="326" t="s">
        <v>9186</v>
      </c>
    </row>
    <row r="2612" spans="1:5" s="327" customFormat="1" ht="14.5" customHeight="1" x14ac:dyDescent="0.35">
      <c r="A2612" s="323" t="str">
        <f>"60.0908"</f>
        <v>60.0908</v>
      </c>
      <c r="B2612" s="323" t="s">
        <v>4297</v>
      </c>
      <c r="C2612" s="324" t="s">
        <v>4269</v>
      </c>
      <c r="D2612" s="325" t="s">
        <v>9187</v>
      </c>
      <c r="E2612" s="326" t="s">
        <v>9188</v>
      </c>
    </row>
    <row r="2613" spans="1:5" s="327" customFormat="1" ht="14.5" customHeight="1" x14ac:dyDescent="0.35">
      <c r="A2613" s="323" t="str">
        <f>"60.0909"</f>
        <v>60.0909</v>
      </c>
      <c r="B2613" s="323" t="s">
        <v>4297</v>
      </c>
      <c r="C2613" s="324" t="s">
        <v>4269</v>
      </c>
      <c r="D2613" s="325" t="s">
        <v>9189</v>
      </c>
      <c r="E2613" s="326" t="s">
        <v>9190</v>
      </c>
    </row>
    <row r="2614" spans="1:5" s="327" customFormat="1" ht="14.5" customHeight="1" x14ac:dyDescent="0.35">
      <c r="A2614" s="323" t="str">
        <f>"60.0910"</f>
        <v>60.0910</v>
      </c>
      <c r="B2614" s="323" t="s">
        <v>4297</v>
      </c>
      <c r="C2614" s="324" t="s">
        <v>4269</v>
      </c>
      <c r="D2614" s="325" t="s">
        <v>9191</v>
      </c>
      <c r="E2614" s="326" t="s">
        <v>9192</v>
      </c>
    </row>
    <row r="2615" spans="1:5" s="327" customFormat="1" ht="14.5" customHeight="1" x14ac:dyDescent="0.35">
      <c r="A2615" s="323" t="str">
        <f>"60.0911"</f>
        <v>60.0911</v>
      </c>
      <c r="B2615" s="323" t="s">
        <v>4297</v>
      </c>
      <c r="C2615" s="324" t="s">
        <v>4269</v>
      </c>
      <c r="D2615" s="325" t="s">
        <v>9193</v>
      </c>
      <c r="E2615" s="326" t="s">
        <v>9194</v>
      </c>
    </row>
    <row r="2616" spans="1:5" s="327" customFormat="1" ht="14.5" customHeight="1" x14ac:dyDescent="0.35">
      <c r="A2616" s="323" t="str">
        <f>"60.0912"</f>
        <v>60.0912</v>
      </c>
      <c r="B2616" s="323" t="s">
        <v>4297</v>
      </c>
      <c r="C2616" s="324" t="s">
        <v>4269</v>
      </c>
      <c r="D2616" s="325" t="s">
        <v>9195</v>
      </c>
      <c r="E2616" s="326" t="s">
        <v>9196</v>
      </c>
    </row>
    <row r="2617" spans="1:5" s="327" customFormat="1" ht="14.5" customHeight="1" x14ac:dyDescent="0.35">
      <c r="A2617" s="323" t="str">
        <f>"60.0913"</f>
        <v>60.0913</v>
      </c>
      <c r="B2617" s="323" t="s">
        <v>4297</v>
      </c>
      <c r="C2617" s="324" t="s">
        <v>4269</v>
      </c>
      <c r="D2617" s="325" t="s">
        <v>9197</v>
      </c>
      <c r="E2617" s="326" t="s">
        <v>9198</v>
      </c>
    </row>
    <row r="2618" spans="1:5" s="327" customFormat="1" ht="14.5" customHeight="1" x14ac:dyDescent="0.35">
      <c r="A2618" s="323" t="str">
        <f>"60.0914"</f>
        <v>60.0914</v>
      </c>
      <c r="B2618" s="323" t="s">
        <v>4297</v>
      </c>
      <c r="C2618" s="324" t="s">
        <v>4269</v>
      </c>
      <c r="D2618" s="325" t="s">
        <v>9199</v>
      </c>
      <c r="E2618" s="326" t="s">
        <v>9200</v>
      </c>
    </row>
    <row r="2619" spans="1:5" s="327" customFormat="1" ht="14.5" customHeight="1" x14ac:dyDescent="0.35">
      <c r="A2619" s="323" t="str">
        <f>"60.0915"</f>
        <v>60.0915</v>
      </c>
      <c r="B2619" s="323" t="s">
        <v>4297</v>
      </c>
      <c r="C2619" s="324" t="s">
        <v>4269</v>
      </c>
      <c r="D2619" s="325" t="s">
        <v>9201</v>
      </c>
      <c r="E2619" s="326" t="s">
        <v>9202</v>
      </c>
    </row>
    <row r="2620" spans="1:5" s="327" customFormat="1" ht="14.5" customHeight="1" x14ac:dyDescent="0.35">
      <c r="A2620" s="323" t="str">
        <f>"60.0916"</f>
        <v>60.0916</v>
      </c>
      <c r="B2620" s="323" t="s">
        <v>4297</v>
      </c>
      <c r="C2620" s="324" t="s">
        <v>4269</v>
      </c>
      <c r="D2620" s="325" t="s">
        <v>9203</v>
      </c>
      <c r="E2620" s="326" t="s">
        <v>9204</v>
      </c>
    </row>
    <row r="2621" spans="1:5" s="327" customFormat="1" ht="14.5" customHeight="1" x14ac:dyDescent="0.35">
      <c r="A2621" s="323" t="str">
        <f>"60.0917"</f>
        <v>60.0917</v>
      </c>
      <c r="B2621" s="323" t="s">
        <v>4297</v>
      </c>
      <c r="C2621" s="324" t="s">
        <v>4269</v>
      </c>
      <c r="D2621" s="325" t="s">
        <v>9205</v>
      </c>
      <c r="E2621" s="326" t="s">
        <v>9206</v>
      </c>
    </row>
    <row r="2622" spans="1:5" s="327" customFormat="1" ht="14.5" customHeight="1" x14ac:dyDescent="0.35">
      <c r="A2622" s="323" t="str">
        <f>"60.0918"</f>
        <v>60.0918</v>
      </c>
      <c r="B2622" s="323" t="s">
        <v>4297</v>
      </c>
      <c r="C2622" s="324" t="s">
        <v>4269</v>
      </c>
      <c r="D2622" s="325" t="s">
        <v>9207</v>
      </c>
      <c r="E2622" s="326" t="s">
        <v>9208</v>
      </c>
    </row>
    <row r="2623" spans="1:5" s="327" customFormat="1" ht="14.5" customHeight="1" x14ac:dyDescent="0.35">
      <c r="A2623" s="323" t="str">
        <f>"60.0919"</f>
        <v>60.0919</v>
      </c>
      <c r="B2623" s="323" t="s">
        <v>4297</v>
      </c>
      <c r="C2623" s="324" t="s">
        <v>4269</v>
      </c>
      <c r="D2623" s="325" t="s">
        <v>9209</v>
      </c>
      <c r="E2623" s="326" t="s">
        <v>9210</v>
      </c>
    </row>
    <row r="2624" spans="1:5" s="327" customFormat="1" ht="14.5" customHeight="1" x14ac:dyDescent="0.35">
      <c r="A2624" s="323" t="str">
        <f>"60.0920"</f>
        <v>60.0920</v>
      </c>
      <c r="B2624" s="323" t="s">
        <v>4297</v>
      </c>
      <c r="C2624" s="324" t="s">
        <v>4269</v>
      </c>
      <c r="D2624" s="325" t="s">
        <v>9211</v>
      </c>
      <c r="E2624" s="326" t="s">
        <v>9212</v>
      </c>
    </row>
    <row r="2625" spans="1:5" s="327" customFormat="1" ht="14.5" customHeight="1" x14ac:dyDescent="0.35">
      <c r="A2625" s="323" t="str">
        <f>"60.0999"</f>
        <v>60.0999</v>
      </c>
      <c r="B2625" s="323" t="s">
        <v>4297</v>
      </c>
      <c r="C2625" s="324" t="s">
        <v>4269</v>
      </c>
      <c r="D2625" s="325" t="s">
        <v>9213</v>
      </c>
      <c r="E2625" s="326" t="s">
        <v>9214</v>
      </c>
    </row>
    <row r="2626" spans="1:5" s="327" customFormat="1" ht="14.5" customHeight="1" x14ac:dyDescent="0.35">
      <c r="A2626" s="323" t="str">
        <f>"60.99"</f>
        <v>60.99</v>
      </c>
      <c r="B2626" s="323" t="s">
        <v>4297</v>
      </c>
      <c r="C2626" s="324" t="s">
        <v>4269</v>
      </c>
      <c r="D2626" s="325" t="s">
        <v>9215</v>
      </c>
      <c r="E2626" s="326" t="s">
        <v>9216</v>
      </c>
    </row>
    <row r="2627" spans="1:5" s="327" customFormat="1" ht="14.5" customHeight="1" x14ac:dyDescent="0.35">
      <c r="A2627" s="323" t="str">
        <f>"60.9999"</f>
        <v>60.9999</v>
      </c>
      <c r="B2627" s="323" t="s">
        <v>4297</v>
      </c>
      <c r="C2627" s="324" t="s">
        <v>4269</v>
      </c>
      <c r="D2627" s="325" t="s">
        <v>9215</v>
      </c>
      <c r="E2627" s="326" t="s">
        <v>9217</v>
      </c>
    </row>
    <row r="2628" spans="1:5" s="327" customFormat="1" ht="14.5" customHeight="1" x14ac:dyDescent="0.35">
      <c r="A2628" s="323" t="str">
        <f>"61"</f>
        <v>61</v>
      </c>
      <c r="B2628" s="323" t="s">
        <v>4297</v>
      </c>
      <c r="C2628" s="324" t="s">
        <v>4269</v>
      </c>
      <c r="D2628" s="325" t="s">
        <v>9218</v>
      </c>
      <c r="E2628" s="326" t="s">
        <v>9219</v>
      </c>
    </row>
    <row r="2629" spans="1:5" s="327" customFormat="1" ht="14.5" customHeight="1" x14ac:dyDescent="0.35">
      <c r="A2629" s="323" t="str">
        <f>"61.01"</f>
        <v>61.01</v>
      </c>
      <c r="B2629" s="323" t="s">
        <v>4297</v>
      </c>
      <c r="C2629" s="324" t="s">
        <v>4269</v>
      </c>
      <c r="D2629" s="325" t="s">
        <v>9220</v>
      </c>
      <c r="E2629" s="326" t="s">
        <v>9221</v>
      </c>
    </row>
    <row r="2630" spans="1:5" s="327" customFormat="1" ht="14.5" customHeight="1" x14ac:dyDescent="0.35">
      <c r="A2630" s="323" t="str">
        <f>"61.0101"</f>
        <v>61.0101</v>
      </c>
      <c r="B2630" s="323" t="s">
        <v>4297</v>
      </c>
      <c r="C2630" s="324" t="s">
        <v>4269</v>
      </c>
      <c r="D2630" s="325" t="s">
        <v>9222</v>
      </c>
      <c r="E2630" s="326" t="s">
        <v>9223</v>
      </c>
    </row>
    <row r="2631" spans="1:5" s="327" customFormat="1" ht="14.5" customHeight="1" x14ac:dyDescent="0.35">
      <c r="A2631" s="323" t="str">
        <f>"61.0102"</f>
        <v>61.0102</v>
      </c>
      <c r="B2631" s="323" t="s">
        <v>4297</v>
      </c>
      <c r="C2631" s="324" t="s">
        <v>4269</v>
      </c>
      <c r="D2631" s="325" t="s">
        <v>9224</v>
      </c>
      <c r="E2631" s="326" t="s">
        <v>9225</v>
      </c>
    </row>
    <row r="2632" spans="1:5" s="327" customFormat="1" ht="14.5" customHeight="1" x14ac:dyDescent="0.35">
      <c r="A2632" s="323" t="str">
        <f>"61.0103"</f>
        <v>61.0103</v>
      </c>
      <c r="B2632" s="323" t="s">
        <v>4297</v>
      </c>
      <c r="C2632" s="324" t="s">
        <v>4269</v>
      </c>
      <c r="D2632" s="325" t="s">
        <v>9226</v>
      </c>
      <c r="E2632" s="326" t="s">
        <v>9227</v>
      </c>
    </row>
    <row r="2633" spans="1:5" s="327" customFormat="1" ht="14.5" customHeight="1" x14ac:dyDescent="0.35">
      <c r="A2633" s="323" t="str">
        <f>"61.0104"</f>
        <v>61.0104</v>
      </c>
      <c r="B2633" s="323" t="s">
        <v>4297</v>
      </c>
      <c r="C2633" s="324" t="s">
        <v>4269</v>
      </c>
      <c r="D2633" s="325" t="s">
        <v>9228</v>
      </c>
      <c r="E2633" s="326" t="s">
        <v>9229</v>
      </c>
    </row>
    <row r="2634" spans="1:5" s="327" customFormat="1" ht="14.5" customHeight="1" x14ac:dyDescent="0.35">
      <c r="A2634" s="323" t="str">
        <f>"61.0105"</f>
        <v>61.0105</v>
      </c>
      <c r="B2634" s="323" t="s">
        <v>4297</v>
      </c>
      <c r="C2634" s="324" t="s">
        <v>4269</v>
      </c>
      <c r="D2634" s="325" t="s">
        <v>9230</v>
      </c>
      <c r="E2634" s="326" t="s">
        <v>9231</v>
      </c>
    </row>
    <row r="2635" spans="1:5" s="327" customFormat="1" ht="14.5" customHeight="1" x14ac:dyDescent="0.35">
      <c r="A2635" s="323" t="str">
        <f>"61.0106"</f>
        <v>61.0106</v>
      </c>
      <c r="B2635" s="323" t="s">
        <v>4297</v>
      </c>
      <c r="C2635" s="324" t="s">
        <v>4269</v>
      </c>
      <c r="D2635" s="325" t="s">
        <v>9232</v>
      </c>
      <c r="E2635" s="326" t="s">
        <v>9233</v>
      </c>
    </row>
    <row r="2636" spans="1:5" s="327" customFormat="1" ht="14.5" customHeight="1" x14ac:dyDescent="0.35">
      <c r="A2636" s="323" t="str">
        <f>"61.0107"</f>
        <v>61.0107</v>
      </c>
      <c r="B2636" s="323" t="s">
        <v>4297</v>
      </c>
      <c r="C2636" s="324" t="s">
        <v>4269</v>
      </c>
      <c r="D2636" s="325" t="s">
        <v>9234</v>
      </c>
      <c r="E2636" s="326" t="s">
        <v>9235</v>
      </c>
    </row>
    <row r="2637" spans="1:5" s="327" customFormat="1" ht="14.5" customHeight="1" x14ac:dyDescent="0.35">
      <c r="A2637" s="323" t="str">
        <f>"61.0108"</f>
        <v>61.0108</v>
      </c>
      <c r="B2637" s="323" t="s">
        <v>4297</v>
      </c>
      <c r="C2637" s="324" t="s">
        <v>4269</v>
      </c>
      <c r="D2637" s="325" t="s">
        <v>9236</v>
      </c>
      <c r="E2637" s="326" t="s">
        <v>9237</v>
      </c>
    </row>
    <row r="2638" spans="1:5" s="327" customFormat="1" ht="14.5" customHeight="1" x14ac:dyDescent="0.35">
      <c r="A2638" s="323" t="str">
        <f>"61.0109"</f>
        <v>61.0109</v>
      </c>
      <c r="B2638" s="323" t="s">
        <v>4297</v>
      </c>
      <c r="C2638" s="324" t="s">
        <v>4269</v>
      </c>
      <c r="D2638" s="325" t="s">
        <v>9238</v>
      </c>
      <c r="E2638" s="326" t="s">
        <v>9239</v>
      </c>
    </row>
    <row r="2639" spans="1:5" s="327" customFormat="1" ht="14.5" customHeight="1" x14ac:dyDescent="0.35">
      <c r="A2639" s="323" t="str">
        <f>"61.0110"</f>
        <v>61.0110</v>
      </c>
      <c r="B2639" s="323" t="s">
        <v>4297</v>
      </c>
      <c r="C2639" s="324" t="s">
        <v>4269</v>
      </c>
      <c r="D2639" s="325" t="s">
        <v>9240</v>
      </c>
      <c r="E2639" s="326" t="s">
        <v>9241</v>
      </c>
    </row>
    <row r="2640" spans="1:5" s="327" customFormat="1" ht="14.5" customHeight="1" x14ac:dyDescent="0.35">
      <c r="A2640" s="323" t="str">
        <f>"61.0111"</f>
        <v>61.0111</v>
      </c>
      <c r="B2640" s="323" t="s">
        <v>4297</v>
      </c>
      <c r="C2640" s="324" t="s">
        <v>4269</v>
      </c>
      <c r="D2640" s="325" t="s">
        <v>9242</v>
      </c>
      <c r="E2640" s="326" t="s">
        <v>9243</v>
      </c>
    </row>
    <row r="2641" spans="1:5" s="327" customFormat="1" ht="14.5" customHeight="1" x14ac:dyDescent="0.35">
      <c r="A2641" s="323" t="str">
        <f>"61.0112"</f>
        <v>61.0112</v>
      </c>
      <c r="B2641" s="323" t="s">
        <v>4297</v>
      </c>
      <c r="C2641" s="324" t="s">
        <v>4269</v>
      </c>
      <c r="D2641" s="325" t="s">
        <v>9244</v>
      </c>
      <c r="E2641" s="326" t="s">
        <v>9245</v>
      </c>
    </row>
    <row r="2642" spans="1:5" s="327" customFormat="1" ht="14.5" customHeight="1" x14ac:dyDescent="0.35">
      <c r="A2642" s="323" t="str">
        <f>"61.0113"</f>
        <v>61.0113</v>
      </c>
      <c r="B2642" s="323" t="s">
        <v>4297</v>
      </c>
      <c r="C2642" s="324" t="s">
        <v>4269</v>
      </c>
      <c r="D2642" s="325" t="s">
        <v>9246</v>
      </c>
      <c r="E2642" s="326" t="s">
        <v>9247</v>
      </c>
    </row>
    <row r="2643" spans="1:5" s="327" customFormat="1" ht="14.5" customHeight="1" x14ac:dyDescent="0.35">
      <c r="A2643" s="323" t="str">
        <f>"61.0114"</f>
        <v>61.0114</v>
      </c>
      <c r="B2643" s="323" t="s">
        <v>4297</v>
      </c>
      <c r="C2643" s="324" t="s">
        <v>4269</v>
      </c>
      <c r="D2643" s="325" t="s">
        <v>9248</v>
      </c>
      <c r="E2643" s="326" t="s">
        <v>9249</v>
      </c>
    </row>
    <row r="2644" spans="1:5" s="327" customFormat="1" ht="14.5" customHeight="1" x14ac:dyDescent="0.35">
      <c r="A2644" s="323" t="str">
        <f>"61.0115"</f>
        <v>61.0115</v>
      </c>
      <c r="B2644" s="323" t="s">
        <v>4297</v>
      </c>
      <c r="C2644" s="324" t="s">
        <v>4269</v>
      </c>
      <c r="D2644" s="325" t="s">
        <v>9250</v>
      </c>
      <c r="E2644" s="326" t="s">
        <v>9251</v>
      </c>
    </row>
    <row r="2645" spans="1:5" s="327" customFormat="1" ht="14.5" customHeight="1" x14ac:dyDescent="0.35">
      <c r="A2645" s="323" t="str">
        <f>"61.0116"</f>
        <v>61.0116</v>
      </c>
      <c r="B2645" s="323" t="s">
        <v>4297</v>
      </c>
      <c r="C2645" s="324" t="s">
        <v>4269</v>
      </c>
      <c r="D2645" s="325" t="s">
        <v>9252</v>
      </c>
      <c r="E2645" s="326" t="s">
        <v>9253</v>
      </c>
    </row>
    <row r="2646" spans="1:5" s="327" customFormat="1" ht="14.5" customHeight="1" x14ac:dyDescent="0.35">
      <c r="A2646" s="323" t="str">
        <f>"61.0117"</f>
        <v>61.0117</v>
      </c>
      <c r="B2646" s="323" t="s">
        <v>4297</v>
      </c>
      <c r="C2646" s="324" t="s">
        <v>4269</v>
      </c>
      <c r="D2646" s="325" t="s">
        <v>9254</v>
      </c>
      <c r="E2646" s="326" t="s">
        <v>9255</v>
      </c>
    </row>
    <row r="2647" spans="1:5" s="327" customFormat="1" ht="14.5" customHeight="1" x14ac:dyDescent="0.35">
      <c r="A2647" s="323" t="str">
        <f>"61.0118"</f>
        <v>61.0118</v>
      </c>
      <c r="B2647" s="323" t="s">
        <v>4297</v>
      </c>
      <c r="C2647" s="324" t="s">
        <v>4269</v>
      </c>
      <c r="D2647" s="325" t="s">
        <v>9256</v>
      </c>
      <c r="E2647" s="326" t="s">
        <v>9257</v>
      </c>
    </row>
    <row r="2648" spans="1:5" s="327" customFormat="1" ht="14.5" customHeight="1" x14ac:dyDescent="0.35">
      <c r="A2648" s="323" t="str">
        <f>"61.0119"</f>
        <v>61.0119</v>
      </c>
      <c r="B2648" s="323" t="s">
        <v>4297</v>
      </c>
      <c r="C2648" s="324" t="s">
        <v>4269</v>
      </c>
      <c r="D2648" s="325" t="s">
        <v>9258</v>
      </c>
      <c r="E2648" s="326" t="s">
        <v>9259</v>
      </c>
    </row>
    <row r="2649" spans="1:5" s="327" customFormat="1" ht="14.5" customHeight="1" x14ac:dyDescent="0.35">
      <c r="A2649" s="323" t="str">
        <f>"61.0120"</f>
        <v>61.0120</v>
      </c>
      <c r="B2649" s="323" t="s">
        <v>4297</v>
      </c>
      <c r="C2649" s="324" t="s">
        <v>4269</v>
      </c>
      <c r="D2649" s="325" t="s">
        <v>9260</v>
      </c>
      <c r="E2649" s="326" t="s">
        <v>9261</v>
      </c>
    </row>
    <row r="2650" spans="1:5" s="327" customFormat="1" ht="14.5" customHeight="1" x14ac:dyDescent="0.35">
      <c r="A2650" s="323" t="str">
        <f>"61.0121"</f>
        <v>61.0121</v>
      </c>
      <c r="B2650" s="323" t="s">
        <v>4297</v>
      </c>
      <c r="C2650" s="324" t="s">
        <v>4269</v>
      </c>
      <c r="D2650" s="325" t="s">
        <v>9262</v>
      </c>
      <c r="E2650" s="326" t="s">
        <v>9263</v>
      </c>
    </row>
    <row r="2651" spans="1:5" s="327" customFormat="1" ht="14.5" customHeight="1" x14ac:dyDescent="0.35">
      <c r="A2651" s="323" t="str">
        <f>"61.0122"</f>
        <v>61.0122</v>
      </c>
      <c r="B2651" s="323" t="s">
        <v>4297</v>
      </c>
      <c r="C2651" s="324" t="s">
        <v>4269</v>
      </c>
      <c r="D2651" s="325" t="s">
        <v>9264</v>
      </c>
      <c r="E2651" s="326" t="s">
        <v>9265</v>
      </c>
    </row>
    <row r="2652" spans="1:5" s="327" customFormat="1" ht="14.5" customHeight="1" x14ac:dyDescent="0.35">
      <c r="A2652" s="323" t="str">
        <f>"61.0123"</f>
        <v>61.0123</v>
      </c>
      <c r="B2652" s="323" t="s">
        <v>4297</v>
      </c>
      <c r="C2652" s="324" t="s">
        <v>4269</v>
      </c>
      <c r="D2652" s="325" t="s">
        <v>9266</v>
      </c>
      <c r="E2652" s="326" t="s">
        <v>9267</v>
      </c>
    </row>
    <row r="2653" spans="1:5" s="327" customFormat="1" ht="14.5" customHeight="1" x14ac:dyDescent="0.35">
      <c r="A2653" s="323" t="str">
        <f>"61.0124"</f>
        <v>61.0124</v>
      </c>
      <c r="B2653" s="323" t="s">
        <v>4297</v>
      </c>
      <c r="C2653" s="324" t="s">
        <v>4269</v>
      </c>
      <c r="D2653" s="325" t="s">
        <v>9268</v>
      </c>
      <c r="E2653" s="326" t="s">
        <v>9269</v>
      </c>
    </row>
    <row r="2654" spans="1:5" s="327" customFormat="1" ht="14.5" customHeight="1" x14ac:dyDescent="0.35">
      <c r="A2654" s="323" t="str">
        <f>"61.0125"</f>
        <v>61.0125</v>
      </c>
      <c r="B2654" s="323" t="s">
        <v>4297</v>
      </c>
      <c r="C2654" s="324" t="s">
        <v>4269</v>
      </c>
      <c r="D2654" s="325" t="s">
        <v>9270</v>
      </c>
      <c r="E2654" s="326" t="s">
        <v>9271</v>
      </c>
    </row>
    <row r="2655" spans="1:5" s="327" customFormat="1" ht="14.5" customHeight="1" x14ac:dyDescent="0.35">
      <c r="A2655" s="323" t="str">
        <f>"61.0199"</f>
        <v>61.0199</v>
      </c>
      <c r="B2655" s="323" t="s">
        <v>4297</v>
      </c>
      <c r="C2655" s="324" t="s">
        <v>4269</v>
      </c>
      <c r="D2655" s="325" t="s">
        <v>9272</v>
      </c>
      <c r="E2655" s="326" t="s">
        <v>9273</v>
      </c>
    </row>
    <row r="2656" spans="1:5" s="327" customFormat="1" ht="14.5" customHeight="1" x14ac:dyDescent="0.35">
      <c r="A2656" s="323" t="str">
        <f>"61.02"</f>
        <v>61.02</v>
      </c>
      <c r="B2656" s="323" t="s">
        <v>4297</v>
      </c>
      <c r="C2656" s="324" t="s">
        <v>4269</v>
      </c>
      <c r="D2656" s="325" t="s">
        <v>9274</v>
      </c>
      <c r="E2656" s="326" t="s">
        <v>9275</v>
      </c>
    </row>
    <row r="2657" spans="1:5" s="327" customFormat="1" ht="14.5" customHeight="1" x14ac:dyDescent="0.35">
      <c r="A2657" s="323" t="str">
        <f>"61.0202"</f>
        <v>61.0202</v>
      </c>
      <c r="B2657" s="323" t="s">
        <v>4403</v>
      </c>
      <c r="C2657" s="324" t="s">
        <v>4266</v>
      </c>
      <c r="D2657" s="325" t="s">
        <v>9276</v>
      </c>
      <c r="E2657" s="326" t="s">
        <v>9277</v>
      </c>
    </row>
    <row r="2658" spans="1:5" s="327" customFormat="1" ht="14.5" customHeight="1" x14ac:dyDescent="0.35">
      <c r="A2658" s="323" t="str">
        <f>"61.0203"</f>
        <v>61.0203</v>
      </c>
      <c r="B2658" s="323" t="s">
        <v>4403</v>
      </c>
      <c r="C2658" s="324" t="s">
        <v>4266</v>
      </c>
      <c r="D2658" s="325" t="s">
        <v>9278</v>
      </c>
      <c r="E2658" s="326" t="s">
        <v>9279</v>
      </c>
    </row>
    <row r="2659" spans="1:5" s="327" customFormat="1" ht="14.5" customHeight="1" x14ac:dyDescent="0.35">
      <c r="A2659" s="323" t="str">
        <f>"61.0204"</f>
        <v>61.0204</v>
      </c>
      <c r="B2659" s="323" t="s">
        <v>4297</v>
      </c>
      <c r="C2659" s="324" t="s">
        <v>4269</v>
      </c>
      <c r="D2659" s="325" t="s">
        <v>9280</v>
      </c>
      <c r="E2659" s="326" t="s">
        <v>9281</v>
      </c>
    </row>
    <row r="2660" spans="1:5" s="327" customFormat="1" ht="14.5" customHeight="1" x14ac:dyDescent="0.35">
      <c r="A2660" s="323" t="str">
        <f>"61.0205"</f>
        <v>61.0205</v>
      </c>
      <c r="B2660" s="323" t="s">
        <v>4403</v>
      </c>
      <c r="C2660" s="324" t="s">
        <v>4266</v>
      </c>
      <c r="D2660" s="325" t="s">
        <v>9282</v>
      </c>
      <c r="E2660" s="326" t="s">
        <v>9283</v>
      </c>
    </row>
    <row r="2661" spans="1:5" s="327" customFormat="1" ht="14.5" customHeight="1" x14ac:dyDescent="0.35">
      <c r="A2661" s="323" t="str">
        <f>"61.0206"</f>
        <v>61.0206</v>
      </c>
      <c r="B2661" s="323" t="s">
        <v>4297</v>
      </c>
      <c r="C2661" s="324" t="s">
        <v>4269</v>
      </c>
      <c r="D2661" s="325" t="s">
        <v>9284</v>
      </c>
      <c r="E2661" s="326" t="s">
        <v>9285</v>
      </c>
    </row>
    <row r="2662" spans="1:5" s="327" customFormat="1" ht="14.5" customHeight="1" x14ac:dyDescent="0.35">
      <c r="A2662" s="323" t="str">
        <f>"61.0207"</f>
        <v>61.0207</v>
      </c>
      <c r="B2662" s="323" t="s">
        <v>4297</v>
      </c>
      <c r="C2662" s="324" t="s">
        <v>4269</v>
      </c>
      <c r="D2662" s="325" t="s">
        <v>9286</v>
      </c>
      <c r="E2662" s="326" t="s">
        <v>9287</v>
      </c>
    </row>
    <row r="2663" spans="1:5" s="327" customFormat="1" ht="14.5" customHeight="1" x14ac:dyDescent="0.35">
      <c r="A2663" s="323" t="str">
        <f>"61.0208"</f>
        <v>61.0208</v>
      </c>
      <c r="B2663" s="323" t="s">
        <v>4403</v>
      </c>
      <c r="C2663" s="324" t="s">
        <v>4266</v>
      </c>
      <c r="D2663" s="325" t="s">
        <v>9288</v>
      </c>
      <c r="E2663" s="326" t="s">
        <v>9289</v>
      </c>
    </row>
    <row r="2664" spans="1:5" s="327" customFormat="1" ht="14.5" customHeight="1" x14ac:dyDescent="0.35">
      <c r="A2664" s="323" t="str">
        <f>"61.0209"</f>
        <v>61.0209</v>
      </c>
      <c r="B2664" s="323" t="s">
        <v>4403</v>
      </c>
      <c r="C2664" s="324" t="s">
        <v>4266</v>
      </c>
      <c r="D2664" s="325" t="s">
        <v>9290</v>
      </c>
      <c r="E2664" s="326" t="s">
        <v>9291</v>
      </c>
    </row>
    <row r="2665" spans="1:5" s="327" customFormat="1" ht="14.5" customHeight="1" x14ac:dyDescent="0.35">
      <c r="A2665" s="323" t="str">
        <f>"61.0210"</f>
        <v>61.0210</v>
      </c>
      <c r="B2665" s="323" t="s">
        <v>4403</v>
      </c>
      <c r="C2665" s="324" t="s">
        <v>4266</v>
      </c>
      <c r="D2665" s="325" t="s">
        <v>9292</v>
      </c>
      <c r="E2665" s="326" t="s">
        <v>9293</v>
      </c>
    </row>
    <row r="2666" spans="1:5" s="327" customFormat="1" ht="14.5" customHeight="1" x14ac:dyDescent="0.35">
      <c r="A2666" s="323" t="str">
        <f>"61.0211"</f>
        <v>61.0211</v>
      </c>
      <c r="B2666" s="323" t="s">
        <v>4297</v>
      </c>
      <c r="C2666" s="324" t="s">
        <v>4269</v>
      </c>
      <c r="D2666" s="325" t="s">
        <v>9294</v>
      </c>
      <c r="E2666" s="326" t="s">
        <v>9295</v>
      </c>
    </row>
    <row r="2667" spans="1:5" s="327" customFormat="1" ht="14.5" customHeight="1" x14ac:dyDescent="0.35">
      <c r="A2667" s="323" t="str">
        <f>"61.0212"</f>
        <v>61.0212</v>
      </c>
      <c r="B2667" s="323" t="s">
        <v>4403</v>
      </c>
      <c r="C2667" s="324" t="s">
        <v>4266</v>
      </c>
      <c r="D2667" s="325" t="s">
        <v>9296</v>
      </c>
      <c r="E2667" s="326" t="s">
        <v>9297</v>
      </c>
    </row>
    <row r="2668" spans="1:5" s="327" customFormat="1" ht="14.5" customHeight="1" x14ac:dyDescent="0.35">
      <c r="A2668" s="323" t="str">
        <f>"61.0213"</f>
        <v>61.0213</v>
      </c>
      <c r="B2668" s="323" t="s">
        <v>4403</v>
      </c>
      <c r="C2668" s="324" t="s">
        <v>4266</v>
      </c>
      <c r="D2668" s="325" t="s">
        <v>9298</v>
      </c>
      <c r="E2668" s="326" t="s">
        <v>9299</v>
      </c>
    </row>
    <row r="2669" spans="1:5" s="327" customFormat="1" ht="14.5" customHeight="1" x14ac:dyDescent="0.35">
      <c r="A2669" s="323" t="str">
        <f>"61.0214"</f>
        <v>61.0214</v>
      </c>
      <c r="B2669" s="323" t="s">
        <v>4403</v>
      </c>
      <c r="C2669" s="324" t="s">
        <v>4266</v>
      </c>
      <c r="D2669" s="325" t="s">
        <v>9300</v>
      </c>
      <c r="E2669" s="326" t="s">
        <v>9301</v>
      </c>
    </row>
    <row r="2670" spans="1:5" s="327" customFormat="1" ht="14.5" customHeight="1" x14ac:dyDescent="0.35">
      <c r="A2670" s="323" t="str">
        <f>"61.0215"</f>
        <v>61.0215</v>
      </c>
      <c r="B2670" s="323" t="s">
        <v>4297</v>
      </c>
      <c r="C2670" s="324" t="s">
        <v>4269</v>
      </c>
      <c r="D2670" s="325" t="s">
        <v>9302</v>
      </c>
      <c r="E2670" s="326" t="s">
        <v>9303</v>
      </c>
    </row>
    <row r="2671" spans="1:5" s="327" customFormat="1" ht="14.5" customHeight="1" x14ac:dyDescent="0.35">
      <c r="A2671" s="323" t="str">
        <f>"61.0216"</f>
        <v>61.0216</v>
      </c>
      <c r="B2671" s="323" t="s">
        <v>4403</v>
      </c>
      <c r="C2671" s="324" t="s">
        <v>4266</v>
      </c>
      <c r="D2671" s="325" t="s">
        <v>9304</v>
      </c>
      <c r="E2671" s="326" t="s">
        <v>9305</v>
      </c>
    </row>
    <row r="2672" spans="1:5" s="327" customFormat="1" ht="14.5" customHeight="1" x14ac:dyDescent="0.35">
      <c r="A2672" s="323" t="str">
        <f>"61.0217"</f>
        <v>61.0217</v>
      </c>
      <c r="B2672" s="323" t="s">
        <v>4297</v>
      </c>
      <c r="C2672" s="324" t="s">
        <v>4269</v>
      </c>
      <c r="D2672" s="325" t="s">
        <v>9306</v>
      </c>
      <c r="E2672" s="326" t="s">
        <v>9307</v>
      </c>
    </row>
    <row r="2673" spans="1:5" s="327" customFormat="1" ht="14.5" customHeight="1" x14ac:dyDescent="0.35">
      <c r="A2673" s="323" t="str">
        <f>"61.0218"</f>
        <v>61.0218</v>
      </c>
      <c r="B2673" s="323" t="s">
        <v>4297</v>
      </c>
      <c r="C2673" s="324" t="s">
        <v>4269</v>
      </c>
      <c r="D2673" s="325" t="s">
        <v>9308</v>
      </c>
      <c r="E2673" s="326" t="s">
        <v>9309</v>
      </c>
    </row>
    <row r="2674" spans="1:5" s="327" customFormat="1" ht="14.5" customHeight="1" x14ac:dyDescent="0.35">
      <c r="A2674" s="323" t="str">
        <f>"61.0299"</f>
        <v>61.0299</v>
      </c>
      <c r="B2674" s="323" t="s">
        <v>4297</v>
      </c>
      <c r="C2674" s="324" t="s">
        <v>4269</v>
      </c>
      <c r="D2674" s="325" t="s">
        <v>9310</v>
      </c>
      <c r="E2674" s="326" t="s">
        <v>9311</v>
      </c>
    </row>
    <row r="2675" spans="1:5" s="327" customFormat="1" ht="14.5" customHeight="1" x14ac:dyDescent="0.35">
      <c r="A2675" s="323" t="str">
        <f>"61.03"</f>
        <v>61.03</v>
      </c>
      <c r="B2675" s="323" t="s">
        <v>4297</v>
      </c>
      <c r="C2675" s="324" t="s">
        <v>4269</v>
      </c>
      <c r="D2675" s="325" t="s">
        <v>9312</v>
      </c>
      <c r="E2675" s="326" t="s">
        <v>9313</v>
      </c>
    </row>
    <row r="2676" spans="1:5" s="327" customFormat="1" ht="14.5" customHeight="1" x14ac:dyDescent="0.35">
      <c r="A2676" s="323" t="str">
        <f>"61.0301"</f>
        <v>61.0301</v>
      </c>
      <c r="B2676" s="323" t="s">
        <v>4403</v>
      </c>
      <c r="C2676" s="324" t="s">
        <v>4266</v>
      </c>
      <c r="D2676" s="325" t="s">
        <v>9314</v>
      </c>
      <c r="E2676" s="326" t="s">
        <v>9315</v>
      </c>
    </row>
    <row r="2677" spans="1:5" s="327" customFormat="1" ht="14.5" customHeight="1" x14ac:dyDescent="0.35">
      <c r="A2677" s="323" t="str">
        <f>"61.0399"</f>
        <v>61.0399</v>
      </c>
      <c r="B2677" s="323" t="s">
        <v>4297</v>
      </c>
      <c r="C2677" s="324" t="s">
        <v>4269</v>
      </c>
      <c r="D2677" s="325" t="s">
        <v>9316</v>
      </c>
      <c r="E2677" s="326" t="s">
        <v>9317</v>
      </c>
    </row>
    <row r="2678" spans="1:5" s="327" customFormat="1" ht="14.5" customHeight="1" x14ac:dyDescent="0.35">
      <c r="A2678" s="323" t="str">
        <f>"61.04"</f>
        <v>61.04</v>
      </c>
      <c r="B2678" s="323" t="s">
        <v>4297</v>
      </c>
      <c r="C2678" s="324" t="s">
        <v>4269</v>
      </c>
      <c r="D2678" s="325" t="s">
        <v>9318</v>
      </c>
      <c r="E2678" s="326" t="s">
        <v>9319</v>
      </c>
    </row>
    <row r="2679" spans="1:5" s="327" customFormat="1" ht="14.5" customHeight="1" x14ac:dyDescent="0.35">
      <c r="A2679" s="323" t="str">
        <f>"61.0401"</f>
        <v>61.0401</v>
      </c>
      <c r="B2679" s="323" t="s">
        <v>4403</v>
      </c>
      <c r="C2679" s="324" t="s">
        <v>4266</v>
      </c>
      <c r="D2679" s="325" t="s">
        <v>8758</v>
      </c>
      <c r="E2679" s="326" t="s">
        <v>9320</v>
      </c>
    </row>
    <row r="2680" spans="1:5" s="327" customFormat="1" ht="14.5" customHeight="1" x14ac:dyDescent="0.35">
      <c r="A2680" s="323" t="str">
        <f>"61.0499"</f>
        <v>61.0499</v>
      </c>
      <c r="B2680" s="323" t="s">
        <v>4297</v>
      </c>
      <c r="C2680" s="324" t="s">
        <v>4269</v>
      </c>
      <c r="D2680" s="325" t="s">
        <v>9321</v>
      </c>
      <c r="E2680" s="326" t="s">
        <v>9322</v>
      </c>
    </row>
    <row r="2681" spans="1:5" s="327" customFormat="1" ht="14.5" customHeight="1" x14ac:dyDescent="0.35">
      <c r="A2681" s="323" t="str">
        <f>"61.05"</f>
        <v>61.05</v>
      </c>
      <c r="B2681" s="323" t="s">
        <v>4297</v>
      </c>
      <c r="C2681" s="324" t="s">
        <v>4269</v>
      </c>
      <c r="D2681" s="325" t="s">
        <v>9323</v>
      </c>
      <c r="E2681" s="326" t="s">
        <v>9324</v>
      </c>
    </row>
    <row r="2682" spans="1:5" s="327" customFormat="1" ht="14.5" customHeight="1" x14ac:dyDescent="0.35">
      <c r="A2682" s="323" t="str">
        <f>"61.0501"</f>
        <v>61.0501</v>
      </c>
      <c r="B2682" s="323" t="s">
        <v>4403</v>
      </c>
      <c r="C2682" s="324" t="s">
        <v>4269</v>
      </c>
      <c r="D2682" s="325" t="s">
        <v>8771</v>
      </c>
      <c r="E2682" s="326" t="s">
        <v>9325</v>
      </c>
    </row>
    <row r="2683" spans="1:5" s="327" customFormat="1" ht="14.5" customHeight="1" x14ac:dyDescent="0.35">
      <c r="A2683" s="323" t="str">
        <f>"61.0502"</f>
        <v>61.0502</v>
      </c>
      <c r="B2683" s="323" t="s">
        <v>4403</v>
      </c>
      <c r="C2683" s="324" t="s">
        <v>4266</v>
      </c>
      <c r="D2683" s="325" t="s">
        <v>9326</v>
      </c>
      <c r="E2683" s="326" t="s">
        <v>9327</v>
      </c>
    </row>
    <row r="2684" spans="1:5" s="327" customFormat="1" ht="14.5" customHeight="1" x14ac:dyDescent="0.35">
      <c r="A2684" s="323" t="str">
        <f>"61.0503"</f>
        <v>61.0503</v>
      </c>
      <c r="B2684" s="323" t="s">
        <v>4403</v>
      </c>
      <c r="C2684" s="324" t="s">
        <v>4266</v>
      </c>
      <c r="D2684" s="325" t="s">
        <v>9328</v>
      </c>
      <c r="E2684" s="326" t="s">
        <v>9329</v>
      </c>
    </row>
    <row r="2685" spans="1:5" s="327" customFormat="1" ht="14.5" customHeight="1" x14ac:dyDescent="0.35">
      <c r="A2685" s="323" t="str">
        <f>"61.0599"</f>
        <v>61.0599</v>
      </c>
      <c r="B2685" s="323" t="s">
        <v>4297</v>
      </c>
      <c r="C2685" s="324" t="s">
        <v>4269</v>
      </c>
      <c r="D2685" s="325" t="s">
        <v>9330</v>
      </c>
      <c r="E2685" s="326" t="s">
        <v>9331</v>
      </c>
    </row>
    <row r="2686" spans="1:5" s="327" customFormat="1" ht="14.5" customHeight="1" x14ac:dyDescent="0.35">
      <c r="A2686" s="323" t="str">
        <f>"61.06"</f>
        <v>61.06</v>
      </c>
      <c r="B2686" s="323" t="s">
        <v>4297</v>
      </c>
      <c r="C2686" s="324" t="s">
        <v>4269</v>
      </c>
      <c r="D2686" s="325" t="s">
        <v>9332</v>
      </c>
      <c r="E2686" s="326" t="s">
        <v>9333</v>
      </c>
    </row>
    <row r="2687" spans="1:5" s="327" customFormat="1" ht="14.5" customHeight="1" x14ac:dyDescent="0.35">
      <c r="A2687" s="323" t="str">
        <f>"61.0601"</f>
        <v>61.0601</v>
      </c>
      <c r="B2687" s="323" t="s">
        <v>4403</v>
      </c>
      <c r="C2687" s="324" t="s">
        <v>4269</v>
      </c>
      <c r="D2687" s="325" t="s">
        <v>8775</v>
      </c>
      <c r="E2687" s="326" t="s">
        <v>9334</v>
      </c>
    </row>
    <row r="2688" spans="1:5" s="327" customFormat="1" ht="14.5" customHeight="1" x14ac:dyDescent="0.35">
      <c r="A2688" s="323" t="str">
        <f>"61.0602"</f>
        <v>61.0602</v>
      </c>
      <c r="B2688" s="323" t="s">
        <v>4297</v>
      </c>
      <c r="C2688" s="324" t="s">
        <v>4269</v>
      </c>
      <c r="D2688" s="325" t="s">
        <v>9335</v>
      </c>
      <c r="E2688" s="326" t="s">
        <v>9336</v>
      </c>
    </row>
    <row r="2689" spans="1:5" s="327" customFormat="1" ht="14.5" customHeight="1" x14ac:dyDescent="0.35">
      <c r="A2689" s="323" t="str">
        <f>"61.0603"</f>
        <v>61.0603</v>
      </c>
      <c r="B2689" s="323" t="s">
        <v>4297</v>
      </c>
      <c r="C2689" s="324" t="s">
        <v>4269</v>
      </c>
      <c r="D2689" s="325" t="s">
        <v>9337</v>
      </c>
      <c r="E2689" s="326" t="s">
        <v>9338</v>
      </c>
    </row>
    <row r="2690" spans="1:5" s="327" customFormat="1" ht="14.5" customHeight="1" x14ac:dyDescent="0.35">
      <c r="A2690" s="323" t="str">
        <f>"61.0699"</f>
        <v>61.0699</v>
      </c>
      <c r="B2690" s="323" t="s">
        <v>4297</v>
      </c>
      <c r="C2690" s="324" t="s">
        <v>4269</v>
      </c>
      <c r="D2690" s="325" t="s">
        <v>9339</v>
      </c>
      <c r="E2690" s="326" t="s">
        <v>9340</v>
      </c>
    </row>
    <row r="2691" spans="1:5" s="327" customFormat="1" ht="14.5" customHeight="1" x14ac:dyDescent="0.35">
      <c r="A2691" s="323" t="str">
        <f>"61.07"</f>
        <v>61.07</v>
      </c>
      <c r="B2691" s="323" t="s">
        <v>4297</v>
      </c>
      <c r="C2691" s="324" t="s">
        <v>4269</v>
      </c>
      <c r="D2691" s="325" t="s">
        <v>9341</v>
      </c>
      <c r="E2691" s="326" t="s">
        <v>9342</v>
      </c>
    </row>
    <row r="2692" spans="1:5" s="327" customFormat="1" ht="14.5" customHeight="1" x14ac:dyDescent="0.35">
      <c r="A2692" s="323" t="str">
        <f>"61.0701"</f>
        <v>61.0701</v>
      </c>
      <c r="B2692" s="323" t="s">
        <v>4403</v>
      </c>
      <c r="C2692" s="324" t="s">
        <v>4269</v>
      </c>
      <c r="D2692" s="325" t="s">
        <v>8777</v>
      </c>
      <c r="E2692" s="326" t="s">
        <v>9343</v>
      </c>
    </row>
    <row r="2693" spans="1:5" s="327" customFormat="1" ht="14.5" customHeight="1" x14ac:dyDescent="0.35">
      <c r="A2693" s="323" t="str">
        <f>"61.0799"</f>
        <v>61.0799</v>
      </c>
      <c r="B2693" s="323" t="s">
        <v>4297</v>
      </c>
      <c r="C2693" s="324" t="s">
        <v>4269</v>
      </c>
      <c r="D2693" s="325" t="s">
        <v>9344</v>
      </c>
      <c r="E2693" s="326" t="s">
        <v>9345</v>
      </c>
    </row>
    <row r="2694" spans="1:5" s="327" customFormat="1" ht="14.5" customHeight="1" x14ac:dyDescent="0.35">
      <c r="A2694" s="323" t="str">
        <f>"61.08"</f>
        <v>61.08</v>
      </c>
      <c r="B2694" s="323" t="s">
        <v>4297</v>
      </c>
      <c r="C2694" s="324" t="s">
        <v>4269</v>
      </c>
      <c r="D2694" s="325" t="s">
        <v>9346</v>
      </c>
      <c r="E2694" s="326" t="s">
        <v>9347</v>
      </c>
    </row>
    <row r="2695" spans="1:5" s="327" customFormat="1" ht="14.5" customHeight="1" x14ac:dyDescent="0.35">
      <c r="A2695" s="323" t="str">
        <f>"61.0801"</f>
        <v>61.0801</v>
      </c>
      <c r="B2695" s="323" t="s">
        <v>4403</v>
      </c>
      <c r="C2695" s="324" t="s">
        <v>4269</v>
      </c>
      <c r="D2695" s="325" t="s">
        <v>8781</v>
      </c>
      <c r="E2695" s="326" t="s">
        <v>9348</v>
      </c>
    </row>
    <row r="2696" spans="1:5" s="327" customFormat="1" ht="14.5" customHeight="1" x14ac:dyDescent="0.35">
      <c r="A2696" s="323" t="str">
        <f>"61.0804"</f>
        <v>61.0804</v>
      </c>
      <c r="B2696" s="323" t="s">
        <v>4403</v>
      </c>
      <c r="C2696" s="324" t="s">
        <v>4266</v>
      </c>
      <c r="D2696" s="325" t="s">
        <v>9349</v>
      </c>
      <c r="E2696" s="326" t="s">
        <v>9350</v>
      </c>
    </row>
    <row r="2697" spans="1:5" s="327" customFormat="1" ht="14.5" customHeight="1" x14ac:dyDescent="0.35">
      <c r="A2697" s="323" t="str">
        <f>"61.0805"</f>
        <v>61.0805</v>
      </c>
      <c r="B2697" s="323" t="s">
        <v>4403</v>
      </c>
      <c r="C2697" s="324" t="s">
        <v>4266</v>
      </c>
      <c r="D2697" s="325" t="s">
        <v>9351</v>
      </c>
      <c r="E2697" s="326" t="s">
        <v>9352</v>
      </c>
    </row>
    <row r="2698" spans="1:5" s="327" customFormat="1" ht="14.5" customHeight="1" x14ac:dyDescent="0.35">
      <c r="A2698" s="323" t="str">
        <f>"61.0806"</f>
        <v>61.0806</v>
      </c>
      <c r="B2698" s="323" t="s">
        <v>4403</v>
      </c>
      <c r="C2698" s="324" t="s">
        <v>4266</v>
      </c>
      <c r="D2698" s="325" t="s">
        <v>9353</v>
      </c>
      <c r="E2698" s="326" t="s">
        <v>9354</v>
      </c>
    </row>
    <row r="2699" spans="1:5" s="327" customFormat="1" ht="14.5" customHeight="1" x14ac:dyDescent="0.35">
      <c r="A2699" s="323" t="str">
        <f>"61.0807"</f>
        <v>61.0807</v>
      </c>
      <c r="B2699" s="323" t="s">
        <v>4403</v>
      </c>
      <c r="C2699" s="324" t="s">
        <v>4266</v>
      </c>
      <c r="D2699" s="325" t="s">
        <v>9355</v>
      </c>
      <c r="E2699" s="326" t="s">
        <v>9356</v>
      </c>
    </row>
    <row r="2700" spans="1:5" s="327" customFormat="1" ht="14.5" customHeight="1" x14ac:dyDescent="0.35">
      <c r="A2700" s="323" t="str">
        <f>"61.0808"</f>
        <v>61.0808</v>
      </c>
      <c r="B2700" s="323" t="s">
        <v>4403</v>
      </c>
      <c r="C2700" s="324" t="s">
        <v>4266</v>
      </c>
      <c r="D2700" s="325" t="s">
        <v>9357</v>
      </c>
      <c r="E2700" s="326" t="s">
        <v>9358</v>
      </c>
    </row>
    <row r="2701" spans="1:5" s="327" customFormat="1" ht="14.5" customHeight="1" x14ac:dyDescent="0.35">
      <c r="A2701" s="323" t="str">
        <f>"61.0809"</f>
        <v>61.0809</v>
      </c>
      <c r="B2701" s="323" t="s">
        <v>4297</v>
      </c>
      <c r="C2701" s="324" t="s">
        <v>4269</v>
      </c>
      <c r="D2701" s="325" t="s">
        <v>9359</v>
      </c>
      <c r="E2701" s="326" t="s">
        <v>9360</v>
      </c>
    </row>
    <row r="2702" spans="1:5" s="327" customFormat="1" ht="14.5" customHeight="1" x14ac:dyDescent="0.35">
      <c r="A2702" s="323" t="str">
        <f>"61.0810"</f>
        <v>61.0810</v>
      </c>
      <c r="B2702" s="323" t="s">
        <v>4403</v>
      </c>
      <c r="C2702" s="324" t="s">
        <v>4266</v>
      </c>
      <c r="D2702" s="325" t="s">
        <v>9361</v>
      </c>
      <c r="E2702" s="326" t="s">
        <v>9362</v>
      </c>
    </row>
    <row r="2703" spans="1:5" s="327" customFormat="1" ht="14.5" customHeight="1" x14ac:dyDescent="0.35">
      <c r="A2703" s="323" t="str">
        <f>"61.0811"</f>
        <v>61.0811</v>
      </c>
      <c r="B2703" s="323" t="s">
        <v>4403</v>
      </c>
      <c r="C2703" s="324" t="s">
        <v>4266</v>
      </c>
      <c r="D2703" s="325" t="s">
        <v>9363</v>
      </c>
      <c r="E2703" s="326" t="s">
        <v>9364</v>
      </c>
    </row>
    <row r="2704" spans="1:5" s="327" customFormat="1" ht="14.5" customHeight="1" x14ac:dyDescent="0.35">
      <c r="A2704" s="323" t="str">
        <f>"61.0812"</f>
        <v>61.0812</v>
      </c>
      <c r="B2704" s="323" t="s">
        <v>4403</v>
      </c>
      <c r="C2704" s="324" t="s">
        <v>4266</v>
      </c>
      <c r="D2704" s="325" t="s">
        <v>9365</v>
      </c>
      <c r="E2704" s="326" t="s">
        <v>9366</v>
      </c>
    </row>
    <row r="2705" spans="1:5" s="327" customFormat="1" ht="14.5" customHeight="1" x14ac:dyDescent="0.35">
      <c r="A2705" s="323" t="str">
        <f>"61.0813"</f>
        <v>61.0813</v>
      </c>
      <c r="B2705" s="323" t="s">
        <v>4403</v>
      </c>
      <c r="C2705" s="324" t="s">
        <v>4266</v>
      </c>
      <c r="D2705" s="325" t="s">
        <v>9367</v>
      </c>
      <c r="E2705" s="326" t="s">
        <v>9368</v>
      </c>
    </row>
    <row r="2706" spans="1:5" s="327" customFormat="1" ht="14.5" customHeight="1" x14ac:dyDescent="0.35">
      <c r="A2706" s="323" t="str">
        <f>"61.0814"</f>
        <v>61.0814</v>
      </c>
      <c r="B2706" s="323" t="s">
        <v>4403</v>
      </c>
      <c r="C2706" s="324" t="s">
        <v>4266</v>
      </c>
      <c r="D2706" s="325" t="s">
        <v>9369</v>
      </c>
      <c r="E2706" s="326" t="s">
        <v>9370</v>
      </c>
    </row>
    <row r="2707" spans="1:5" s="327" customFormat="1" ht="14.5" customHeight="1" x14ac:dyDescent="0.35">
      <c r="A2707" s="323" t="str">
        <f>"61.0816"</f>
        <v>61.0816</v>
      </c>
      <c r="B2707" s="323" t="s">
        <v>4403</v>
      </c>
      <c r="C2707" s="324" t="s">
        <v>4266</v>
      </c>
      <c r="D2707" s="325" t="s">
        <v>9371</v>
      </c>
      <c r="E2707" s="326" t="s">
        <v>9372</v>
      </c>
    </row>
    <row r="2708" spans="1:5" s="327" customFormat="1" ht="14.5" customHeight="1" x14ac:dyDescent="0.35">
      <c r="A2708" s="323" t="str">
        <f>"61.0818"</f>
        <v>61.0818</v>
      </c>
      <c r="B2708" s="323" t="s">
        <v>4403</v>
      </c>
      <c r="C2708" s="324" t="s">
        <v>4266</v>
      </c>
      <c r="D2708" s="325" t="s">
        <v>9373</v>
      </c>
      <c r="E2708" s="326" t="s">
        <v>9374</v>
      </c>
    </row>
    <row r="2709" spans="1:5" s="327" customFormat="1" ht="14.5" customHeight="1" x14ac:dyDescent="0.35">
      <c r="A2709" s="323" t="str">
        <f>"61.0899"</f>
        <v>61.0899</v>
      </c>
      <c r="B2709" s="323" t="s">
        <v>4297</v>
      </c>
      <c r="C2709" s="324" t="s">
        <v>4269</v>
      </c>
      <c r="D2709" s="325" t="s">
        <v>9375</v>
      </c>
      <c r="E2709" s="326" t="s">
        <v>9376</v>
      </c>
    </row>
    <row r="2710" spans="1:5" s="327" customFormat="1" ht="14.5" customHeight="1" x14ac:dyDescent="0.35">
      <c r="A2710" s="323" t="str">
        <f>"61.09"</f>
        <v>61.09</v>
      </c>
      <c r="B2710" s="323" t="s">
        <v>4297</v>
      </c>
      <c r="C2710" s="324" t="s">
        <v>4269</v>
      </c>
      <c r="D2710" s="325" t="s">
        <v>9377</v>
      </c>
      <c r="E2710" s="326" t="s">
        <v>9378</v>
      </c>
    </row>
    <row r="2711" spans="1:5" s="327" customFormat="1" ht="14.5" customHeight="1" x14ac:dyDescent="0.35">
      <c r="A2711" s="323" t="str">
        <f>"61.0901"</f>
        <v>61.0901</v>
      </c>
      <c r="B2711" s="323" t="s">
        <v>4403</v>
      </c>
      <c r="C2711" s="324" t="s">
        <v>4266</v>
      </c>
      <c r="D2711" s="325" t="s">
        <v>8762</v>
      </c>
      <c r="E2711" s="326" t="s">
        <v>9379</v>
      </c>
    </row>
    <row r="2712" spans="1:5" s="327" customFormat="1" ht="14.5" customHeight="1" x14ac:dyDescent="0.35">
      <c r="A2712" s="323" t="str">
        <f>"61.0902"</f>
        <v>61.0902</v>
      </c>
      <c r="B2712" s="323" t="s">
        <v>4403</v>
      </c>
      <c r="C2712" s="324" t="s">
        <v>4266</v>
      </c>
      <c r="D2712" s="325" t="s">
        <v>9380</v>
      </c>
      <c r="E2712" s="326" t="s">
        <v>9381</v>
      </c>
    </row>
    <row r="2713" spans="1:5" s="327" customFormat="1" ht="14.5" customHeight="1" x14ac:dyDescent="0.35">
      <c r="A2713" s="323" t="str">
        <f>"61.0903"</f>
        <v>61.0903</v>
      </c>
      <c r="B2713" s="323" t="s">
        <v>4297</v>
      </c>
      <c r="C2713" s="324" t="s">
        <v>4269</v>
      </c>
      <c r="D2713" s="325" t="s">
        <v>9382</v>
      </c>
      <c r="E2713" s="326" t="s">
        <v>9383</v>
      </c>
    </row>
    <row r="2714" spans="1:5" s="327" customFormat="1" ht="14.5" customHeight="1" x14ac:dyDescent="0.35">
      <c r="A2714" s="323" t="str">
        <f>"61.0904"</f>
        <v>61.0904</v>
      </c>
      <c r="B2714" s="323" t="s">
        <v>4403</v>
      </c>
      <c r="C2714" s="324" t="s">
        <v>4266</v>
      </c>
      <c r="D2714" s="325" t="s">
        <v>8883</v>
      </c>
      <c r="E2714" s="326" t="s">
        <v>9384</v>
      </c>
    </row>
    <row r="2715" spans="1:5" s="327" customFormat="1" ht="14.5" customHeight="1" x14ac:dyDescent="0.35">
      <c r="A2715" s="323" t="str">
        <f>"61.0999"</f>
        <v>61.0999</v>
      </c>
      <c r="B2715" s="323" t="s">
        <v>4297</v>
      </c>
      <c r="C2715" s="324" t="s">
        <v>4269</v>
      </c>
      <c r="D2715" s="325" t="s">
        <v>9385</v>
      </c>
      <c r="E2715" s="326" t="s">
        <v>9386</v>
      </c>
    </row>
    <row r="2716" spans="1:5" s="327" customFormat="1" ht="14.5" customHeight="1" x14ac:dyDescent="0.35">
      <c r="A2716" s="323" t="str">
        <f>"61.10"</f>
        <v>61.10</v>
      </c>
      <c r="B2716" s="323" t="s">
        <v>4297</v>
      </c>
      <c r="C2716" s="324" t="s">
        <v>4269</v>
      </c>
      <c r="D2716" s="325" t="s">
        <v>9387</v>
      </c>
      <c r="E2716" s="326" t="s">
        <v>9388</v>
      </c>
    </row>
    <row r="2717" spans="1:5" s="327" customFormat="1" ht="14.5" customHeight="1" x14ac:dyDescent="0.35">
      <c r="A2717" s="323" t="str">
        <f>"61.1001"</f>
        <v>61.1001</v>
      </c>
      <c r="B2717" s="323" t="s">
        <v>4403</v>
      </c>
      <c r="C2717" s="324" t="s">
        <v>4269</v>
      </c>
      <c r="D2717" s="325" t="s">
        <v>8783</v>
      </c>
      <c r="E2717" s="326" t="s">
        <v>9389</v>
      </c>
    </row>
    <row r="2718" spans="1:5" s="327" customFormat="1" ht="14.5" customHeight="1" x14ac:dyDescent="0.35">
      <c r="A2718" s="323" t="str">
        <f>"61.1099"</f>
        <v>61.1099</v>
      </c>
      <c r="B2718" s="323" t="s">
        <v>4297</v>
      </c>
      <c r="C2718" s="324" t="s">
        <v>4269</v>
      </c>
      <c r="D2718" s="325" t="s">
        <v>9390</v>
      </c>
      <c r="E2718" s="326" t="s">
        <v>9391</v>
      </c>
    </row>
    <row r="2719" spans="1:5" s="327" customFormat="1" ht="14.5" customHeight="1" x14ac:dyDescent="0.35">
      <c r="A2719" s="323" t="str">
        <f>"61.11"</f>
        <v>61.11</v>
      </c>
      <c r="B2719" s="323" t="s">
        <v>4297</v>
      </c>
      <c r="C2719" s="324" t="s">
        <v>4269</v>
      </c>
      <c r="D2719" s="325" t="s">
        <v>9392</v>
      </c>
      <c r="E2719" s="326" t="s">
        <v>9393</v>
      </c>
    </row>
    <row r="2720" spans="1:5" s="327" customFormat="1" ht="14.5" customHeight="1" x14ac:dyDescent="0.35">
      <c r="A2720" s="323" t="str">
        <f>"61.1101"</f>
        <v>61.1101</v>
      </c>
      <c r="B2720" s="323" t="s">
        <v>4403</v>
      </c>
      <c r="C2720" s="324" t="s">
        <v>4269</v>
      </c>
      <c r="D2720" s="325" t="s">
        <v>8785</v>
      </c>
      <c r="E2720" s="326" t="s">
        <v>9394</v>
      </c>
    </row>
    <row r="2721" spans="1:5" s="327" customFormat="1" ht="14.5" customHeight="1" x14ac:dyDescent="0.35">
      <c r="A2721" s="323" t="str">
        <f>"61.1102"</f>
        <v>61.1102</v>
      </c>
      <c r="B2721" s="323" t="s">
        <v>4403</v>
      </c>
      <c r="C2721" s="324" t="s">
        <v>4269</v>
      </c>
      <c r="D2721" s="325" t="s">
        <v>8760</v>
      </c>
      <c r="E2721" s="326" t="s">
        <v>9395</v>
      </c>
    </row>
    <row r="2722" spans="1:5" s="327" customFormat="1" ht="14.5" customHeight="1" x14ac:dyDescent="0.35">
      <c r="A2722" s="323" t="str">
        <f>"61.1103"</f>
        <v>61.1103</v>
      </c>
      <c r="B2722" s="323" t="s">
        <v>4403</v>
      </c>
      <c r="C2722" s="324" t="s">
        <v>4266</v>
      </c>
      <c r="D2722" s="325" t="s">
        <v>9396</v>
      </c>
      <c r="E2722" s="326" t="s">
        <v>9397</v>
      </c>
    </row>
    <row r="2723" spans="1:5" s="327" customFormat="1" ht="14.5" customHeight="1" x14ac:dyDescent="0.35">
      <c r="A2723" s="323" t="str">
        <f>"61.1104"</f>
        <v>61.1104</v>
      </c>
      <c r="B2723" s="323" t="s">
        <v>4297</v>
      </c>
      <c r="C2723" s="324" t="s">
        <v>4269</v>
      </c>
      <c r="D2723" s="325" t="s">
        <v>9398</v>
      </c>
      <c r="E2723" s="326" t="s">
        <v>9399</v>
      </c>
    </row>
    <row r="2724" spans="1:5" s="327" customFormat="1" ht="14.5" customHeight="1" x14ac:dyDescent="0.35">
      <c r="A2724" s="323" t="str">
        <f>"61.1105"</f>
        <v>61.1105</v>
      </c>
      <c r="B2724" s="323" t="s">
        <v>4297</v>
      </c>
      <c r="C2724" s="324" t="s">
        <v>4269</v>
      </c>
      <c r="D2724" s="325" t="s">
        <v>9400</v>
      </c>
      <c r="E2724" s="326" t="s">
        <v>9401</v>
      </c>
    </row>
    <row r="2725" spans="1:5" s="327" customFormat="1" ht="14.5" customHeight="1" x14ac:dyDescent="0.35">
      <c r="A2725" s="323" t="str">
        <f>"61.1106"</f>
        <v>61.1106</v>
      </c>
      <c r="B2725" s="323" t="s">
        <v>4403</v>
      </c>
      <c r="C2725" s="324" t="s">
        <v>4266</v>
      </c>
      <c r="D2725" s="325" t="s">
        <v>9402</v>
      </c>
      <c r="E2725" s="326" t="s">
        <v>9403</v>
      </c>
    </row>
    <row r="2726" spans="1:5" s="327" customFormat="1" ht="14.5" customHeight="1" x14ac:dyDescent="0.35">
      <c r="A2726" s="323" t="str">
        <f>"61.1107"</f>
        <v>61.1107</v>
      </c>
      <c r="B2726" s="323" t="s">
        <v>4403</v>
      </c>
      <c r="C2726" s="324" t="s">
        <v>4266</v>
      </c>
      <c r="D2726" s="325" t="s">
        <v>9404</v>
      </c>
      <c r="E2726" s="326" t="s">
        <v>9405</v>
      </c>
    </row>
    <row r="2727" spans="1:5" s="327" customFormat="1" ht="14.5" customHeight="1" x14ac:dyDescent="0.35">
      <c r="A2727" s="323" t="str">
        <f>"61.1199"</f>
        <v>61.1199</v>
      </c>
      <c r="B2727" s="323" t="s">
        <v>4297</v>
      </c>
      <c r="C2727" s="324" t="s">
        <v>4269</v>
      </c>
      <c r="D2727" s="325" t="s">
        <v>9406</v>
      </c>
      <c r="E2727" s="326" t="s">
        <v>9407</v>
      </c>
    </row>
    <row r="2728" spans="1:5" s="327" customFormat="1" ht="14.5" customHeight="1" x14ac:dyDescent="0.35">
      <c r="A2728" s="323" t="str">
        <f>"61.12"</f>
        <v>61.12</v>
      </c>
      <c r="B2728" s="323" t="s">
        <v>4297</v>
      </c>
      <c r="C2728" s="324" t="s">
        <v>4269</v>
      </c>
      <c r="D2728" s="325" t="s">
        <v>9408</v>
      </c>
      <c r="E2728" s="326" t="s">
        <v>9409</v>
      </c>
    </row>
    <row r="2729" spans="1:5" s="327" customFormat="1" ht="14.5" customHeight="1" x14ac:dyDescent="0.35">
      <c r="A2729" s="323" t="str">
        <f>"61.1201"</f>
        <v>61.1201</v>
      </c>
      <c r="B2729" s="323" t="s">
        <v>4403</v>
      </c>
      <c r="C2729" s="324" t="s">
        <v>4269</v>
      </c>
      <c r="D2729" s="325" t="s">
        <v>8787</v>
      </c>
      <c r="E2729" s="326" t="s">
        <v>9410</v>
      </c>
    </row>
    <row r="2730" spans="1:5" s="327" customFormat="1" ht="14.5" customHeight="1" x14ac:dyDescent="0.35">
      <c r="A2730" s="323" t="str">
        <f>"61.1299"</f>
        <v>61.1299</v>
      </c>
      <c r="B2730" s="323" t="s">
        <v>4297</v>
      </c>
      <c r="C2730" s="324" t="s">
        <v>4269</v>
      </c>
      <c r="D2730" s="325" t="s">
        <v>9411</v>
      </c>
      <c r="E2730" s="326" t="s">
        <v>9412</v>
      </c>
    </row>
    <row r="2731" spans="1:5" s="327" customFormat="1" ht="14.5" customHeight="1" x14ac:dyDescent="0.35">
      <c r="A2731" s="323" t="str">
        <f>"61.13"</f>
        <v>61.13</v>
      </c>
      <c r="B2731" s="323" t="s">
        <v>4297</v>
      </c>
      <c r="C2731" s="324" t="s">
        <v>4269</v>
      </c>
      <c r="D2731" s="325" t="s">
        <v>9413</v>
      </c>
      <c r="E2731" s="326" t="s">
        <v>9414</v>
      </c>
    </row>
    <row r="2732" spans="1:5" s="327" customFormat="1" ht="14.5" customHeight="1" x14ac:dyDescent="0.35">
      <c r="A2732" s="323" t="str">
        <f>"61.1301"</f>
        <v>61.1301</v>
      </c>
      <c r="B2732" s="323" t="s">
        <v>4403</v>
      </c>
      <c r="C2732" s="324" t="s">
        <v>4269</v>
      </c>
      <c r="D2732" s="325" t="s">
        <v>8789</v>
      </c>
      <c r="E2732" s="326" t="s">
        <v>9415</v>
      </c>
    </row>
    <row r="2733" spans="1:5" s="327" customFormat="1" ht="14.5" customHeight="1" x14ac:dyDescent="0.35">
      <c r="A2733" s="323" t="str">
        <f>"61.1302"</f>
        <v>61.1302</v>
      </c>
      <c r="B2733" s="323" t="s">
        <v>4403</v>
      </c>
      <c r="C2733" s="324" t="s">
        <v>4266</v>
      </c>
      <c r="D2733" s="325" t="s">
        <v>9416</v>
      </c>
      <c r="E2733" s="326" t="s">
        <v>9417</v>
      </c>
    </row>
    <row r="2734" spans="1:5" s="327" customFormat="1" ht="14.5" customHeight="1" x14ac:dyDescent="0.35">
      <c r="A2734" s="323" t="str">
        <f>"61.1303"</f>
        <v>61.1303</v>
      </c>
      <c r="B2734" s="323" t="s">
        <v>4403</v>
      </c>
      <c r="C2734" s="324" t="s">
        <v>4266</v>
      </c>
      <c r="D2734" s="325" t="s">
        <v>9418</v>
      </c>
      <c r="E2734" s="326" t="s">
        <v>9419</v>
      </c>
    </row>
    <row r="2735" spans="1:5" s="327" customFormat="1" ht="14.5" customHeight="1" x14ac:dyDescent="0.35">
      <c r="A2735" s="323" t="str">
        <f>"61.1304"</f>
        <v>61.1304</v>
      </c>
      <c r="B2735" s="323" t="s">
        <v>4403</v>
      </c>
      <c r="C2735" s="324" t="s">
        <v>4266</v>
      </c>
      <c r="D2735" s="325" t="s">
        <v>9420</v>
      </c>
      <c r="E2735" s="326" t="s">
        <v>9421</v>
      </c>
    </row>
    <row r="2736" spans="1:5" s="327" customFormat="1" ht="14.5" customHeight="1" x14ac:dyDescent="0.35">
      <c r="A2736" s="323" t="str">
        <f>"61.1399"</f>
        <v>61.1399</v>
      </c>
      <c r="B2736" s="323" t="s">
        <v>4297</v>
      </c>
      <c r="C2736" s="324" t="s">
        <v>4269</v>
      </c>
      <c r="D2736" s="325" t="s">
        <v>9422</v>
      </c>
      <c r="E2736" s="326" t="s">
        <v>9423</v>
      </c>
    </row>
    <row r="2737" spans="1:5" s="327" customFormat="1" ht="14.5" customHeight="1" x14ac:dyDescent="0.35">
      <c r="A2737" s="323" t="str">
        <f>"61.14"</f>
        <v>61.14</v>
      </c>
      <c r="B2737" s="323" t="s">
        <v>4297</v>
      </c>
      <c r="C2737" s="324" t="s">
        <v>4269</v>
      </c>
      <c r="D2737" s="325" t="s">
        <v>9424</v>
      </c>
      <c r="E2737" s="326" t="s">
        <v>9425</v>
      </c>
    </row>
    <row r="2738" spans="1:5" s="327" customFormat="1" ht="14.5" customHeight="1" x14ac:dyDescent="0.35">
      <c r="A2738" s="323" t="str">
        <f>"61.1401"</f>
        <v>61.1401</v>
      </c>
      <c r="B2738" s="323" t="s">
        <v>4403</v>
      </c>
      <c r="C2738" s="324" t="s">
        <v>4269</v>
      </c>
      <c r="D2738" s="325" t="s">
        <v>8793</v>
      </c>
      <c r="E2738" s="326" t="s">
        <v>9426</v>
      </c>
    </row>
    <row r="2739" spans="1:5" s="327" customFormat="1" ht="14.5" customHeight="1" x14ac:dyDescent="0.35">
      <c r="A2739" s="323" t="str">
        <f>"61.1499"</f>
        <v>61.1499</v>
      </c>
      <c r="B2739" s="323" t="s">
        <v>4297</v>
      </c>
      <c r="C2739" s="324" t="s">
        <v>4269</v>
      </c>
      <c r="D2739" s="325" t="s">
        <v>9427</v>
      </c>
      <c r="E2739" s="326" t="s">
        <v>9428</v>
      </c>
    </row>
    <row r="2740" spans="1:5" s="327" customFormat="1" ht="14.5" customHeight="1" x14ac:dyDescent="0.35">
      <c r="A2740" s="323" t="str">
        <f>"61.15"</f>
        <v>61.15</v>
      </c>
      <c r="B2740" s="323" t="s">
        <v>4297</v>
      </c>
      <c r="C2740" s="324" t="s">
        <v>4269</v>
      </c>
      <c r="D2740" s="325" t="s">
        <v>9429</v>
      </c>
      <c r="E2740" s="326" t="s">
        <v>9430</v>
      </c>
    </row>
    <row r="2741" spans="1:5" s="327" customFormat="1" ht="14.5" customHeight="1" x14ac:dyDescent="0.35">
      <c r="A2741" s="323" t="str">
        <f>"61.1501"</f>
        <v>61.1501</v>
      </c>
      <c r="B2741" s="323" t="s">
        <v>4403</v>
      </c>
      <c r="C2741" s="324" t="s">
        <v>4269</v>
      </c>
      <c r="D2741" s="325" t="s">
        <v>8795</v>
      </c>
      <c r="E2741" s="326" t="s">
        <v>9431</v>
      </c>
    </row>
    <row r="2742" spans="1:5" s="327" customFormat="1" ht="14.5" customHeight="1" x14ac:dyDescent="0.35">
      <c r="A2742" s="323" t="str">
        <f>"61.1502"</f>
        <v>61.1502</v>
      </c>
      <c r="B2742" s="323" t="s">
        <v>4403</v>
      </c>
      <c r="C2742" s="324" t="s">
        <v>4266</v>
      </c>
      <c r="D2742" s="325" t="s">
        <v>9432</v>
      </c>
      <c r="E2742" s="326" t="s">
        <v>9433</v>
      </c>
    </row>
    <row r="2743" spans="1:5" s="327" customFormat="1" ht="14.5" customHeight="1" x14ac:dyDescent="0.35">
      <c r="A2743" s="323" t="str">
        <f>"61.1503"</f>
        <v>61.1503</v>
      </c>
      <c r="B2743" s="323" t="s">
        <v>4403</v>
      </c>
      <c r="C2743" s="324" t="s">
        <v>4266</v>
      </c>
      <c r="D2743" s="325" t="s">
        <v>9434</v>
      </c>
      <c r="E2743" s="326" t="s">
        <v>9435</v>
      </c>
    </row>
    <row r="2744" spans="1:5" s="327" customFormat="1" ht="14.5" customHeight="1" x14ac:dyDescent="0.35">
      <c r="A2744" s="323" t="str">
        <f>"61.1504"</f>
        <v>61.1504</v>
      </c>
      <c r="B2744" s="323" t="s">
        <v>4403</v>
      </c>
      <c r="C2744" s="324" t="s">
        <v>4266</v>
      </c>
      <c r="D2744" s="325" t="s">
        <v>9436</v>
      </c>
      <c r="E2744" s="326" t="s">
        <v>9437</v>
      </c>
    </row>
    <row r="2745" spans="1:5" s="327" customFormat="1" ht="14.5" customHeight="1" x14ac:dyDescent="0.35">
      <c r="A2745" s="323" t="str">
        <f>"61.1505"</f>
        <v>61.1505</v>
      </c>
      <c r="B2745" s="323" t="s">
        <v>4403</v>
      </c>
      <c r="C2745" s="324" t="s">
        <v>4266</v>
      </c>
      <c r="D2745" s="325" t="s">
        <v>9438</v>
      </c>
      <c r="E2745" s="326" t="s">
        <v>9439</v>
      </c>
    </row>
    <row r="2746" spans="1:5" s="327" customFormat="1" ht="14.5" customHeight="1" x14ac:dyDescent="0.35">
      <c r="A2746" s="323" t="str">
        <f>"61.1599"</f>
        <v>61.1599</v>
      </c>
      <c r="B2746" s="323" t="s">
        <v>4297</v>
      </c>
      <c r="C2746" s="324" t="s">
        <v>4269</v>
      </c>
      <c r="D2746" s="325" t="s">
        <v>9440</v>
      </c>
      <c r="E2746" s="326" t="s">
        <v>9441</v>
      </c>
    </row>
    <row r="2747" spans="1:5" s="327" customFormat="1" ht="14.5" customHeight="1" x14ac:dyDescent="0.35">
      <c r="A2747" s="323" t="str">
        <f>"61.16"</f>
        <v>61.16</v>
      </c>
      <c r="B2747" s="323" t="s">
        <v>4297</v>
      </c>
      <c r="C2747" s="324" t="s">
        <v>4269</v>
      </c>
      <c r="D2747" s="325" t="s">
        <v>9442</v>
      </c>
      <c r="E2747" s="326" t="s">
        <v>9443</v>
      </c>
    </row>
    <row r="2748" spans="1:5" s="327" customFormat="1" ht="14.5" customHeight="1" x14ac:dyDescent="0.35">
      <c r="A2748" s="323" t="str">
        <f>"61.1601"</f>
        <v>61.1601</v>
      </c>
      <c r="B2748" s="323" t="s">
        <v>4297</v>
      </c>
      <c r="C2748" s="324" t="s">
        <v>4269</v>
      </c>
      <c r="D2748" s="325" t="s">
        <v>9444</v>
      </c>
      <c r="E2748" s="326" t="s">
        <v>9445</v>
      </c>
    </row>
    <row r="2749" spans="1:5" s="327" customFormat="1" ht="14.5" customHeight="1" x14ac:dyDescent="0.35">
      <c r="A2749" s="323" t="str">
        <f>"61.1699"</f>
        <v>61.1699</v>
      </c>
      <c r="B2749" s="323" t="s">
        <v>4297</v>
      </c>
      <c r="C2749" s="324" t="s">
        <v>4269</v>
      </c>
      <c r="D2749" s="325" t="s">
        <v>9446</v>
      </c>
      <c r="E2749" s="326" t="s">
        <v>9447</v>
      </c>
    </row>
    <row r="2750" spans="1:5" s="327" customFormat="1" ht="14.5" customHeight="1" x14ac:dyDescent="0.35">
      <c r="A2750" s="323" t="str">
        <f>"61.17"</f>
        <v>61.17</v>
      </c>
      <c r="B2750" s="323" t="s">
        <v>4297</v>
      </c>
      <c r="C2750" s="324" t="s">
        <v>4269</v>
      </c>
      <c r="D2750" s="325" t="s">
        <v>9448</v>
      </c>
      <c r="E2750" s="326" t="s">
        <v>9449</v>
      </c>
    </row>
    <row r="2751" spans="1:5" s="327" customFormat="1" ht="14.5" customHeight="1" x14ac:dyDescent="0.35">
      <c r="A2751" s="323" t="str">
        <f>"61.1701"</f>
        <v>61.1701</v>
      </c>
      <c r="B2751" s="323" t="s">
        <v>4403</v>
      </c>
      <c r="C2751" s="324" t="s">
        <v>4269</v>
      </c>
      <c r="D2751" s="325" t="s">
        <v>8797</v>
      </c>
      <c r="E2751" s="326" t="s">
        <v>9450</v>
      </c>
    </row>
    <row r="2752" spans="1:5" s="327" customFormat="1" ht="14.5" customHeight="1" x14ac:dyDescent="0.35">
      <c r="A2752" s="323" t="str">
        <f>"61.1702"</f>
        <v>61.1702</v>
      </c>
      <c r="B2752" s="323" t="s">
        <v>4403</v>
      </c>
      <c r="C2752" s="324" t="s">
        <v>4266</v>
      </c>
      <c r="D2752" s="325" t="s">
        <v>9451</v>
      </c>
      <c r="E2752" s="326" t="s">
        <v>9452</v>
      </c>
    </row>
    <row r="2753" spans="1:5" s="327" customFormat="1" ht="14.5" customHeight="1" x14ac:dyDescent="0.35">
      <c r="A2753" s="323" t="str">
        <f>"61.1703"</f>
        <v>61.1703</v>
      </c>
      <c r="B2753" s="323" t="s">
        <v>4403</v>
      </c>
      <c r="C2753" s="324" t="s">
        <v>4266</v>
      </c>
      <c r="D2753" s="325" t="s">
        <v>9453</v>
      </c>
      <c r="E2753" s="326" t="s">
        <v>9454</v>
      </c>
    </row>
    <row r="2754" spans="1:5" s="327" customFormat="1" ht="14.5" customHeight="1" x14ac:dyDescent="0.35">
      <c r="A2754" s="323" t="str">
        <f>"61.1799"</f>
        <v>61.1799</v>
      </c>
      <c r="B2754" s="323" t="s">
        <v>4297</v>
      </c>
      <c r="C2754" s="324" t="s">
        <v>4269</v>
      </c>
      <c r="D2754" s="325" t="s">
        <v>9455</v>
      </c>
      <c r="E2754" s="326" t="s">
        <v>9456</v>
      </c>
    </row>
    <row r="2755" spans="1:5" s="327" customFormat="1" ht="14.5" customHeight="1" x14ac:dyDescent="0.35">
      <c r="A2755" s="323" t="str">
        <f>"61.18"</f>
        <v>61.18</v>
      </c>
      <c r="B2755" s="323" t="s">
        <v>4297</v>
      </c>
      <c r="C2755" s="324" t="s">
        <v>4269</v>
      </c>
      <c r="D2755" s="325" t="s">
        <v>9457</v>
      </c>
      <c r="E2755" s="326" t="s">
        <v>9458</v>
      </c>
    </row>
    <row r="2756" spans="1:5" s="327" customFormat="1" ht="14.5" customHeight="1" x14ac:dyDescent="0.35">
      <c r="A2756" s="323" t="str">
        <f>"61.1801"</f>
        <v>61.1801</v>
      </c>
      <c r="B2756" s="323" t="s">
        <v>4403</v>
      </c>
      <c r="C2756" s="324" t="s">
        <v>4266</v>
      </c>
      <c r="D2756" s="325" t="s">
        <v>9459</v>
      </c>
      <c r="E2756" s="326" t="s">
        <v>9460</v>
      </c>
    </row>
    <row r="2757" spans="1:5" s="327" customFormat="1" ht="14.5" customHeight="1" x14ac:dyDescent="0.35">
      <c r="A2757" s="323" t="str">
        <f>"61.1802"</f>
        <v>61.1802</v>
      </c>
      <c r="B2757" s="323" t="s">
        <v>4297</v>
      </c>
      <c r="C2757" s="324" t="s">
        <v>4269</v>
      </c>
      <c r="D2757" s="325" t="s">
        <v>9461</v>
      </c>
      <c r="E2757" s="326" t="s">
        <v>9462</v>
      </c>
    </row>
    <row r="2758" spans="1:5" s="327" customFormat="1" ht="14.5" customHeight="1" x14ac:dyDescent="0.35">
      <c r="A2758" s="323" t="str">
        <f>"61.1803"</f>
        <v>61.1803</v>
      </c>
      <c r="B2758" s="323" t="s">
        <v>4297</v>
      </c>
      <c r="C2758" s="324" t="s">
        <v>4269</v>
      </c>
      <c r="D2758" s="325" t="s">
        <v>9463</v>
      </c>
      <c r="E2758" s="326" t="s">
        <v>9464</v>
      </c>
    </row>
    <row r="2759" spans="1:5" s="327" customFormat="1" ht="14.5" customHeight="1" x14ac:dyDescent="0.35">
      <c r="A2759" s="323" t="str">
        <f>"61.1804"</f>
        <v>61.1804</v>
      </c>
      <c r="B2759" s="323" t="s">
        <v>4403</v>
      </c>
      <c r="C2759" s="324" t="s">
        <v>4266</v>
      </c>
      <c r="D2759" s="325" t="s">
        <v>9465</v>
      </c>
      <c r="E2759" s="326" t="s">
        <v>9466</v>
      </c>
    </row>
    <row r="2760" spans="1:5" s="327" customFormat="1" ht="14.5" customHeight="1" x14ac:dyDescent="0.35">
      <c r="A2760" s="323" t="str">
        <f>"61.1805"</f>
        <v>61.1805</v>
      </c>
      <c r="B2760" s="323" t="s">
        <v>4403</v>
      </c>
      <c r="C2760" s="324" t="s">
        <v>4266</v>
      </c>
      <c r="D2760" s="325" t="s">
        <v>9467</v>
      </c>
      <c r="E2760" s="326" t="s">
        <v>9468</v>
      </c>
    </row>
    <row r="2761" spans="1:5" s="327" customFormat="1" ht="14.5" customHeight="1" x14ac:dyDescent="0.35">
      <c r="A2761" s="323" t="str">
        <f>"61.1806"</f>
        <v>61.1806</v>
      </c>
      <c r="B2761" s="323" t="s">
        <v>4403</v>
      </c>
      <c r="C2761" s="324" t="s">
        <v>4266</v>
      </c>
      <c r="D2761" s="325" t="s">
        <v>9469</v>
      </c>
      <c r="E2761" s="326" t="s">
        <v>9470</v>
      </c>
    </row>
    <row r="2762" spans="1:5" s="327" customFormat="1" ht="14.5" customHeight="1" x14ac:dyDescent="0.35">
      <c r="A2762" s="323" t="str">
        <f>"61.1807"</f>
        <v>61.1807</v>
      </c>
      <c r="B2762" s="323" t="s">
        <v>4403</v>
      </c>
      <c r="C2762" s="324" t="s">
        <v>4266</v>
      </c>
      <c r="D2762" s="325" t="s">
        <v>9471</v>
      </c>
      <c r="E2762" s="326" t="s">
        <v>9472</v>
      </c>
    </row>
    <row r="2763" spans="1:5" s="327" customFormat="1" ht="14.5" customHeight="1" x14ac:dyDescent="0.35">
      <c r="A2763" s="323" t="str">
        <f>"61.1808"</f>
        <v>61.1808</v>
      </c>
      <c r="B2763" s="323" t="s">
        <v>4403</v>
      </c>
      <c r="C2763" s="324" t="s">
        <v>4266</v>
      </c>
      <c r="D2763" s="325" t="s">
        <v>9473</v>
      </c>
      <c r="E2763" s="326" t="s">
        <v>9474</v>
      </c>
    </row>
    <row r="2764" spans="1:5" s="327" customFormat="1" ht="14.5" customHeight="1" x14ac:dyDescent="0.35">
      <c r="A2764" s="323" t="str">
        <f>"61.1809"</f>
        <v>61.1809</v>
      </c>
      <c r="B2764" s="323" t="s">
        <v>4403</v>
      </c>
      <c r="C2764" s="324" t="s">
        <v>4266</v>
      </c>
      <c r="D2764" s="325" t="s">
        <v>9475</v>
      </c>
      <c r="E2764" s="326" t="s">
        <v>9476</v>
      </c>
    </row>
    <row r="2765" spans="1:5" s="327" customFormat="1" ht="14.5" customHeight="1" x14ac:dyDescent="0.35">
      <c r="A2765" s="323" t="str">
        <f>"61.1810"</f>
        <v>61.1810</v>
      </c>
      <c r="B2765" s="323" t="s">
        <v>4403</v>
      </c>
      <c r="C2765" s="324" t="s">
        <v>4266</v>
      </c>
      <c r="D2765" s="325" t="s">
        <v>9477</v>
      </c>
      <c r="E2765" s="326" t="s">
        <v>9478</v>
      </c>
    </row>
    <row r="2766" spans="1:5" s="327" customFormat="1" ht="14.5" customHeight="1" x14ac:dyDescent="0.35">
      <c r="A2766" s="323" t="str">
        <f>"61.1811"</f>
        <v>61.1811</v>
      </c>
      <c r="B2766" s="323" t="s">
        <v>4403</v>
      </c>
      <c r="C2766" s="324" t="s">
        <v>4266</v>
      </c>
      <c r="D2766" s="325" t="s">
        <v>9479</v>
      </c>
      <c r="E2766" s="326" t="s">
        <v>9480</v>
      </c>
    </row>
    <row r="2767" spans="1:5" s="327" customFormat="1" ht="14.5" customHeight="1" x14ac:dyDescent="0.35">
      <c r="A2767" s="323" t="str">
        <f>"61.1812"</f>
        <v>61.1812</v>
      </c>
      <c r="B2767" s="323" t="s">
        <v>4403</v>
      </c>
      <c r="C2767" s="324" t="s">
        <v>4266</v>
      </c>
      <c r="D2767" s="325" t="s">
        <v>9481</v>
      </c>
      <c r="E2767" s="326" t="s">
        <v>9482</v>
      </c>
    </row>
    <row r="2768" spans="1:5" s="327" customFormat="1" ht="14.5" customHeight="1" x14ac:dyDescent="0.35">
      <c r="A2768" s="323" t="str">
        <f>"61.1813"</f>
        <v>61.1813</v>
      </c>
      <c r="B2768" s="323" t="s">
        <v>4403</v>
      </c>
      <c r="C2768" s="324" t="s">
        <v>4266</v>
      </c>
      <c r="D2768" s="325" t="s">
        <v>9483</v>
      </c>
      <c r="E2768" s="326" t="s">
        <v>9484</v>
      </c>
    </row>
    <row r="2769" spans="1:5" s="327" customFormat="1" ht="14.5" customHeight="1" x14ac:dyDescent="0.35">
      <c r="A2769" s="323" t="str">
        <f>"61.1814"</f>
        <v>61.1814</v>
      </c>
      <c r="B2769" s="323" t="s">
        <v>4403</v>
      </c>
      <c r="C2769" s="324" t="s">
        <v>4266</v>
      </c>
      <c r="D2769" s="325" t="s">
        <v>9485</v>
      </c>
      <c r="E2769" s="326" t="s">
        <v>9486</v>
      </c>
    </row>
    <row r="2770" spans="1:5" s="327" customFormat="1" ht="14.5" customHeight="1" x14ac:dyDescent="0.35">
      <c r="A2770" s="323" t="str">
        <f>"61.1815"</f>
        <v>61.1815</v>
      </c>
      <c r="B2770" s="323" t="s">
        <v>4403</v>
      </c>
      <c r="C2770" s="324" t="s">
        <v>4266</v>
      </c>
      <c r="D2770" s="325" t="s">
        <v>9487</v>
      </c>
      <c r="E2770" s="326" t="s">
        <v>9488</v>
      </c>
    </row>
    <row r="2771" spans="1:5" s="327" customFormat="1" ht="14.5" customHeight="1" x14ac:dyDescent="0.35">
      <c r="A2771" s="323" t="str">
        <f>"61.1899"</f>
        <v>61.1899</v>
      </c>
      <c r="B2771" s="323" t="s">
        <v>4297</v>
      </c>
      <c r="C2771" s="324" t="s">
        <v>4269</v>
      </c>
      <c r="D2771" s="325" t="s">
        <v>9489</v>
      </c>
      <c r="E2771" s="326" t="s">
        <v>9490</v>
      </c>
    </row>
    <row r="2772" spans="1:5" s="327" customFormat="1" ht="14.5" customHeight="1" x14ac:dyDescent="0.35">
      <c r="A2772" s="323" t="str">
        <f>"61.19"</f>
        <v>61.19</v>
      </c>
      <c r="B2772" s="323" t="s">
        <v>4297</v>
      </c>
      <c r="C2772" s="324" t="s">
        <v>4269</v>
      </c>
      <c r="D2772" s="325" t="s">
        <v>9491</v>
      </c>
      <c r="E2772" s="326" t="s">
        <v>9492</v>
      </c>
    </row>
    <row r="2773" spans="1:5" s="327" customFormat="1" ht="14.5" customHeight="1" x14ac:dyDescent="0.35">
      <c r="A2773" s="323" t="str">
        <f>"61.1901"</f>
        <v>61.1901</v>
      </c>
      <c r="B2773" s="323" t="s">
        <v>4403</v>
      </c>
      <c r="C2773" s="324" t="s">
        <v>4269</v>
      </c>
      <c r="D2773" s="325" t="s">
        <v>8801</v>
      </c>
      <c r="E2773" s="326" t="s">
        <v>9493</v>
      </c>
    </row>
    <row r="2774" spans="1:5" s="327" customFormat="1" ht="14.5" customHeight="1" x14ac:dyDescent="0.35">
      <c r="A2774" s="323" t="str">
        <f>"61.1902"</f>
        <v>61.1902</v>
      </c>
      <c r="B2774" s="323" t="s">
        <v>4403</v>
      </c>
      <c r="C2774" s="324" t="s">
        <v>4266</v>
      </c>
      <c r="D2774" s="325" t="s">
        <v>9494</v>
      </c>
      <c r="E2774" s="326" t="s">
        <v>9495</v>
      </c>
    </row>
    <row r="2775" spans="1:5" s="327" customFormat="1" ht="14.5" customHeight="1" x14ac:dyDescent="0.35">
      <c r="A2775" s="323" t="str">
        <f>"61.1903"</f>
        <v>61.1903</v>
      </c>
      <c r="B2775" s="323" t="s">
        <v>4403</v>
      </c>
      <c r="C2775" s="324" t="s">
        <v>4266</v>
      </c>
      <c r="D2775" s="325" t="s">
        <v>9496</v>
      </c>
      <c r="E2775" s="326" t="s">
        <v>9497</v>
      </c>
    </row>
    <row r="2776" spans="1:5" s="327" customFormat="1" ht="14.5" customHeight="1" x14ac:dyDescent="0.35">
      <c r="A2776" s="323" t="str">
        <f>"61.1904"</f>
        <v>61.1904</v>
      </c>
      <c r="B2776" s="323" t="s">
        <v>4403</v>
      </c>
      <c r="C2776" s="324" t="s">
        <v>4266</v>
      </c>
      <c r="D2776" s="325" t="s">
        <v>9498</v>
      </c>
      <c r="E2776" s="326" t="s">
        <v>9499</v>
      </c>
    </row>
    <row r="2777" spans="1:5" s="327" customFormat="1" ht="14.5" customHeight="1" x14ac:dyDescent="0.35">
      <c r="A2777" s="323" t="str">
        <f>"61.1905"</f>
        <v>61.1905</v>
      </c>
      <c r="B2777" s="323" t="s">
        <v>4403</v>
      </c>
      <c r="C2777" s="324" t="s">
        <v>4266</v>
      </c>
      <c r="D2777" s="325" t="s">
        <v>9500</v>
      </c>
      <c r="E2777" s="326" t="s">
        <v>9501</v>
      </c>
    </row>
    <row r="2778" spans="1:5" s="327" customFormat="1" ht="14.5" customHeight="1" x14ac:dyDescent="0.35">
      <c r="A2778" s="323" t="str">
        <f>"61.1906"</f>
        <v>61.1906</v>
      </c>
      <c r="B2778" s="323" t="s">
        <v>4403</v>
      </c>
      <c r="C2778" s="324" t="s">
        <v>4266</v>
      </c>
      <c r="D2778" s="325" t="s">
        <v>9502</v>
      </c>
      <c r="E2778" s="326" t="s">
        <v>9503</v>
      </c>
    </row>
    <row r="2779" spans="1:5" s="327" customFormat="1" ht="14.5" customHeight="1" x14ac:dyDescent="0.35">
      <c r="A2779" s="323" t="str">
        <f>"61.1907"</f>
        <v>61.1907</v>
      </c>
      <c r="B2779" s="323" t="s">
        <v>4403</v>
      </c>
      <c r="C2779" s="324" t="s">
        <v>4266</v>
      </c>
      <c r="D2779" s="325" t="s">
        <v>9504</v>
      </c>
      <c r="E2779" s="326" t="s">
        <v>9505</v>
      </c>
    </row>
    <row r="2780" spans="1:5" s="327" customFormat="1" ht="14.5" customHeight="1" x14ac:dyDescent="0.35">
      <c r="A2780" s="323" t="str">
        <f>"61.1908"</f>
        <v>61.1908</v>
      </c>
      <c r="B2780" s="323" t="s">
        <v>4403</v>
      </c>
      <c r="C2780" s="324" t="s">
        <v>4266</v>
      </c>
      <c r="D2780" s="325" t="s">
        <v>9506</v>
      </c>
      <c r="E2780" s="326" t="s">
        <v>9507</v>
      </c>
    </row>
    <row r="2781" spans="1:5" s="327" customFormat="1" ht="14.5" customHeight="1" x14ac:dyDescent="0.35">
      <c r="A2781" s="323" t="str">
        <f>"61.1909"</f>
        <v>61.1909</v>
      </c>
      <c r="B2781" s="323" t="s">
        <v>4403</v>
      </c>
      <c r="C2781" s="324" t="s">
        <v>4266</v>
      </c>
      <c r="D2781" s="325" t="s">
        <v>9508</v>
      </c>
      <c r="E2781" s="326" t="s">
        <v>9509</v>
      </c>
    </row>
    <row r="2782" spans="1:5" s="327" customFormat="1" ht="14.5" customHeight="1" x14ac:dyDescent="0.35">
      <c r="A2782" s="323" t="str">
        <f>"61.1910"</f>
        <v>61.1910</v>
      </c>
      <c r="B2782" s="323" t="s">
        <v>4403</v>
      </c>
      <c r="C2782" s="324" t="s">
        <v>4266</v>
      </c>
      <c r="D2782" s="325" t="s">
        <v>9510</v>
      </c>
      <c r="E2782" s="326" t="s">
        <v>9511</v>
      </c>
    </row>
    <row r="2783" spans="1:5" s="327" customFormat="1" ht="14.5" customHeight="1" x14ac:dyDescent="0.35">
      <c r="A2783" s="323" t="str">
        <f>"61.1911"</f>
        <v>61.1911</v>
      </c>
      <c r="B2783" s="323" t="s">
        <v>4403</v>
      </c>
      <c r="C2783" s="324" t="s">
        <v>4266</v>
      </c>
      <c r="D2783" s="325" t="s">
        <v>9512</v>
      </c>
      <c r="E2783" s="326" t="s">
        <v>9513</v>
      </c>
    </row>
    <row r="2784" spans="1:5" s="327" customFormat="1" ht="14.5" customHeight="1" x14ac:dyDescent="0.35">
      <c r="A2784" s="323" t="str">
        <f>"61.1912"</f>
        <v>61.1912</v>
      </c>
      <c r="B2784" s="323" t="s">
        <v>4403</v>
      </c>
      <c r="C2784" s="324" t="s">
        <v>4266</v>
      </c>
      <c r="D2784" s="325" t="s">
        <v>9514</v>
      </c>
      <c r="E2784" s="326" t="s">
        <v>9515</v>
      </c>
    </row>
    <row r="2785" spans="1:5" s="327" customFormat="1" ht="14.5" customHeight="1" x14ac:dyDescent="0.35">
      <c r="A2785" s="323" t="str">
        <f>"61.1913"</f>
        <v>61.1913</v>
      </c>
      <c r="B2785" s="323" t="s">
        <v>4403</v>
      </c>
      <c r="C2785" s="324" t="s">
        <v>4266</v>
      </c>
      <c r="D2785" s="325" t="s">
        <v>9516</v>
      </c>
      <c r="E2785" s="326" t="s">
        <v>9517</v>
      </c>
    </row>
    <row r="2786" spans="1:5" s="327" customFormat="1" ht="14.5" customHeight="1" x14ac:dyDescent="0.35">
      <c r="A2786" s="323" t="str">
        <f>"61.1914"</f>
        <v>61.1914</v>
      </c>
      <c r="B2786" s="323" t="s">
        <v>4403</v>
      </c>
      <c r="C2786" s="324" t="s">
        <v>4266</v>
      </c>
      <c r="D2786" s="325" t="s">
        <v>9518</v>
      </c>
      <c r="E2786" s="326" t="s">
        <v>9519</v>
      </c>
    </row>
    <row r="2787" spans="1:5" s="327" customFormat="1" ht="14.5" customHeight="1" x14ac:dyDescent="0.35">
      <c r="A2787" s="323" t="str">
        <f>"61.1915"</f>
        <v>61.1915</v>
      </c>
      <c r="B2787" s="323" t="s">
        <v>4403</v>
      </c>
      <c r="C2787" s="324" t="s">
        <v>4266</v>
      </c>
      <c r="D2787" s="325" t="s">
        <v>9520</v>
      </c>
      <c r="E2787" s="326" t="s">
        <v>9521</v>
      </c>
    </row>
    <row r="2788" spans="1:5" s="327" customFormat="1" ht="14.5" customHeight="1" x14ac:dyDescent="0.35">
      <c r="A2788" s="323" t="str">
        <f>"61.1917"</f>
        <v>61.1917</v>
      </c>
      <c r="B2788" s="323" t="s">
        <v>4403</v>
      </c>
      <c r="C2788" s="324" t="s">
        <v>4266</v>
      </c>
      <c r="D2788" s="325" t="s">
        <v>9522</v>
      </c>
      <c r="E2788" s="326" t="s">
        <v>9523</v>
      </c>
    </row>
    <row r="2789" spans="1:5" s="327" customFormat="1" ht="14.5" customHeight="1" x14ac:dyDescent="0.35">
      <c r="A2789" s="323" t="str">
        <f>"61.1999"</f>
        <v>61.1999</v>
      </c>
      <c r="B2789" s="323" t="s">
        <v>4297</v>
      </c>
      <c r="C2789" s="324" t="s">
        <v>4269</v>
      </c>
      <c r="D2789" s="325" t="s">
        <v>9524</v>
      </c>
      <c r="E2789" s="326" t="s">
        <v>9525</v>
      </c>
    </row>
    <row r="2790" spans="1:5" s="327" customFormat="1" ht="14.5" customHeight="1" x14ac:dyDescent="0.35">
      <c r="A2790" s="323" t="str">
        <f>"61.20"</f>
        <v>61.20</v>
      </c>
      <c r="B2790" s="323" t="s">
        <v>4297</v>
      </c>
      <c r="C2790" s="324" t="s">
        <v>4269</v>
      </c>
      <c r="D2790" s="325" t="s">
        <v>9526</v>
      </c>
      <c r="E2790" s="326" t="s">
        <v>9527</v>
      </c>
    </row>
    <row r="2791" spans="1:5" s="327" customFormat="1" ht="14.5" customHeight="1" x14ac:dyDescent="0.35">
      <c r="A2791" s="323" t="str">
        <f>"61.2001"</f>
        <v>61.2001</v>
      </c>
      <c r="B2791" s="323" t="s">
        <v>4403</v>
      </c>
      <c r="C2791" s="324" t="s">
        <v>4269</v>
      </c>
      <c r="D2791" s="325" t="s">
        <v>8803</v>
      </c>
      <c r="E2791" s="326" t="s">
        <v>9528</v>
      </c>
    </row>
    <row r="2792" spans="1:5" s="327" customFormat="1" ht="14.5" customHeight="1" x14ac:dyDescent="0.35">
      <c r="A2792" s="323" t="str">
        <f>"61.2002"</f>
        <v>61.2002</v>
      </c>
      <c r="B2792" s="323" t="s">
        <v>4403</v>
      </c>
      <c r="C2792" s="324" t="s">
        <v>4266</v>
      </c>
      <c r="D2792" s="325" t="s">
        <v>9529</v>
      </c>
      <c r="E2792" s="326" t="s">
        <v>9530</v>
      </c>
    </row>
    <row r="2793" spans="1:5" s="327" customFormat="1" ht="14.5" customHeight="1" x14ac:dyDescent="0.35">
      <c r="A2793" s="323" t="str">
        <f>"61.2003"</f>
        <v>61.2003</v>
      </c>
      <c r="B2793" s="323" t="s">
        <v>4403</v>
      </c>
      <c r="C2793" s="324" t="s">
        <v>4266</v>
      </c>
      <c r="D2793" s="325" t="s">
        <v>9531</v>
      </c>
      <c r="E2793" s="326" t="s">
        <v>9532</v>
      </c>
    </row>
    <row r="2794" spans="1:5" s="327" customFormat="1" ht="14.5" customHeight="1" x14ac:dyDescent="0.35">
      <c r="A2794" s="323" t="str">
        <f>"61.2099"</f>
        <v>61.2099</v>
      </c>
      <c r="B2794" s="323" t="s">
        <v>4297</v>
      </c>
      <c r="C2794" s="324" t="s">
        <v>4269</v>
      </c>
      <c r="D2794" s="325" t="s">
        <v>9533</v>
      </c>
      <c r="E2794" s="326" t="s">
        <v>9534</v>
      </c>
    </row>
    <row r="2795" spans="1:5" s="327" customFormat="1" ht="14.5" customHeight="1" x14ac:dyDescent="0.35">
      <c r="A2795" s="323" t="str">
        <f>"61.21"</f>
        <v>61.21</v>
      </c>
      <c r="B2795" s="323" t="s">
        <v>4297</v>
      </c>
      <c r="C2795" s="324" t="s">
        <v>4269</v>
      </c>
      <c r="D2795" s="325" t="s">
        <v>9535</v>
      </c>
      <c r="E2795" s="326" t="s">
        <v>9536</v>
      </c>
    </row>
    <row r="2796" spans="1:5" s="327" customFormat="1" ht="14.5" customHeight="1" x14ac:dyDescent="0.35">
      <c r="A2796" s="323" t="str">
        <f>"61.2101"</f>
        <v>61.2101</v>
      </c>
      <c r="B2796" s="323" t="s">
        <v>4403</v>
      </c>
      <c r="C2796" s="324" t="s">
        <v>4269</v>
      </c>
      <c r="D2796" s="325" t="s">
        <v>8805</v>
      </c>
      <c r="E2796" s="326" t="s">
        <v>9537</v>
      </c>
    </row>
    <row r="2797" spans="1:5" s="327" customFormat="1" ht="14.5" customHeight="1" x14ac:dyDescent="0.35">
      <c r="A2797" s="323" t="str">
        <f>"61.2102"</f>
        <v>61.2102</v>
      </c>
      <c r="B2797" s="323" t="s">
        <v>4297</v>
      </c>
      <c r="C2797" s="324" t="s">
        <v>4269</v>
      </c>
      <c r="D2797" s="325" t="s">
        <v>9538</v>
      </c>
      <c r="E2797" s="326" t="s">
        <v>9539</v>
      </c>
    </row>
    <row r="2798" spans="1:5" s="327" customFormat="1" ht="14.5" customHeight="1" x14ac:dyDescent="0.35">
      <c r="A2798" s="323" t="str">
        <f>"61.2103"</f>
        <v>61.2103</v>
      </c>
      <c r="B2798" s="323" t="s">
        <v>4403</v>
      </c>
      <c r="C2798" s="324" t="s">
        <v>4266</v>
      </c>
      <c r="D2798" s="325" t="s">
        <v>9540</v>
      </c>
      <c r="E2798" s="326" t="s">
        <v>9541</v>
      </c>
    </row>
    <row r="2799" spans="1:5" s="327" customFormat="1" ht="14.5" customHeight="1" x14ac:dyDescent="0.35">
      <c r="A2799" s="323" t="str">
        <f>"61.2199"</f>
        <v>61.2199</v>
      </c>
      <c r="B2799" s="323" t="s">
        <v>4297</v>
      </c>
      <c r="C2799" s="324" t="s">
        <v>4269</v>
      </c>
      <c r="D2799" s="325" t="s">
        <v>9542</v>
      </c>
      <c r="E2799" s="326" t="s">
        <v>9543</v>
      </c>
    </row>
    <row r="2800" spans="1:5" s="327" customFormat="1" ht="14.5" customHeight="1" x14ac:dyDescent="0.35">
      <c r="A2800" s="323" t="str">
        <f>"61.22"</f>
        <v>61.22</v>
      </c>
      <c r="B2800" s="323" t="s">
        <v>4403</v>
      </c>
      <c r="C2800" s="324" t="s">
        <v>4266</v>
      </c>
      <c r="D2800" s="325" t="s">
        <v>9544</v>
      </c>
      <c r="E2800" s="326" t="s">
        <v>9545</v>
      </c>
    </row>
    <row r="2801" spans="1:5" s="327" customFormat="1" ht="14.5" customHeight="1" x14ac:dyDescent="0.35">
      <c r="A2801" s="323" t="str">
        <f>"61.2201"</f>
        <v>61.2201</v>
      </c>
      <c r="B2801" s="323" t="s">
        <v>4297</v>
      </c>
      <c r="C2801" s="324" t="s">
        <v>4269</v>
      </c>
      <c r="D2801" s="325" t="s">
        <v>9546</v>
      </c>
      <c r="E2801" s="326" t="s">
        <v>9547</v>
      </c>
    </row>
    <row r="2802" spans="1:5" s="327" customFormat="1" ht="14.5" customHeight="1" x14ac:dyDescent="0.35">
      <c r="A2802" s="323" t="str">
        <f>"61.2299"</f>
        <v>61.2299</v>
      </c>
      <c r="B2802" s="323" t="s">
        <v>4297</v>
      </c>
      <c r="C2802" s="324" t="s">
        <v>4269</v>
      </c>
      <c r="D2802" s="325" t="s">
        <v>9548</v>
      </c>
      <c r="E2802" s="326" t="s">
        <v>9549</v>
      </c>
    </row>
    <row r="2803" spans="1:5" s="327" customFormat="1" ht="14.5" customHeight="1" x14ac:dyDescent="0.35">
      <c r="A2803" s="323" t="str">
        <f>"61.23"</f>
        <v>61.23</v>
      </c>
      <c r="B2803" s="323" t="s">
        <v>4297</v>
      </c>
      <c r="C2803" s="324" t="s">
        <v>4269</v>
      </c>
      <c r="D2803" s="325" t="s">
        <v>9550</v>
      </c>
      <c r="E2803" s="326" t="s">
        <v>9551</v>
      </c>
    </row>
    <row r="2804" spans="1:5" s="327" customFormat="1" ht="14.5" customHeight="1" x14ac:dyDescent="0.35">
      <c r="A2804" s="323" t="str">
        <f>"61.2301"</f>
        <v>61.2301</v>
      </c>
      <c r="B2804" s="323" t="s">
        <v>4403</v>
      </c>
      <c r="C2804" s="324" t="s">
        <v>4269</v>
      </c>
      <c r="D2804" s="325" t="s">
        <v>8809</v>
      </c>
      <c r="E2804" s="326" t="s">
        <v>9552</v>
      </c>
    </row>
    <row r="2805" spans="1:5" s="327" customFormat="1" ht="14.5" customHeight="1" x14ac:dyDescent="0.35">
      <c r="A2805" s="323" t="str">
        <f>"61.2302"</f>
        <v>61.2302</v>
      </c>
      <c r="B2805" s="323" t="s">
        <v>4403</v>
      </c>
      <c r="C2805" s="324" t="s">
        <v>4269</v>
      </c>
      <c r="D2805" s="325" t="s">
        <v>8754</v>
      </c>
      <c r="E2805" s="326" t="s">
        <v>9553</v>
      </c>
    </row>
    <row r="2806" spans="1:5" s="327" customFormat="1" ht="14.5" customHeight="1" x14ac:dyDescent="0.35">
      <c r="A2806" s="323" t="str">
        <f>"61.2303"</f>
        <v>61.2303</v>
      </c>
      <c r="B2806" s="323" t="s">
        <v>4403</v>
      </c>
      <c r="C2806" s="324" t="s">
        <v>4269</v>
      </c>
      <c r="D2806" s="325" t="s">
        <v>8791</v>
      </c>
      <c r="E2806" s="326" t="s">
        <v>9554</v>
      </c>
    </row>
    <row r="2807" spans="1:5" s="327" customFormat="1" ht="14.5" customHeight="1" x14ac:dyDescent="0.35">
      <c r="A2807" s="323" t="str">
        <f>"61.2399"</f>
        <v>61.2399</v>
      </c>
      <c r="B2807" s="323" t="s">
        <v>4297</v>
      </c>
      <c r="C2807" s="324" t="s">
        <v>4269</v>
      </c>
      <c r="D2807" s="325" t="s">
        <v>9555</v>
      </c>
      <c r="E2807" s="326" t="s">
        <v>9556</v>
      </c>
    </row>
    <row r="2808" spans="1:5" s="327" customFormat="1" ht="14.5" customHeight="1" x14ac:dyDescent="0.35">
      <c r="A2808" s="323" t="str">
        <f>"61.24"</f>
        <v>61.24</v>
      </c>
      <c r="B2808" s="323" t="s">
        <v>4297</v>
      </c>
      <c r="C2808" s="324" t="s">
        <v>4269</v>
      </c>
      <c r="D2808" s="325" t="s">
        <v>9557</v>
      </c>
      <c r="E2808" s="326" t="s">
        <v>9558</v>
      </c>
    </row>
    <row r="2809" spans="1:5" s="327" customFormat="1" ht="14.5" customHeight="1" x14ac:dyDescent="0.35">
      <c r="A2809" s="323" t="str">
        <f>"61.2401"</f>
        <v>61.2401</v>
      </c>
      <c r="B2809" s="323" t="s">
        <v>4403</v>
      </c>
      <c r="C2809" s="324" t="s">
        <v>4269</v>
      </c>
      <c r="D2809" s="325" t="s">
        <v>8807</v>
      </c>
      <c r="E2809" s="326" t="s">
        <v>9559</v>
      </c>
    </row>
    <row r="2810" spans="1:5" s="327" customFormat="1" ht="14.5" customHeight="1" x14ac:dyDescent="0.35">
      <c r="A2810" s="323" t="str">
        <f>"61.2402"</f>
        <v>61.2402</v>
      </c>
      <c r="B2810" s="323" t="s">
        <v>4403</v>
      </c>
      <c r="C2810" s="324" t="s">
        <v>4266</v>
      </c>
      <c r="D2810" s="325" t="s">
        <v>9560</v>
      </c>
      <c r="E2810" s="326" t="s">
        <v>9561</v>
      </c>
    </row>
    <row r="2811" spans="1:5" s="327" customFormat="1" ht="14.5" customHeight="1" x14ac:dyDescent="0.35">
      <c r="A2811" s="323" t="str">
        <f>"61.2403"</f>
        <v>61.2403</v>
      </c>
      <c r="B2811" s="323" t="s">
        <v>4403</v>
      </c>
      <c r="C2811" s="324" t="s">
        <v>4266</v>
      </c>
      <c r="D2811" s="325" t="s">
        <v>9562</v>
      </c>
      <c r="E2811" s="326" t="s">
        <v>9563</v>
      </c>
    </row>
    <row r="2812" spans="1:5" s="327" customFormat="1" ht="14.5" customHeight="1" x14ac:dyDescent="0.35">
      <c r="A2812" s="323" t="str">
        <f>"61.2404"</f>
        <v>61.2404</v>
      </c>
      <c r="B2812" s="323" t="s">
        <v>4403</v>
      </c>
      <c r="C2812" s="324" t="s">
        <v>4266</v>
      </c>
      <c r="D2812" s="325" t="s">
        <v>9564</v>
      </c>
      <c r="E2812" s="326" t="s">
        <v>9565</v>
      </c>
    </row>
    <row r="2813" spans="1:5" s="327" customFormat="1" ht="14.5" customHeight="1" x14ac:dyDescent="0.35">
      <c r="A2813" s="323" t="str">
        <f>"61.2405"</f>
        <v>61.2405</v>
      </c>
      <c r="B2813" s="323" t="s">
        <v>4403</v>
      </c>
      <c r="C2813" s="324" t="s">
        <v>4266</v>
      </c>
      <c r="D2813" s="325" t="s">
        <v>9566</v>
      </c>
      <c r="E2813" s="326" t="s">
        <v>9567</v>
      </c>
    </row>
    <row r="2814" spans="1:5" s="327" customFormat="1" ht="14.5" customHeight="1" x14ac:dyDescent="0.35">
      <c r="A2814" s="323" t="str">
        <f>"61.2406"</f>
        <v>61.2406</v>
      </c>
      <c r="B2814" s="323" t="s">
        <v>4403</v>
      </c>
      <c r="C2814" s="324" t="s">
        <v>4266</v>
      </c>
      <c r="D2814" s="325" t="s">
        <v>9568</v>
      </c>
      <c r="E2814" s="326" t="s">
        <v>9569</v>
      </c>
    </row>
    <row r="2815" spans="1:5" s="327" customFormat="1" ht="14.5" customHeight="1" x14ac:dyDescent="0.35">
      <c r="A2815" s="323" t="str">
        <f>"61.2499"</f>
        <v>61.2499</v>
      </c>
      <c r="B2815" s="323" t="s">
        <v>4297</v>
      </c>
      <c r="C2815" s="324" t="s">
        <v>4269</v>
      </c>
      <c r="D2815" s="325" t="s">
        <v>9570</v>
      </c>
      <c r="E2815" s="326" t="s">
        <v>9571</v>
      </c>
    </row>
    <row r="2816" spans="1:5" s="327" customFormat="1" ht="14.5" customHeight="1" x14ac:dyDescent="0.35">
      <c r="A2816" s="323" t="str">
        <f>"61.25"</f>
        <v>61.25</v>
      </c>
      <c r="B2816" s="323" t="s">
        <v>4297</v>
      </c>
      <c r="C2816" s="324" t="s">
        <v>4269</v>
      </c>
      <c r="D2816" s="325" t="s">
        <v>9572</v>
      </c>
      <c r="E2816" s="326" t="s">
        <v>9573</v>
      </c>
    </row>
    <row r="2817" spans="1:5" s="327" customFormat="1" ht="14.5" customHeight="1" x14ac:dyDescent="0.35">
      <c r="A2817" s="323" t="str">
        <f>"61.2501"</f>
        <v>61.2501</v>
      </c>
      <c r="B2817" s="323" t="s">
        <v>4403</v>
      </c>
      <c r="C2817" s="324" t="s">
        <v>4269</v>
      </c>
      <c r="D2817" s="325" t="s">
        <v>8811</v>
      </c>
      <c r="E2817" s="326" t="s">
        <v>9574</v>
      </c>
    </row>
    <row r="2818" spans="1:5" s="327" customFormat="1" ht="14.5" customHeight="1" x14ac:dyDescent="0.35">
      <c r="A2818" s="323" t="str">
        <f>"61.2599"</f>
        <v>61.2599</v>
      </c>
      <c r="B2818" s="323" t="s">
        <v>4297</v>
      </c>
      <c r="C2818" s="324" t="s">
        <v>4269</v>
      </c>
      <c r="D2818" s="325" t="s">
        <v>9575</v>
      </c>
      <c r="E2818" s="326" t="s">
        <v>9576</v>
      </c>
    </row>
    <row r="2819" spans="1:5" s="327" customFormat="1" ht="14.5" customHeight="1" x14ac:dyDescent="0.35">
      <c r="A2819" s="323" t="str">
        <f>"61.26"</f>
        <v>61.26</v>
      </c>
      <c r="B2819" s="323" t="s">
        <v>4297</v>
      </c>
      <c r="C2819" s="324" t="s">
        <v>4269</v>
      </c>
      <c r="D2819" s="325" t="s">
        <v>9577</v>
      </c>
      <c r="E2819" s="326" t="s">
        <v>9578</v>
      </c>
    </row>
    <row r="2820" spans="1:5" s="327" customFormat="1" ht="14.5" customHeight="1" x14ac:dyDescent="0.35">
      <c r="A2820" s="323" t="str">
        <f>"61.2601"</f>
        <v>61.2601</v>
      </c>
      <c r="B2820" s="323" t="s">
        <v>4403</v>
      </c>
      <c r="C2820" s="324" t="s">
        <v>4269</v>
      </c>
      <c r="D2820" s="325" t="s">
        <v>8773</v>
      </c>
      <c r="E2820" s="326" t="s">
        <v>9579</v>
      </c>
    </row>
    <row r="2821" spans="1:5" s="327" customFormat="1" ht="14.5" customHeight="1" x14ac:dyDescent="0.35">
      <c r="A2821" s="323" t="str">
        <f>"61.2602"</f>
        <v>61.2602</v>
      </c>
      <c r="B2821" s="323" t="s">
        <v>4297</v>
      </c>
      <c r="C2821" s="324" t="s">
        <v>4269</v>
      </c>
      <c r="D2821" s="325" t="s">
        <v>9580</v>
      </c>
      <c r="E2821" s="326" t="s">
        <v>9581</v>
      </c>
    </row>
    <row r="2822" spans="1:5" s="327" customFormat="1" ht="14.5" customHeight="1" x14ac:dyDescent="0.35">
      <c r="A2822" s="323" t="str">
        <f>"61.2603"</f>
        <v>61.2603</v>
      </c>
      <c r="B2822" s="323" t="s">
        <v>4297</v>
      </c>
      <c r="C2822" s="324" t="s">
        <v>4269</v>
      </c>
      <c r="D2822" s="325" t="s">
        <v>9582</v>
      </c>
      <c r="E2822" s="326" t="s">
        <v>9583</v>
      </c>
    </row>
    <row r="2823" spans="1:5" s="327" customFormat="1" ht="14.5" customHeight="1" x14ac:dyDescent="0.35">
      <c r="A2823" s="323" t="str">
        <f>"61.2604"</f>
        <v>61.2604</v>
      </c>
      <c r="B2823" s="323" t="s">
        <v>4403</v>
      </c>
      <c r="C2823" s="324" t="s">
        <v>4269</v>
      </c>
      <c r="D2823" s="325" t="s">
        <v>8851</v>
      </c>
      <c r="E2823" s="326" t="s">
        <v>9584</v>
      </c>
    </row>
    <row r="2824" spans="1:5" s="327" customFormat="1" ht="14.5" customHeight="1" x14ac:dyDescent="0.35">
      <c r="A2824" s="323" t="str">
        <f>"61.2605"</f>
        <v>61.2605</v>
      </c>
      <c r="B2824" s="323" t="s">
        <v>4403</v>
      </c>
      <c r="C2824" s="324" t="s">
        <v>4269</v>
      </c>
      <c r="D2824" s="325" t="s">
        <v>8887</v>
      </c>
      <c r="E2824" s="326" t="s">
        <v>9585</v>
      </c>
    </row>
    <row r="2825" spans="1:5" s="327" customFormat="1" ht="14.5" customHeight="1" x14ac:dyDescent="0.35">
      <c r="A2825" s="323" t="str">
        <f>"61.2606"</f>
        <v>61.2606</v>
      </c>
      <c r="B2825" s="323" t="s">
        <v>4297</v>
      </c>
      <c r="C2825" s="324" t="s">
        <v>4269</v>
      </c>
      <c r="D2825" s="325" t="s">
        <v>9586</v>
      </c>
      <c r="E2825" s="326" t="s">
        <v>9587</v>
      </c>
    </row>
    <row r="2826" spans="1:5" s="327" customFormat="1" ht="14.5" customHeight="1" x14ac:dyDescent="0.35">
      <c r="A2826" s="323" t="str">
        <f>"61.2607"</f>
        <v>61.2607</v>
      </c>
      <c r="B2826" s="323" t="s">
        <v>4403</v>
      </c>
      <c r="C2826" s="324" t="s">
        <v>4266</v>
      </c>
      <c r="D2826" s="325" t="s">
        <v>9588</v>
      </c>
      <c r="E2826" s="326" t="s">
        <v>9589</v>
      </c>
    </row>
    <row r="2827" spans="1:5" s="327" customFormat="1" ht="14.5" customHeight="1" x14ac:dyDescent="0.35">
      <c r="A2827" s="323" t="str">
        <f>"61.2608"</f>
        <v>61.2608</v>
      </c>
      <c r="B2827" s="323" t="s">
        <v>4403</v>
      </c>
      <c r="C2827" s="324" t="s">
        <v>4266</v>
      </c>
      <c r="D2827" s="325" t="s">
        <v>9590</v>
      </c>
      <c r="E2827" s="326" t="s">
        <v>9591</v>
      </c>
    </row>
    <row r="2828" spans="1:5" s="327" customFormat="1" ht="14.5" customHeight="1" x14ac:dyDescent="0.35">
      <c r="A2828" s="323" t="str">
        <f>"61.2609"</f>
        <v>61.2609</v>
      </c>
      <c r="B2828" s="323" t="s">
        <v>4403</v>
      </c>
      <c r="C2828" s="324" t="s">
        <v>4266</v>
      </c>
      <c r="D2828" s="325" t="s">
        <v>9592</v>
      </c>
      <c r="E2828" s="326" t="s">
        <v>9593</v>
      </c>
    </row>
    <row r="2829" spans="1:5" s="327" customFormat="1" ht="14.5" customHeight="1" x14ac:dyDescent="0.35">
      <c r="A2829" s="323" t="str">
        <f>"61.2610"</f>
        <v>61.2610</v>
      </c>
      <c r="B2829" s="323" t="s">
        <v>4403</v>
      </c>
      <c r="C2829" s="324" t="s">
        <v>4269</v>
      </c>
      <c r="D2829" s="325" t="s">
        <v>8813</v>
      </c>
      <c r="E2829" s="326" t="s">
        <v>9594</v>
      </c>
    </row>
    <row r="2830" spans="1:5" s="327" customFormat="1" ht="14.5" customHeight="1" x14ac:dyDescent="0.35">
      <c r="A2830" s="323" t="str">
        <f>"61.2611"</f>
        <v>61.2611</v>
      </c>
      <c r="B2830" s="323" t="s">
        <v>4403</v>
      </c>
      <c r="C2830" s="324" t="s">
        <v>4269</v>
      </c>
      <c r="D2830" s="325" t="s">
        <v>8981</v>
      </c>
      <c r="E2830" s="326" t="s">
        <v>9595</v>
      </c>
    </row>
    <row r="2831" spans="1:5" s="327" customFormat="1" ht="14.5" customHeight="1" x14ac:dyDescent="0.35">
      <c r="A2831" s="323" t="str">
        <f>"61.2612"</f>
        <v>61.2612</v>
      </c>
      <c r="B2831" s="323" t="s">
        <v>4403</v>
      </c>
      <c r="C2831" s="324" t="s">
        <v>4266</v>
      </c>
      <c r="D2831" s="325" t="s">
        <v>9596</v>
      </c>
      <c r="E2831" s="326" t="s">
        <v>9597</v>
      </c>
    </row>
    <row r="2832" spans="1:5" s="327" customFormat="1" ht="14.5" customHeight="1" x14ac:dyDescent="0.35">
      <c r="A2832" s="323" t="str">
        <f>"61.2699"</f>
        <v>61.2699</v>
      </c>
      <c r="B2832" s="323" t="s">
        <v>4297</v>
      </c>
      <c r="C2832" s="324" t="s">
        <v>4269</v>
      </c>
      <c r="D2832" s="325" t="s">
        <v>9598</v>
      </c>
      <c r="E2832" s="326" t="s">
        <v>9599</v>
      </c>
    </row>
    <row r="2833" spans="1:5" s="327" customFormat="1" ht="14.5" customHeight="1" x14ac:dyDescent="0.35">
      <c r="A2833" s="323" t="str">
        <f>"61.27"</f>
        <v>61.27</v>
      </c>
      <c r="B2833" s="323" t="s">
        <v>4297</v>
      </c>
      <c r="C2833" s="324" t="s">
        <v>4269</v>
      </c>
      <c r="D2833" s="325" t="s">
        <v>9600</v>
      </c>
      <c r="E2833" s="326" t="s">
        <v>9601</v>
      </c>
    </row>
    <row r="2834" spans="1:5" s="327" customFormat="1" ht="14.5" customHeight="1" x14ac:dyDescent="0.35">
      <c r="A2834" s="323" t="str">
        <f>"61.2701"</f>
        <v>61.2701</v>
      </c>
      <c r="B2834" s="323" t="s">
        <v>4403</v>
      </c>
      <c r="C2834" s="324" t="s">
        <v>4269</v>
      </c>
      <c r="D2834" s="325" t="s">
        <v>8779</v>
      </c>
      <c r="E2834" s="326" t="s">
        <v>9602</v>
      </c>
    </row>
    <row r="2835" spans="1:5" s="327" customFormat="1" ht="14.5" customHeight="1" x14ac:dyDescent="0.35">
      <c r="A2835" s="323" t="str">
        <f>"61.2702"</f>
        <v>61.2702</v>
      </c>
      <c r="B2835" s="323" t="s">
        <v>4403</v>
      </c>
      <c r="C2835" s="324" t="s">
        <v>4266</v>
      </c>
      <c r="D2835" s="325" t="s">
        <v>8769</v>
      </c>
      <c r="E2835" s="326" t="s">
        <v>9603</v>
      </c>
    </row>
    <row r="2836" spans="1:5" s="327" customFormat="1" ht="14.5" customHeight="1" x14ac:dyDescent="0.35">
      <c r="A2836" s="323" t="str">
        <f>"61.2703"</f>
        <v>61.2703</v>
      </c>
      <c r="B2836" s="323" t="s">
        <v>4297</v>
      </c>
      <c r="C2836" s="324" t="s">
        <v>4269</v>
      </c>
      <c r="D2836" s="325" t="s">
        <v>9604</v>
      </c>
      <c r="E2836" s="326" t="s">
        <v>9605</v>
      </c>
    </row>
    <row r="2837" spans="1:5" s="327" customFormat="1" ht="14.5" customHeight="1" x14ac:dyDescent="0.35">
      <c r="A2837" s="323" t="str">
        <f>"61.2704"</f>
        <v>61.2704</v>
      </c>
      <c r="B2837" s="323" t="s">
        <v>4403</v>
      </c>
      <c r="C2837" s="324" t="s">
        <v>4266</v>
      </c>
      <c r="D2837" s="325" t="s">
        <v>9606</v>
      </c>
      <c r="E2837" s="326" t="s">
        <v>9607</v>
      </c>
    </row>
    <row r="2838" spans="1:5" s="327" customFormat="1" ht="14.5" customHeight="1" x14ac:dyDescent="0.35">
      <c r="A2838" s="323" t="str">
        <f>"61.2705"</f>
        <v>61.2705</v>
      </c>
      <c r="B2838" s="323" t="s">
        <v>4403</v>
      </c>
      <c r="C2838" s="324" t="s">
        <v>4266</v>
      </c>
      <c r="D2838" s="325" t="s">
        <v>9608</v>
      </c>
      <c r="E2838" s="326" t="s">
        <v>9609</v>
      </c>
    </row>
    <row r="2839" spans="1:5" s="327" customFormat="1" ht="14.5" customHeight="1" x14ac:dyDescent="0.35">
      <c r="A2839" s="323" t="str">
        <f>"61.2706"</f>
        <v>61.2706</v>
      </c>
      <c r="B2839" s="323" t="s">
        <v>4403</v>
      </c>
      <c r="C2839" s="324" t="s">
        <v>4266</v>
      </c>
      <c r="D2839" s="325" t="s">
        <v>9610</v>
      </c>
      <c r="E2839" s="326" t="s">
        <v>9611</v>
      </c>
    </row>
    <row r="2840" spans="1:5" s="327" customFormat="1" ht="14.5" customHeight="1" x14ac:dyDescent="0.35">
      <c r="A2840" s="323" t="str">
        <f>"61.2707"</f>
        <v>61.2707</v>
      </c>
      <c r="B2840" s="323" t="s">
        <v>4403</v>
      </c>
      <c r="C2840" s="324" t="s">
        <v>4266</v>
      </c>
      <c r="D2840" s="325" t="s">
        <v>9612</v>
      </c>
      <c r="E2840" s="326" t="s">
        <v>9613</v>
      </c>
    </row>
    <row r="2841" spans="1:5" s="327" customFormat="1" ht="14.5" customHeight="1" x14ac:dyDescent="0.35">
      <c r="A2841" s="323" t="str">
        <f>"61.2708"</f>
        <v>61.2708</v>
      </c>
      <c r="B2841" s="323" t="s">
        <v>4403</v>
      </c>
      <c r="C2841" s="324" t="s">
        <v>4266</v>
      </c>
      <c r="D2841" s="325" t="s">
        <v>9614</v>
      </c>
      <c r="E2841" s="326" t="s">
        <v>9615</v>
      </c>
    </row>
    <row r="2842" spans="1:5" s="327" customFormat="1" ht="14.5" customHeight="1" x14ac:dyDescent="0.35">
      <c r="A2842" s="323" t="str">
        <f>"61.2799"</f>
        <v>61.2799</v>
      </c>
      <c r="B2842" s="323" t="s">
        <v>4297</v>
      </c>
      <c r="C2842" s="324" t="s">
        <v>4269</v>
      </c>
      <c r="D2842" s="325" t="s">
        <v>9616</v>
      </c>
      <c r="E2842" s="326" t="s">
        <v>9617</v>
      </c>
    </row>
    <row r="2843" spans="1:5" s="327" customFormat="1" ht="14.5" customHeight="1" x14ac:dyDescent="0.35">
      <c r="A2843" s="323" t="str">
        <f>"61.28"</f>
        <v>61.28</v>
      </c>
      <c r="B2843" s="323" t="s">
        <v>4297</v>
      </c>
      <c r="C2843" s="324" t="s">
        <v>4269</v>
      </c>
      <c r="D2843" s="325" t="s">
        <v>9618</v>
      </c>
      <c r="E2843" s="326" t="s">
        <v>9619</v>
      </c>
    </row>
    <row r="2844" spans="1:5" s="327" customFormat="1" ht="14.5" customHeight="1" x14ac:dyDescent="0.35">
      <c r="A2844" s="323" t="str">
        <f>"61.2801"</f>
        <v>61.2801</v>
      </c>
      <c r="B2844" s="323" t="s">
        <v>4403</v>
      </c>
      <c r="C2844" s="324" t="s">
        <v>4266</v>
      </c>
      <c r="D2844" s="325" t="s">
        <v>8817</v>
      </c>
      <c r="E2844" s="326" t="s">
        <v>9620</v>
      </c>
    </row>
    <row r="2845" spans="1:5" s="327" customFormat="1" ht="14.5" customHeight="1" x14ac:dyDescent="0.35">
      <c r="A2845" s="323" t="str">
        <f>"61.2802"</f>
        <v>61.2802</v>
      </c>
      <c r="B2845" s="323" t="s">
        <v>4403</v>
      </c>
      <c r="C2845" s="324" t="s">
        <v>4266</v>
      </c>
      <c r="D2845" s="325" t="s">
        <v>9621</v>
      </c>
      <c r="E2845" s="326" t="s">
        <v>9622</v>
      </c>
    </row>
    <row r="2846" spans="1:5" s="327" customFormat="1" ht="14.5" customHeight="1" x14ac:dyDescent="0.35">
      <c r="A2846" s="323" t="str">
        <f>"61.2899"</f>
        <v>61.2899</v>
      </c>
      <c r="B2846" s="323" t="s">
        <v>4297</v>
      </c>
      <c r="C2846" s="324" t="s">
        <v>4269</v>
      </c>
      <c r="D2846" s="325" t="s">
        <v>9623</v>
      </c>
      <c r="E2846" s="326" t="s">
        <v>9624</v>
      </c>
    </row>
    <row r="2847" spans="1:5" s="327" customFormat="1" ht="14.5" customHeight="1" x14ac:dyDescent="0.35">
      <c r="A2847" s="323" t="str">
        <f>"61.99"</f>
        <v>61.99</v>
      </c>
      <c r="B2847" s="323" t="s">
        <v>4297</v>
      </c>
      <c r="C2847" s="324" t="s">
        <v>4269</v>
      </c>
      <c r="D2847" s="325" t="s">
        <v>9625</v>
      </c>
      <c r="E2847" s="326" t="s">
        <v>9626</v>
      </c>
    </row>
    <row r="2848" spans="1:5" s="327" customFormat="1" ht="14.5" customHeight="1" x14ac:dyDescent="0.35">
      <c r="A2848" s="323" t="str">
        <f>"61.9999"</f>
        <v>61.9999</v>
      </c>
      <c r="B2848" s="323" t="s">
        <v>4297</v>
      </c>
      <c r="C2848" s="324" t="s">
        <v>4269</v>
      </c>
      <c r="D2848" s="325" t="s">
        <v>9625</v>
      </c>
      <c r="E2848" s="326" t="s">
        <v>9627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83C2-BAC3-4513-83AE-D33973791955}">
  <dimension ref="A1:F701"/>
  <sheetViews>
    <sheetView zoomScale="90" zoomScaleNormal="90" workbookViewId="0"/>
  </sheetViews>
  <sheetFormatPr defaultColWidth="8.7265625" defaultRowHeight="14.15" customHeight="1" x14ac:dyDescent="0.35"/>
  <cols>
    <col min="1" max="1" width="11" style="213" bestFit="1" customWidth="1"/>
    <col min="2" max="2" width="9" style="292" bestFit="1" customWidth="1"/>
    <col min="3" max="3" width="58.1796875" style="14" bestFit="1" customWidth="1"/>
    <col min="4" max="4" width="5" style="289" bestFit="1" customWidth="1"/>
    <col min="5" max="5" width="14.453125" style="298" bestFit="1" customWidth="1"/>
    <col min="6" max="6" width="51" style="299" bestFit="1" customWidth="1"/>
    <col min="7" max="16384" width="8.7265625" style="14"/>
  </cols>
  <sheetData>
    <row r="1" spans="1:6" ht="15" customHeight="1" thickBot="1" x14ac:dyDescent="0.4">
      <c r="A1" s="28" t="s">
        <v>9628</v>
      </c>
      <c r="B1" s="28" t="s">
        <v>1219</v>
      </c>
      <c r="C1" s="28" t="s">
        <v>9629</v>
      </c>
      <c r="D1" s="265"/>
      <c r="E1" s="293" t="s">
        <v>9630</v>
      </c>
      <c r="F1" s="294" t="s">
        <v>9629</v>
      </c>
    </row>
    <row r="2" spans="1:6" ht="14.15" customHeight="1" x14ac:dyDescent="0.35">
      <c r="A2" s="266" t="s">
        <v>9631</v>
      </c>
      <c r="B2" s="111" t="s">
        <v>9632</v>
      </c>
      <c r="C2" s="267" t="s">
        <v>9633</v>
      </c>
      <c r="D2" s="268"/>
      <c r="E2" s="295" t="s">
        <v>9632</v>
      </c>
      <c r="F2" s="296" t="s">
        <v>9634</v>
      </c>
    </row>
    <row r="3" spans="1:6" ht="14.15" customHeight="1" x14ac:dyDescent="0.35">
      <c r="A3" s="213" t="s">
        <v>9631</v>
      </c>
      <c r="B3" s="111" t="s">
        <v>9635</v>
      </c>
      <c r="C3" s="269" t="s">
        <v>9636</v>
      </c>
      <c r="D3" s="268"/>
      <c r="E3" s="295" t="s">
        <v>9635</v>
      </c>
      <c r="F3" s="296" t="s">
        <v>9636</v>
      </c>
    </row>
    <row r="4" spans="1:6" ht="14.15" customHeight="1" x14ac:dyDescent="0.35">
      <c r="A4" s="213" t="s">
        <v>9631</v>
      </c>
      <c r="B4" s="111" t="s">
        <v>9637</v>
      </c>
      <c r="C4" s="269" t="s">
        <v>9638</v>
      </c>
      <c r="D4" s="268"/>
      <c r="E4" s="295" t="s">
        <v>9637</v>
      </c>
      <c r="F4" s="296" t="s">
        <v>9638</v>
      </c>
    </row>
    <row r="5" spans="1:6" ht="14.15" customHeight="1" x14ac:dyDescent="0.35">
      <c r="A5" s="213" t="s">
        <v>9631</v>
      </c>
      <c r="B5" s="111" t="s">
        <v>9639</v>
      </c>
      <c r="C5" s="269" t="s">
        <v>9640</v>
      </c>
      <c r="D5" s="268"/>
      <c r="E5" s="295" t="s">
        <v>9639</v>
      </c>
      <c r="F5" s="296" t="s">
        <v>9640</v>
      </c>
    </row>
    <row r="6" spans="1:6" ht="14.15" customHeight="1" x14ac:dyDescent="0.35">
      <c r="A6" s="213" t="s">
        <v>9631</v>
      </c>
      <c r="B6" s="111" t="s">
        <v>9641</v>
      </c>
      <c r="C6" s="269" t="s">
        <v>9642</v>
      </c>
      <c r="D6" s="268"/>
      <c r="E6" s="295" t="s">
        <v>9641</v>
      </c>
      <c r="F6" s="296" t="s">
        <v>9642</v>
      </c>
    </row>
    <row r="7" spans="1:6" ht="14.15" customHeight="1" x14ac:dyDescent="0.35">
      <c r="A7" s="213" t="s">
        <v>9631</v>
      </c>
      <c r="B7" s="111" t="s">
        <v>9643</v>
      </c>
      <c r="C7" s="269" t="s">
        <v>9644</v>
      </c>
      <c r="D7" s="268"/>
      <c r="E7" s="295" t="s">
        <v>9643</v>
      </c>
      <c r="F7" s="296" t="s">
        <v>9644</v>
      </c>
    </row>
    <row r="8" spans="1:6" ht="14.15" customHeight="1" x14ac:dyDescent="0.35">
      <c r="A8" s="213" t="s">
        <v>9631</v>
      </c>
      <c r="B8" s="111" t="s">
        <v>9645</v>
      </c>
      <c r="C8" s="269" t="s">
        <v>9646</v>
      </c>
      <c r="D8" s="268"/>
      <c r="E8" s="295" t="s">
        <v>9645</v>
      </c>
      <c r="F8" s="296" t="s">
        <v>9646</v>
      </c>
    </row>
    <row r="9" spans="1:6" ht="14.15" customHeight="1" x14ac:dyDescent="0.35">
      <c r="A9" s="213" t="s">
        <v>9631</v>
      </c>
      <c r="B9" s="111" t="s">
        <v>9647</v>
      </c>
      <c r="C9" s="269" t="s">
        <v>9648</v>
      </c>
      <c r="D9" s="268"/>
      <c r="E9" s="295" t="s">
        <v>9647</v>
      </c>
      <c r="F9" s="296" t="s">
        <v>9648</v>
      </c>
    </row>
    <row r="10" spans="1:6" ht="14.15" customHeight="1" x14ac:dyDescent="0.35">
      <c r="A10" s="213" t="s">
        <v>9631</v>
      </c>
      <c r="B10" s="111" t="s">
        <v>9649</v>
      </c>
      <c r="C10" s="269" t="s">
        <v>9650</v>
      </c>
      <c r="D10" s="268"/>
      <c r="E10" s="295" t="s">
        <v>9649</v>
      </c>
      <c r="F10" s="296" t="s">
        <v>9651</v>
      </c>
    </row>
    <row r="11" spans="1:6" ht="14.15" customHeight="1" x14ac:dyDescent="0.35">
      <c r="A11" s="213" t="s">
        <v>9631</v>
      </c>
      <c r="B11" s="111" t="s">
        <v>9652</v>
      </c>
      <c r="C11" s="269" t="s">
        <v>9653</v>
      </c>
      <c r="D11" s="268"/>
      <c r="E11" s="295" t="s">
        <v>9652</v>
      </c>
      <c r="F11" s="296" t="s">
        <v>9653</v>
      </c>
    </row>
    <row r="12" spans="1:6" ht="14.15" customHeight="1" x14ac:dyDescent="0.35">
      <c r="A12" s="213" t="s">
        <v>9631</v>
      </c>
      <c r="B12" s="111" t="s">
        <v>9654</v>
      </c>
      <c r="C12" s="269" t="s">
        <v>9655</v>
      </c>
      <c r="D12" s="268"/>
      <c r="E12" s="295" t="s">
        <v>9654</v>
      </c>
      <c r="F12" s="296" t="s">
        <v>9655</v>
      </c>
    </row>
    <row r="13" spans="1:6" ht="14.15" customHeight="1" x14ac:dyDescent="0.35">
      <c r="A13" s="213" t="s">
        <v>9631</v>
      </c>
      <c r="B13" s="111" t="s">
        <v>9656</v>
      </c>
      <c r="C13" s="269" t="s">
        <v>9657</v>
      </c>
      <c r="D13" s="268"/>
      <c r="E13" s="295" t="s">
        <v>9656</v>
      </c>
      <c r="F13" s="296" t="s">
        <v>9657</v>
      </c>
    </row>
    <row r="14" spans="1:6" ht="14.15" customHeight="1" x14ac:dyDescent="0.35">
      <c r="A14" s="213" t="s">
        <v>9631</v>
      </c>
      <c r="B14" s="111" t="s">
        <v>9658</v>
      </c>
      <c r="C14" s="269" t="s">
        <v>9659</v>
      </c>
      <c r="D14" s="268"/>
      <c r="E14" s="295" t="s">
        <v>9658</v>
      </c>
      <c r="F14" s="296" t="s">
        <v>9659</v>
      </c>
    </row>
    <row r="15" spans="1:6" ht="14.15" customHeight="1" x14ac:dyDescent="0.35">
      <c r="A15" s="213" t="s">
        <v>9631</v>
      </c>
      <c r="B15" s="111" t="s">
        <v>9660</v>
      </c>
      <c r="C15" s="269" t="s">
        <v>9661</v>
      </c>
      <c r="D15" s="268"/>
      <c r="E15" s="295" t="s">
        <v>9660</v>
      </c>
      <c r="F15" s="296" t="s">
        <v>9662</v>
      </c>
    </row>
    <row r="16" spans="1:6" ht="14.15" customHeight="1" x14ac:dyDescent="0.35">
      <c r="A16" s="266" t="s">
        <v>9631</v>
      </c>
      <c r="B16" s="111" t="s">
        <v>9663</v>
      </c>
      <c r="C16" s="267" t="s">
        <v>9664</v>
      </c>
      <c r="D16" s="268"/>
      <c r="E16" s="295" t="s">
        <v>9663</v>
      </c>
      <c r="F16" s="296" t="s">
        <v>9665</v>
      </c>
    </row>
    <row r="17" spans="1:6" ht="14.15" customHeight="1" x14ac:dyDescent="0.35">
      <c r="A17" s="266" t="s">
        <v>9631</v>
      </c>
      <c r="B17" s="111" t="s">
        <v>9666</v>
      </c>
      <c r="C17" s="267" t="s">
        <v>9667</v>
      </c>
      <c r="D17" s="268"/>
      <c r="E17" s="295" t="s">
        <v>9666</v>
      </c>
      <c r="F17" s="296" t="s">
        <v>9668</v>
      </c>
    </row>
    <row r="18" spans="1:6" ht="14.15" customHeight="1" x14ac:dyDescent="0.35">
      <c r="A18" s="266" t="s">
        <v>9631</v>
      </c>
      <c r="B18" s="111" t="s">
        <v>9669</v>
      </c>
      <c r="C18" s="267" t="s">
        <v>9670</v>
      </c>
      <c r="D18" s="268"/>
      <c r="E18" s="295" t="s">
        <v>9669</v>
      </c>
      <c r="F18" s="296" t="s">
        <v>9671</v>
      </c>
    </row>
    <row r="19" spans="1:6" ht="14.15" customHeight="1" x14ac:dyDescent="0.35">
      <c r="A19" s="266" t="s">
        <v>9631</v>
      </c>
      <c r="B19" s="111" t="s">
        <v>9672</v>
      </c>
      <c r="C19" s="267" t="s">
        <v>9673</v>
      </c>
      <c r="D19" s="268"/>
      <c r="E19" s="295" t="s">
        <v>9672</v>
      </c>
      <c r="F19" s="296" t="s">
        <v>9674</v>
      </c>
    </row>
    <row r="20" spans="1:6" ht="14.15" customHeight="1" x14ac:dyDescent="0.35">
      <c r="A20" s="213" t="s">
        <v>9631</v>
      </c>
      <c r="B20" s="111" t="s">
        <v>9675</v>
      </c>
      <c r="C20" s="269" t="s">
        <v>9676</v>
      </c>
      <c r="D20" s="268"/>
      <c r="E20" s="295" t="s">
        <v>9675</v>
      </c>
      <c r="F20" s="296" t="s">
        <v>9676</v>
      </c>
    </row>
    <row r="21" spans="1:6" ht="14.15" customHeight="1" x14ac:dyDescent="0.35">
      <c r="A21" s="213" t="s">
        <v>9631</v>
      </c>
      <c r="B21" s="111" t="s">
        <v>9677</v>
      </c>
      <c r="C21" s="269" t="s">
        <v>9678</v>
      </c>
      <c r="D21" s="268"/>
      <c r="E21" s="295" t="s">
        <v>9677</v>
      </c>
      <c r="F21" s="296" t="s">
        <v>9678</v>
      </c>
    </row>
    <row r="22" spans="1:6" ht="14.15" customHeight="1" x14ac:dyDescent="0.35">
      <c r="A22" s="213" t="s">
        <v>9631</v>
      </c>
      <c r="B22" s="111" t="s">
        <v>9679</v>
      </c>
      <c r="C22" s="269" t="s">
        <v>9680</v>
      </c>
      <c r="D22" s="268"/>
      <c r="E22" s="295" t="s">
        <v>9679</v>
      </c>
      <c r="F22" s="296" t="s">
        <v>9680</v>
      </c>
    </row>
    <row r="23" spans="1:6" ht="14.15" customHeight="1" x14ac:dyDescent="0.35">
      <c r="A23" s="213" t="s">
        <v>9631</v>
      </c>
      <c r="B23" s="111" t="s">
        <v>9681</v>
      </c>
      <c r="C23" s="269" t="s">
        <v>9682</v>
      </c>
      <c r="D23" s="268"/>
      <c r="E23" s="295" t="s">
        <v>9681</v>
      </c>
      <c r="F23" s="296" t="s">
        <v>9682</v>
      </c>
    </row>
    <row r="24" spans="1:6" ht="14.15" customHeight="1" x14ac:dyDescent="0.35">
      <c r="A24" s="213" t="s">
        <v>9631</v>
      </c>
      <c r="B24" s="111" t="s">
        <v>9683</v>
      </c>
      <c r="C24" s="269" t="s">
        <v>9684</v>
      </c>
      <c r="D24" s="268"/>
      <c r="E24" s="295" t="s">
        <v>9683</v>
      </c>
      <c r="F24" s="296" t="s">
        <v>9684</v>
      </c>
    </row>
    <row r="25" spans="1:6" ht="14.15" customHeight="1" x14ac:dyDescent="0.35">
      <c r="A25" s="213" t="s">
        <v>9631</v>
      </c>
      <c r="B25" s="111" t="s">
        <v>9685</v>
      </c>
      <c r="C25" s="269" t="s">
        <v>9686</v>
      </c>
      <c r="D25" s="268"/>
      <c r="E25" s="295" t="s">
        <v>9685</v>
      </c>
      <c r="F25" s="296" t="s">
        <v>9686</v>
      </c>
    </row>
    <row r="26" spans="1:6" ht="14.15" customHeight="1" x14ac:dyDescent="0.35">
      <c r="A26" s="350" t="s">
        <v>9631</v>
      </c>
      <c r="B26" s="270" t="s">
        <v>9687</v>
      </c>
      <c r="C26" s="271" t="s">
        <v>9688</v>
      </c>
      <c r="D26" s="268"/>
      <c r="E26" s="295"/>
      <c r="F26" s="296"/>
    </row>
    <row r="27" spans="1:6" ht="14.15" customHeight="1" x14ac:dyDescent="0.35">
      <c r="A27" s="213" t="s">
        <v>9631</v>
      </c>
      <c r="B27" s="111" t="s">
        <v>9689</v>
      </c>
      <c r="C27" s="269" t="s">
        <v>9690</v>
      </c>
      <c r="D27" s="268"/>
      <c r="E27" s="295" t="s">
        <v>9689</v>
      </c>
      <c r="F27" s="296" t="s">
        <v>9690</v>
      </c>
    </row>
    <row r="28" spans="1:6" ht="14.15" customHeight="1" x14ac:dyDescent="0.35">
      <c r="A28" s="213" t="s">
        <v>9631</v>
      </c>
      <c r="B28" s="111" t="s">
        <v>9691</v>
      </c>
      <c r="C28" s="269" t="s">
        <v>9692</v>
      </c>
      <c r="D28" s="268"/>
      <c r="E28" s="295" t="s">
        <v>9691</v>
      </c>
      <c r="F28" s="296" t="s">
        <v>9692</v>
      </c>
    </row>
    <row r="29" spans="1:6" ht="14.15" customHeight="1" x14ac:dyDescent="0.35">
      <c r="A29" s="213" t="s">
        <v>9631</v>
      </c>
      <c r="B29" s="111" t="s">
        <v>9693</v>
      </c>
      <c r="C29" s="269" t="s">
        <v>9694</v>
      </c>
      <c r="D29" s="268"/>
      <c r="E29" s="295" t="s">
        <v>9693</v>
      </c>
      <c r="F29" s="296" t="s">
        <v>9694</v>
      </c>
    </row>
    <row r="30" spans="1:6" ht="14.15" customHeight="1" x14ac:dyDescent="0.35">
      <c r="A30" s="213" t="s">
        <v>9631</v>
      </c>
      <c r="B30" s="111" t="s">
        <v>9695</v>
      </c>
      <c r="C30" s="269" t="s">
        <v>9696</v>
      </c>
      <c r="D30" s="268"/>
      <c r="E30" s="295" t="s">
        <v>9695</v>
      </c>
      <c r="F30" s="296" t="s">
        <v>9696</v>
      </c>
    </row>
    <row r="31" spans="1:6" ht="14.15" customHeight="1" x14ac:dyDescent="0.35">
      <c r="A31" s="213" t="s">
        <v>9631</v>
      </c>
      <c r="B31" s="111" t="s">
        <v>9697</v>
      </c>
      <c r="C31" s="269" t="s">
        <v>9698</v>
      </c>
      <c r="D31" s="268"/>
      <c r="E31" s="295" t="s">
        <v>9697</v>
      </c>
      <c r="F31" s="296" t="s">
        <v>9698</v>
      </c>
    </row>
    <row r="32" spans="1:6" ht="14.15" customHeight="1" x14ac:dyDescent="0.35">
      <c r="A32" s="213" t="s">
        <v>9631</v>
      </c>
      <c r="B32" s="111" t="s">
        <v>9699</v>
      </c>
      <c r="C32" s="269" t="s">
        <v>9700</v>
      </c>
      <c r="D32" s="268"/>
      <c r="E32" s="295" t="s">
        <v>9699</v>
      </c>
      <c r="F32" s="296" t="s">
        <v>9700</v>
      </c>
    </row>
    <row r="33" spans="1:6" ht="14.15" customHeight="1" x14ac:dyDescent="0.35">
      <c r="A33" s="213" t="s">
        <v>9631</v>
      </c>
      <c r="B33" s="111" t="s">
        <v>9701</v>
      </c>
      <c r="C33" s="269" t="s">
        <v>9702</v>
      </c>
      <c r="D33" s="268"/>
      <c r="E33" s="295" t="s">
        <v>9701</v>
      </c>
      <c r="F33" s="296" t="s">
        <v>9702</v>
      </c>
    </row>
    <row r="34" spans="1:6" ht="14.15" customHeight="1" x14ac:dyDescent="0.35">
      <c r="A34" s="213" t="s">
        <v>9631</v>
      </c>
      <c r="B34" s="111" t="s">
        <v>9703</v>
      </c>
      <c r="C34" s="269" t="s">
        <v>9704</v>
      </c>
      <c r="D34" s="268"/>
      <c r="E34" s="295" t="s">
        <v>9703</v>
      </c>
      <c r="F34" s="296" t="s">
        <v>9704</v>
      </c>
    </row>
    <row r="35" spans="1:6" ht="14.15" customHeight="1" x14ac:dyDescent="0.35">
      <c r="A35" s="213" t="s">
        <v>9631</v>
      </c>
      <c r="B35" s="111" t="s">
        <v>9705</v>
      </c>
      <c r="C35" s="269" t="s">
        <v>9706</v>
      </c>
      <c r="D35" s="268"/>
      <c r="E35" s="295" t="s">
        <v>9705</v>
      </c>
      <c r="F35" s="296" t="s">
        <v>9706</v>
      </c>
    </row>
    <row r="36" spans="1:6" ht="14.15" customHeight="1" x14ac:dyDescent="0.35">
      <c r="A36" s="213" t="s">
        <v>9631</v>
      </c>
      <c r="B36" s="111" t="s">
        <v>9707</v>
      </c>
      <c r="C36" s="269" t="s">
        <v>9708</v>
      </c>
      <c r="D36" s="268"/>
      <c r="E36" s="295" t="s">
        <v>9707</v>
      </c>
      <c r="F36" s="296" t="s">
        <v>9708</v>
      </c>
    </row>
    <row r="37" spans="1:6" ht="14.15" customHeight="1" x14ac:dyDescent="0.35">
      <c r="A37" s="213" t="s">
        <v>9631</v>
      </c>
      <c r="B37" s="111" t="s">
        <v>9709</v>
      </c>
      <c r="C37" s="269" t="s">
        <v>9710</v>
      </c>
      <c r="D37" s="268"/>
      <c r="E37" s="295" t="s">
        <v>9709</v>
      </c>
      <c r="F37" s="296" t="s">
        <v>9710</v>
      </c>
    </row>
    <row r="38" spans="1:6" ht="14.15" customHeight="1" x14ac:dyDescent="0.35">
      <c r="A38" s="213" t="s">
        <v>9631</v>
      </c>
      <c r="B38" s="111" t="s">
        <v>9711</v>
      </c>
      <c r="C38" s="269" t="s">
        <v>9712</v>
      </c>
      <c r="D38" s="268"/>
      <c r="E38" s="295" t="s">
        <v>9711</v>
      </c>
      <c r="F38" s="296" t="s">
        <v>9712</v>
      </c>
    </row>
    <row r="39" spans="1:6" ht="14.15" customHeight="1" x14ac:dyDescent="0.35">
      <c r="A39" s="213" t="s">
        <v>9631</v>
      </c>
      <c r="B39" s="111" t="s">
        <v>9713</v>
      </c>
      <c r="C39" s="269" t="s">
        <v>9714</v>
      </c>
      <c r="D39" s="268"/>
      <c r="E39" s="295" t="s">
        <v>9713</v>
      </c>
      <c r="F39" s="296" t="s">
        <v>9714</v>
      </c>
    </row>
    <row r="40" spans="1:6" ht="14.15" customHeight="1" x14ac:dyDescent="0.35">
      <c r="A40" s="213" t="s">
        <v>9631</v>
      </c>
      <c r="B40" s="111" t="s">
        <v>9715</v>
      </c>
      <c r="C40" s="269" t="s">
        <v>9716</v>
      </c>
      <c r="D40" s="268"/>
      <c r="E40" s="295" t="s">
        <v>9715</v>
      </c>
      <c r="F40" s="296" t="s">
        <v>9716</v>
      </c>
    </row>
    <row r="41" spans="1:6" ht="14.15" customHeight="1" x14ac:dyDescent="0.35">
      <c r="A41" s="213" t="s">
        <v>9631</v>
      </c>
      <c r="B41" s="111" t="s">
        <v>9717</v>
      </c>
      <c r="C41" s="269" t="s">
        <v>9718</v>
      </c>
      <c r="D41" s="268"/>
      <c r="E41" s="295" t="s">
        <v>9717</v>
      </c>
      <c r="F41" s="296" t="s">
        <v>9718</v>
      </c>
    </row>
    <row r="42" spans="1:6" ht="14.15" customHeight="1" x14ac:dyDescent="0.35">
      <c r="A42" s="213" t="s">
        <v>9631</v>
      </c>
      <c r="B42" s="111" t="s">
        <v>9719</v>
      </c>
      <c r="C42" s="269" t="s">
        <v>9720</v>
      </c>
      <c r="D42" s="268"/>
      <c r="E42" s="295" t="s">
        <v>9719</v>
      </c>
      <c r="F42" s="296" t="s">
        <v>9720</v>
      </c>
    </row>
    <row r="43" spans="1:6" ht="14.15" customHeight="1" x14ac:dyDescent="0.35">
      <c r="A43" s="213" t="s">
        <v>9631</v>
      </c>
      <c r="B43" s="111" t="s">
        <v>9721</v>
      </c>
      <c r="C43" s="269" t="s">
        <v>9722</v>
      </c>
      <c r="D43" s="268"/>
      <c r="E43" s="295" t="s">
        <v>9721</v>
      </c>
      <c r="F43" s="296" t="s">
        <v>9722</v>
      </c>
    </row>
    <row r="44" spans="1:6" ht="14.15" customHeight="1" x14ac:dyDescent="0.35">
      <c r="A44" s="213" t="s">
        <v>9631</v>
      </c>
      <c r="B44" s="111" t="s">
        <v>9723</v>
      </c>
      <c r="C44" s="269" t="s">
        <v>9724</v>
      </c>
      <c r="D44" s="268"/>
      <c r="E44" s="295" t="s">
        <v>9723</v>
      </c>
      <c r="F44" s="296" t="s">
        <v>9724</v>
      </c>
    </row>
    <row r="45" spans="1:6" ht="14.15" customHeight="1" x14ac:dyDescent="0.35">
      <c r="A45" s="213" t="s">
        <v>9631</v>
      </c>
      <c r="B45" s="111" t="s">
        <v>9725</v>
      </c>
      <c r="C45" s="269" t="s">
        <v>9726</v>
      </c>
      <c r="D45" s="268"/>
      <c r="E45" s="295" t="s">
        <v>9725</v>
      </c>
      <c r="F45" s="296" t="s">
        <v>9726</v>
      </c>
    </row>
    <row r="46" spans="1:6" ht="14.15" customHeight="1" x14ac:dyDescent="0.35">
      <c r="A46" s="213" t="s">
        <v>9631</v>
      </c>
      <c r="B46" s="111" t="s">
        <v>9727</v>
      </c>
      <c r="C46" s="269" t="s">
        <v>9728</v>
      </c>
      <c r="D46" s="268"/>
      <c r="E46" s="295" t="s">
        <v>9727</v>
      </c>
      <c r="F46" s="296" t="s">
        <v>9728</v>
      </c>
    </row>
    <row r="47" spans="1:6" ht="14.15" customHeight="1" x14ac:dyDescent="0.35">
      <c r="A47" s="213" t="s">
        <v>9631</v>
      </c>
      <c r="B47" s="111" t="s">
        <v>9729</v>
      </c>
      <c r="C47" s="269" t="s">
        <v>9730</v>
      </c>
      <c r="D47" s="268"/>
      <c r="E47" s="295" t="s">
        <v>9729</v>
      </c>
      <c r="F47" s="296" t="s">
        <v>9730</v>
      </c>
    </row>
    <row r="48" spans="1:6" ht="14.15" customHeight="1" x14ac:dyDescent="0.35">
      <c r="A48" s="213" t="s">
        <v>9631</v>
      </c>
      <c r="B48" s="111" t="s">
        <v>9731</v>
      </c>
      <c r="C48" s="269" t="s">
        <v>9732</v>
      </c>
      <c r="D48" s="268"/>
      <c r="E48" s="295" t="s">
        <v>9731</v>
      </c>
      <c r="F48" s="296" t="s">
        <v>9732</v>
      </c>
    </row>
    <row r="49" spans="1:6" ht="14.15" customHeight="1" x14ac:dyDescent="0.35">
      <c r="A49" s="213" t="s">
        <v>9631</v>
      </c>
      <c r="B49" s="111" t="s">
        <v>9733</v>
      </c>
      <c r="C49" s="269" t="s">
        <v>9734</v>
      </c>
      <c r="D49" s="268"/>
      <c r="E49" s="295" t="s">
        <v>9733</v>
      </c>
      <c r="F49" s="296" t="s">
        <v>9734</v>
      </c>
    </row>
    <row r="50" spans="1:6" ht="14.15" customHeight="1" x14ac:dyDescent="0.35">
      <c r="A50" s="213" t="s">
        <v>9631</v>
      </c>
      <c r="B50" s="111" t="s">
        <v>9735</v>
      </c>
      <c r="C50" s="269" t="s">
        <v>9736</v>
      </c>
      <c r="D50" s="268"/>
      <c r="E50" s="295" t="s">
        <v>9735</v>
      </c>
      <c r="F50" s="296" t="s">
        <v>9736</v>
      </c>
    </row>
    <row r="51" spans="1:6" ht="14.15" customHeight="1" x14ac:dyDescent="0.35">
      <c r="A51" s="213" t="s">
        <v>9631</v>
      </c>
      <c r="B51" s="111" t="s">
        <v>9737</v>
      </c>
      <c r="C51" s="269" t="s">
        <v>9738</v>
      </c>
      <c r="D51" s="268"/>
      <c r="E51" s="295" t="s">
        <v>9737</v>
      </c>
      <c r="F51" s="296" t="s">
        <v>9738</v>
      </c>
    </row>
    <row r="52" spans="1:6" ht="14.15" customHeight="1" x14ac:dyDescent="0.35">
      <c r="A52" s="213" t="s">
        <v>9631</v>
      </c>
      <c r="B52" s="111" t="s">
        <v>9739</v>
      </c>
      <c r="C52" s="269" t="s">
        <v>9740</v>
      </c>
      <c r="D52" s="268"/>
      <c r="E52" s="295" t="s">
        <v>9739</v>
      </c>
      <c r="F52" s="296" t="s">
        <v>9740</v>
      </c>
    </row>
    <row r="53" spans="1:6" ht="14.15" customHeight="1" x14ac:dyDescent="0.35">
      <c r="A53" s="213" t="s">
        <v>9631</v>
      </c>
      <c r="B53" s="111" t="s">
        <v>9741</v>
      </c>
      <c r="C53" s="269" t="s">
        <v>9742</v>
      </c>
      <c r="D53" s="268"/>
      <c r="E53" s="295" t="s">
        <v>9741</v>
      </c>
      <c r="F53" s="296" t="s">
        <v>9742</v>
      </c>
    </row>
    <row r="54" spans="1:6" ht="14.15" customHeight="1" x14ac:dyDescent="0.35">
      <c r="A54" s="213" t="s">
        <v>9631</v>
      </c>
      <c r="B54" s="111" t="s">
        <v>9743</v>
      </c>
      <c r="C54" s="269" t="s">
        <v>9744</v>
      </c>
      <c r="D54" s="268"/>
      <c r="E54" s="295" t="s">
        <v>9743</v>
      </c>
      <c r="F54" s="296" t="s">
        <v>9744</v>
      </c>
    </row>
    <row r="55" spans="1:6" ht="14.15" customHeight="1" x14ac:dyDescent="0.35">
      <c r="A55" s="213" t="s">
        <v>9631</v>
      </c>
      <c r="B55" s="111" t="s">
        <v>9745</v>
      </c>
      <c r="C55" s="269" t="s">
        <v>9746</v>
      </c>
      <c r="D55" s="268"/>
      <c r="E55" s="295" t="s">
        <v>9745</v>
      </c>
      <c r="F55" s="296" t="s">
        <v>9746</v>
      </c>
    </row>
    <row r="56" spans="1:6" ht="14.15" customHeight="1" x14ac:dyDescent="0.35">
      <c r="A56" s="213" t="s">
        <v>9631</v>
      </c>
      <c r="B56" s="111" t="s">
        <v>9747</v>
      </c>
      <c r="C56" s="269" t="s">
        <v>9748</v>
      </c>
      <c r="D56" s="268"/>
      <c r="E56" s="295" t="s">
        <v>9747</v>
      </c>
      <c r="F56" s="296" t="s">
        <v>9748</v>
      </c>
    </row>
    <row r="57" spans="1:6" ht="14.15" customHeight="1" x14ac:dyDescent="0.35">
      <c r="A57" s="213" t="s">
        <v>9631</v>
      </c>
      <c r="B57" s="111" t="s">
        <v>9749</v>
      </c>
      <c r="C57" s="269" t="s">
        <v>9750</v>
      </c>
      <c r="D57" s="268"/>
      <c r="E57" s="295" t="s">
        <v>9749</v>
      </c>
      <c r="F57" s="296" t="s">
        <v>9750</v>
      </c>
    </row>
    <row r="58" spans="1:6" ht="14.15" customHeight="1" x14ac:dyDescent="0.35">
      <c r="A58" s="213" t="s">
        <v>9631</v>
      </c>
      <c r="B58" s="111" t="s">
        <v>9751</v>
      </c>
      <c r="C58" s="269" t="s">
        <v>9752</v>
      </c>
      <c r="D58" s="268"/>
      <c r="E58" s="295" t="s">
        <v>9751</v>
      </c>
      <c r="F58" s="296" t="s">
        <v>9752</v>
      </c>
    </row>
    <row r="59" spans="1:6" ht="14.15" customHeight="1" x14ac:dyDescent="0.35">
      <c r="A59" s="213" t="s">
        <v>9631</v>
      </c>
      <c r="B59" s="111" t="s">
        <v>9753</v>
      </c>
      <c r="C59" s="269" t="s">
        <v>9754</v>
      </c>
      <c r="D59" s="268"/>
      <c r="E59" s="295" t="s">
        <v>9753</v>
      </c>
      <c r="F59" s="296" t="s">
        <v>9754</v>
      </c>
    </row>
    <row r="60" spans="1:6" ht="14.15" customHeight="1" x14ac:dyDescent="0.35">
      <c r="A60" s="213" t="s">
        <v>9631</v>
      </c>
      <c r="B60" s="111" t="s">
        <v>9755</v>
      </c>
      <c r="C60" s="269" t="s">
        <v>9756</v>
      </c>
      <c r="D60" s="268"/>
      <c r="E60" s="295" t="s">
        <v>9755</v>
      </c>
      <c r="F60" s="296" t="s">
        <v>9756</v>
      </c>
    </row>
    <row r="61" spans="1:6" ht="14.15" customHeight="1" x14ac:dyDescent="0.35">
      <c r="A61" s="213" t="s">
        <v>9631</v>
      </c>
      <c r="B61" s="111" t="s">
        <v>9757</v>
      </c>
      <c r="C61" s="269" t="s">
        <v>9758</v>
      </c>
      <c r="D61" s="268"/>
      <c r="E61" s="295" t="s">
        <v>9757</v>
      </c>
      <c r="F61" s="296" t="s">
        <v>9758</v>
      </c>
    </row>
    <row r="62" spans="1:6" ht="14.15" customHeight="1" x14ac:dyDescent="0.35">
      <c r="A62" s="213" t="s">
        <v>9631</v>
      </c>
      <c r="B62" s="111" t="s">
        <v>9759</v>
      </c>
      <c r="C62" s="269" t="s">
        <v>9760</v>
      </c>
      <c r="D62" s="268"/>
      <c r="E62" s="295" t="s">
        <v>9759</v>
      </c>
      <c r="F62" s="296" t="s">
        <v>9760</v>
      </c>
    </row>
    <row r="63" spans="1:6" ht="14.15" customHeight="1" x14ac:dyDescent="0.35">
      <c r="A63" s="213" t="s">
        <v>9631</v>
      </c>
      <c r="B63" s="111" t="s">
        <v>9761</v>
      </c>
      <c r="C63" s="269" t="s">
        <v>9762</v>
      </c>
      <c r="D63" s="268"/>
      <c r="E63" s="295" t="s">
        <v>9761</v>
      </c>
      <c r="F63" s="296" t="s">
        <v>9762</v>
      </c>
    </row>
    <row r="64" spans="1:6" ht="14.15" customHeight="1" x14ac:dyDescent="0.35">
      <c r="A64" s="213" t="s">
        <v>9631</v>
      </c>
      <c r="B64" s="111" t="s">
        <v>9763</v>
      </c>
      <c r="C64" s="269" t="s">
        <v>9764</v>
      </c>
      <c r="D64" s="268"/>
      <c r="E64" s="295" t="s">
        <v>9763</v>
      </c>
      <c r="F64" s="296" t="s">
        <v>9764</v>
      </c>
    </row>
    <row r="65" spans="1:6" ht="14.15" customHeight="1" x14ac:dyDescent="0.35">
      <c r="A65" s="213" t="s">
        <v>9631</v>
      </c>
      <c r="B65" s="111" t="s">
        <v>9765</v>
      </c>
      <c r="C65" s="269" t="s">
        <v>9766</v>
      </c>
      <c r="D65" s="268"/>
      <c r="E65" s="295" t="s">
        <v>9765</v>
      </c>
      <c r="F65" s="296" t="s">
        <v>9766</v>
      </c>
    </row>
    <row r="66" spans="1:6" ht="14.15" customHeight="1" x14ac:dyDescent="0.35">
      <c r="A66" s="213" t="s">
        <v>9631</v>
      </c>
      <c r="B66" s="111" t="s">
        <v>9767</v>
      </c>
      <c r="C66" s="269" t="s">
        <v>9768</v>
      </c>
      <c r="D66" s="268"/>
      <c r="E66" s="295" t="s">
        <v>9767</v>
      </c>
      <c r="F66" s="296" t="s">
        <v>9768</v>
      </c>
    </row>
    <row r="67" spans="1:6" ht="14.15" customHeight="1" x14ac:dyDescent="0.35">
      <c r="A67" s="213" t="s">
        <v>9631</v>
      </c>
      <c r="B67" s="111" t="s">
        <v>9769</v>
      </c>
      <c r="C67" s="269" t="s">
        <v>9770</v>
      </c>
      <c r="D67" s="268"/>
      <c r="E67" s="295" t="s">
        <v>9769</v>
      </c>
      <c r="F67" s="296" t="s">
        <v>9770</v>
      </c>
    </row>
    <row r="68" spans="1:6" ht="14.15" customHeight="1" x14ac:dyDescent="0.35">
      <c r="A68" s="213" t="s">
        <v>9631</v>
      </c>
      <c r="B68" s="111" t="s">
        <v>9771</v>
      </c>
      <c r="C68" s="269" t="s">
        <v>9772</v>
      </c>
      <c r="D68" s="268"/>
      <c r="E68" s="295" t="s">
        <v>9771</v>
      </c>
      <c r="F68" s="296" t="s">
        <v>9772</v>
      </c>
    </row>
    <row r="69" spans="1:6" ht="14.15" customHeight="1" x14ac:dyDescent="0.35">
      <c r="A69" s="213" t="s">
        <v>9631</v>
      </c>
      <c r="B69" s="111" t="s">
        <v>9773</v>
      </c>
      <c r="C69" s="269" t="s">
        <v>9774</v>
      </c>
      <c r="D69" s="268"/>
      <c r="E69" s="295" t="s">
        <v>9773</v>
      </c>
      <c r="F69" s="296" t="s">
        <v>9774</v>
      </c>
    </row>
    <row r="70" spans="1:6" ht="14.15" customHeight="1" x14ac:dyDescent="0.35">
      <c r="A70" s="213" t="s">
        <v>9631</v>
      </c>
      <c r="B70" s="111" t="s">
        <v>9775</v>
      </c>
      <c r="C70" s="269" t="s">
        <v>9776</v>
      </c>
      <c r="D70" s="268"/>
      <c r="E70" s="295" t="s">
        <v>9775</v>
      </c>
      <c r="F70" s="296" t="s">
        <v>9776</v>
      </c>
    </row>
    <row r="71" spans="1:6" ht="14.15" customHeight="1" x14ac:dyDescent="0.35">
      <c r="A71" s="213" t="s">
        <v>9631</v>
      </c>
      <c r="B71" s="111" t="s">
        <v>9777</v>
      </c>
      <c r="C71" s="269" t="s">
        <v>9778</v>
      </c>
      <c r="D71" s="268"/>
      <c r="E71" s="295" t="s">
        <v>9777</v>
      </c>
      <c r="F71" s="296" t="s">
        <v>9778</v>
      </c>
    </row>
    <row r="72" spans="1:6" ht="14.15" customHeight="1" x14ac:dyDescent="0.35">
      <c r="A72" s="213" t="s">
        <v>9631</v>
      </c>
      <c r="B72" s="111" t="s">
        <v>9779</v>
      </c>
      <c r="C72" s="269" t="s">
        <v>9780</v>
      </c>
      <c r="D72" s="268"/>
      <c r="E72" s="295" t="s">
        <v>9779</v>
      </c>
      <c r="F72" s="296" t="s">
        <v>9780</v>
      </c>
    </row>
    <row r="73" spans="1:6" ht="14.15" customHeight="1" x14ac:dyDescent="0.35">
      <c r="A73" s="213" t="s">
        <v>9631</v>
      </c>
      <c r="B73" s="111" t="s">
        <v>9781</v>
      </c>
      <c r="C73" s="269" t="s">
        <v>9782</v>
      </c>
      <c r="D73" s="268"/>
      <c r="E73" s="295" t="s">
        <v>9781</v>
      </c>
      <c r="F73" s="296" t="s">
        <v>9782</v>
      </c>
    </row>
    <row r="74" spans="1:6" ht="14.15" customHeight="1" x14ac:dyDescent="0.35">
      <c r="A74" s="213" t="s">
        <v>9631</v>
      </c>
      <c r="B74" s="111" t="s">
        <v>9783</v>
      </c>
      <c r="C74" s="269" t="s">
        <v>9784</v>
      </c>
      <c r="D74" s="268"/>
      <c r="E74" s="295" t="s">
        <v>9783</v>
      </c>
      <c r="F74" s="296" t="s">
        <v>9784</v>
      </c>
    </row>
    <row r="75" spans="1:6" ht="14.15" customHeight="1" x14ac:dyDescent="0.35">
      <c r="A75" s="213" t="s">
        <v>9631</v>
      </c>
      <c r="B75" s="111" t="s">
        <v>9785</v>
      </c>
      <c r="C75" s="269" t="s">
        <v>9786</v>
      </c>
      <c r="D75" s="268"/>
      <c r="E75" s="295" t="s">
        <v>9785</v>
      </c>
      <c r="F75" s="296" t="s">
        <v>9786</v>
      </c>
    </row>
    <row r="76" spans="1:6" ht="14.15" customHeight="1" x14ac:dyDescent="0.35">
      <c r="A76" s="213" t="s">
        <v>9631</v>
      </c>
      <c r="B76" s="111" t="s">
        <v>9787</v>
      </c>
      <c r="C76" s="269" t="s">
        <v>9788</v>
      </c>
      <c r="D76" s="268"/>
      <c r="E76" s="295" t="s">
        <v>9787</v>
      </c>
      <c r="F76" s="296" t="s">
        <v>9788</v>
      </c>
    </row>
    <row r="77" spans="1:6" ht="14.15" customHeight="1" x14ac:dyDescent="0.35">
      <c r="A77" s="213" t="s">
        <v>9631</v>
      </c>
      <c r="B77" s="111" t="s">
        <v>9789</v>
      </c>
      <c r="C77" s="269" t="s">
        <v>9790</v>
      </c>
      <c r="D77" s="268"/>
      <c r="E77" s="295" t="s">
        <v>9789</v>
      </c>
      <c r="F77" s="296" t="s">
        <v>9790</v>
      </c>
    </row>
    <row r="78" spans="1:6" ht="14.15" customHeight="1" x14ac:dyDescent="0.35">
      <c r="A78" s="213" t="s">
        <v>9631</v>
      </c>
      <c r="B78" s="111" t="s">
        <v>9791</v>
      </c>
      <c r="C78" s="269" t="s">
        <v>9792</v>
      </c>
      <c r="D78" s="268"/>
      <c r="E78" s="295" t="s">
        <v>9791</v>
      </c>
      <c r="F78" s="296" t="s">
        <v>9792</v>
      </c>
    </row>
    <row r="79" spans="1:6" ht="14.15" customHeight="1" x14ac:dyDescent="0.35">
      <c r="A79" s="213" t="s">
        <v>9631</v>
      </c>
      <c r="B79" s="111" t="s">
        <v>9793</v>
      </c>
      <c r="C79" s="269" t="s">
        <v>9794</v>
      </c>
      <c r="D79" s="268"/>
      <c r="E79" s="295" t="s">
        <v>9793</v>
      </c>
      <c r="F79" s="296" t="s">
        <v>9794</v>
      </c>
    </row>
    <row r="80" spans="1:6" ht="14.15" customHeight="1" x14ac:dyDescent="0.35">
      <c r="A80" s="213" t="s">
        <v>9631</v>
      </c>
      <c r="B80" s="111" t="s">
        <v>9795</v>
      </c>
      <c r="C80" s="269" t="s">
        <v>9796</v>
      </c>
      <c r="D80" s="268"/>
      <c r="E80" s="295" t="s">
        <v>9795</v>
      </c>
      <c r="F80" s="296" t="s">
        <v>9796</v>
      </c>
    </row>
    <row r="81" spans="1:6" ht="14.15" customHeight="1" x14ac:dyDescent="0.35">
      <c r="A81" s="213" t="s">
        <v>9631</v>
      </c>
      <c r="B81" s="111" t="s">
        <v>9797</v>
      </c>
      <c r="C81" s="269" t="s">
        <v>9798</v>
      </c>
      <c r="D81" s="268"/>
      <c r="E81" s="295" t="s">
        <v>9797</v>
      </c>
      <c r="F81" s="296" t="s">
        <v>9798</v>
      </c>
    </row>
    <row r="82" spans="1:6" ht="14.15" customHeight="1" x14ac:dyDescent="0.35">
      <c r="A82" s="213" t="s">
        <v>9631</v>
      </c>
      <c r="B82" s="111" t="s">
        <v>9799</v>
      </c>
      <c r="C82" s="269" t="s">
        <v>9800</v>
      </c>
      <c r="D82" s="268"/>
      <c r="E82" s="295" t="s">
        <v>9799</v>
      </c>
      <c r="F82" s="296" t="s">
        <v>9800</v>
      </c>
    </row>
    <row r="83" spans="1:6" ht="14.15" customHeight="1" x14ac:dyDescent="0.35">
      <c r="A83" s="213" t="s">
        <v>9631</v>
      </c>
      <c r="B83" s="111" t="s">
        <v>9801</v>
      </c>
      <c r="C83" s="269" t="s">
        <v>9802</v>
      </c>
      <c r="D83" s="268"/>
      <c r="E83" s="295" t="s">
        <v>9801</v>
      </c>
      <c r="F83" s="296" t="s">
        <v>9802</v>
      </c>
    </row>
    <row r="84" spans="1:6" ht="14.15" customHeight="1" x14ac:dyDescent="0.35">
      <c r="A84" s="213" t="s">
        <v>9631</v>
      </c>
      <c r="B84" s="111" t="s">
        <v>9803</v>
      </c>
      <c r="C84" s="269" t="s">
        <v>9804</v>
      </c>
      <c r="D84" s="268"/>
      <c r="E84" s="295" t="s">
        <v>9803</v>
      </c>
      <c r="F84" s="296" t="s">
        <v>9804</v>
      </c>
    </row>
    <row r="85" spans="1:6" ht="14.15" customHeight="1" x14ac:dyDescent="0.35">
      <c r="A85" s="213" t="s">
        <v>9631</v>
      </c>
      <c r="B85" s="111" t="s">
        <v>9805</v>
      </c>
      <c r="C85" s="269" t="s">
        <v>9806</v>
      </c>
      <c r="D85" s="268"/>
      <c r="E85" s="295" t="s">
        <v>9805</v>
      </c>
      <c r="F85" s="296" t="s">
        <v>9806</v>
      </c>
    </row>
    <row r="86" spans="1:6" ht="14.15" customHeight="1" x14ac:dyDescent="0.35">
      <c r="A86" s="213" t="s">
        <v>9631</v>
      </c>
      <c r="B86" s="111" t="s">
        <v>9807</v>
      </c>
      <c r="C86" s="269" t="s">
        <v>9808</v>
      </c>
      <c r="D86" s="268"/>
      <c r="E86" s="295" t="s">
        <v>9807</v>
      </c>
      <c r="F86" s="296" t="s">
        <v>9808</v>
      </c>
    </row>
    <row r="87" spans="1:6" ht="14.15" customHeight="1" x14ac:dyDescent="0.35">
      <c r="A87" s="213" t="s">
        <v>9631</v>
      </c>
      <c r="B87" s="111" t="s">
        <v>9809</v>
      </c>
      <c r="C87" s="269" t="s">
        <v>9810</v>
      </c>
      <c r="D87" s="268"/>
      <c r="E87" s="295" t="s">
        <v>9809</v>
      </c>
      <c r="F87" s="296" t="s">
        <v>9810</v>
      </c>
    </row>
    <row r="88" spans="1:6" ht="14.15" customHeight="1" x14ac:dyDescent="0.35">
      <c r="A88" s="213" t="s">
        <v>9631</v>
      </c>
      <c r="B88" s="111" t="s">
        <v>9811</v>
      </c>
      <c r="C88" s="269" t="s">
        <v>9812</v>
      </c>
      <c r="D88" s="268"/>
      <c r="E88" s="295" t="s">
        <v>9811</v>
      </c>
      <c r="F88" s="296" t="s">
        <v>9812</v>
      </c>
    </row>
    <row r="89" spans="1:6" ht="14.15" customHeight="1" x14ac:dyDescent="0.35">
      <c r="A89" s="213" t="s">
        <v>9631</v>
      </c>
      <c r="B89" s="111" t="s">
        <v>9813</v>
      </c>
      <c r="C89" s="269" t="s">
        <v>9814</v>
      </c>
      <c r="D89" s="268"/>
      <c r="E89" s="295" t="s">
        <v>9813</v>
      </c>
      <c r="F89" s="296" t="s">
        <v>9814</v>
      </c>
    </row>
    <row r="90" spans="1:6" ht="14.15" customHeight="1" x14ac:dyDescent="0.35">
      <c r="A90" s="213" t="s">
        <v>9631</v>
      </c>
      <c r="B90" s="111" t="s">
        <v>9815</v>
      </c>
      <c r="C90" s="269" t="s">
        <v>9816</v>
      </c>
      <c r="D90" s="268"/>
      <c r="E90" s="295" t="s">
        <v>9815</v>
      </c>
      <c r="F90" s="296" t="s">
        <v>9816</v>
      </c>
    </row>
    <row r="91" spans="1:6" ht="14.15" customHeight="1" x14ac:dyDescent="0.35">
      <c r="A91" s="213" t="s">
        <v>9631</v>
      </c>
      <c r="B91" s="111" t="s">
        <v>9817</v>
      </c>
      <c r="C91" s="269" t="s">
        <v>9818</v>
      </c>
      <c r="D91" s="268"/>
      <c r="E91" s="295" t="s">
        <v>9817</v>
      </c>
      <c r="F91" s="296" t="s">
        <v>9818</v>
      </c>
    </row>
    <row r="92" spans="1:6" ht="14.15" customHeight="1" x14ac:dyDescent="0.35">
      <c r="A92" s="213" t="s">
        <v>9631</v>
      </c>
      <c r="B92" s="111" t="s">
        <v>9819</v>
      </c>
      <c r="C92" s="269" t="s">
        <v>9820</v>
      </c>
      <c r="D92" s="268"/>
      <c r="E92" s="295" t="s">
        <v>9819</v>
      </c>
      <c r="F92" s="296" t="s">
        <v>9820</v>
      </c>
    </row>
    <row r="93" spans="1:6" ht="14.15" customHeight="1" x14ac:dyDescent="0.35">
      <c r="A93" s="213" t="s">
        <v>9631</v>
      </c>
      <c r="B93" s="111" t="s">
        <v>9821</v>
      </c>
      <c r="C93" s="269" t="s">
        <v>9822</v>
      </c>
      <c r="D93" s="268"/>
      <c r="E93" s="295" t="s">
        <v>9821</v>
      </c>
      <c r="F93" s="296" t="s">
        <v>9822</v>
      </c>
    </row>
    <row r="94" spans="1:6" ht="14.15" customHeight="1" x14ac:dyDescent="0.35">
      <c r="A94" s="213" t="s">
        <v>9631</v>
      </c>
      <c r="B94" s="111" t="s">
        <v>9823</v>
      </c>
      <c r="C94" s="269" t="s">
        <v>9824</v>
      </c>
      <c r="D94" s="268"/>
      <c r="E94" s="295" t="s">
        <v>9823</v>
      </c>
      <c r="F94" s="296" t="s">
        <v>9824</v>
      </c>
    </row>
    <row r="95" spans="1:6" ht="14.15" customHeight="1" x14ac:dyDescent="0.35">
      <c r="A95" s="213" t="s">
        <v>9631</v>
      </c>
      <c r="B95" s="111" t="s">
        <v>9825</v>
      </c>
      <c r="C95" s="269" t="s">
        <v>9826</v>
      </c>
      <c r="D95" s="268"/>
      <c r="E95" s="295" t="s">
        <v>9825</v>
      </c>
      <c r="F95" s="296" t="s">
        <v>9826</v>
      </c>
    </row>
    <row r="96" spans="1:6" ht="14.15" customHeight="1" x14ac:dyDescent="0.35">
      <c r="A96" s="213" t="s">
        <v>9631</v>
      </c>
      <c r="B96" s="111" t="s">
        <v>9827</v>
      </c>
      <c r="C96" s="269" t="s">
        <v>9828</v>
      </c>
      <c r="D96" s="268"/>
      <c r="E96" s="295" t="s">
        <v>9827</v>
      </c>
      <c r="F96" s="296" t="s">
        <v>9828</v>
      </c>
    </row>
    <row r="97" spans="1:6" ht="14.15" customHeight="1" x14ac:dyDescent="0.35">
      <c r="A97" s="213" t="s">
        <v>9631</v>
      </c>
      <c r="B97" s="111" t="s">
        <v>9829</v>
      </c>
      <c r="C97" s="269" t="s">
        <v>9830</v>
      </c>
      <c r="D97" s="268"/>
      <c r="E97" s="295" t="s">
        <v>9829</v>
      </c>
      <c r="F97" s="296" t="s">
        <v>9830</v>
      </c>
    </row>
    <row r="98" spans="1:6" ht="14.15" customHeight="1" x14ac:dyDescent="0.35">
      <c r="A98" s="213" t="s">
        <v>9631</v>
      </c>
      <c r="B98" s="111" t="s">
        <v>9831</v>
      </c>
      <c r="C98" s="269" t="s">
        <v>9832</v>
      </c>
      <c r="D98" s="268"/>
      <c r="E98" s="295" t="s">
        <v>9831</v>
      </c>
      <c r="F98" s="296" t="s">
        <v>9832</v>
      </c>
    </row>
    <row r="99" spans="1:6" ht="14.15" customHeight="1" x14ac:dyDescent="0.35">
      <c r="A99" s="213" t="s">
        <v>9631</v>
      </c>
      <c r="B99" s="111" t="s">
        <v>9833</v>
      </c>
      <c r="C99" s="269" t="s">
        <v>9834</v>
      </c>
      <c r="D99" s="268"/>
      <c r="E99" s="295" t="s">
        <v>9833</v>
      </c>
      <c r="F99" s="296" t="s">
        <v>9834</v>
      </c>
    </row>
    <row r="100" spans="1:6" ht="14.15" customHeight="1" x14ac:dyDescent="0.35">
      <c r="A100" s="213" t="s">
        <v>9631</v>
      </c>
      <c r="B100" s="111" t="s">
        <v>9835</v>
      </c>
      <c r="C100" s="269" t="s">
        <v>9836</v>
      </c>
      <c r="D100" s="268"/>
      <c r="E100" s="295" t="s">
        <v>9835</v>
      </c>
      <c r="F100" s="296" t="s">
        <v>9836</v>
      </c>
    </row>
    <row r="101" spans="1:6" ht="14.15" customHeight="1" x14ac:dyDescent="0.35">
      <c r="A101" s="213" t="s">
        <v>9631</v>
      </c>
      <c r="B101" s="111" t="s">
        <v>9837</v>
      </c>
      <c r="C101" s="269" t="s">
        <v>9838</v>
      </c>
      <c r="D101" s="268"/>
      <c r="E101" s="295" t="s">
        <v>9837</v>
      </c>
      <c r="F101" s="296" t="s">
        <v>9838</v>
      </c>
    </row>
    <row r="102" spans="1:6" ht="14.15" customHeight="1" x14ac:dyDescent="0.35">
      <c r="A102" s="213" t="s">
        <v>9631</v>
      </c>
      <c r="B102" s="111" t="s">
        <v>9839</v>
      </c>
      <c r="C102" s="269" t="s">
        <v>9840</v>
      </c>
      <c r="D102" s="268"/>
      <c r="E102" s="295" t="s">
        <v>9839</v>
      </c>
      <c r="F102" s="296" t="s">
        <v>9840</v>
      </c>
    </row>
    <row r="103" spans="1:6" ht="14.15" customHeight="1" x14ac:dyDescent="0.35">
      <c r="A103" s="213" t="s">
        <v>9631</v>
      </c>
      <c r="B103" s="111" t="s">
        <v>9841</v>
      </c>
      <c r="C103" s="269" t="s">
        <v>9842</v>
      </c>
      <c r="D103" s="268"/>
      <c r="E103" s="295" t="s">
        <v>9841</v>
      </c>
      <c r="F103" s="296" t="s">
        <v>9842</v>
      </c>
    </row>
    <row r="104" spans="1:6" ht="14.15" customHeight="1" x14ac:dyDescent="0.35">
      <c r="A104" s="213" t="s">
        <v>9631</v>
      </c>
      <c r="B104" s="111" t="s">
        <v>9843</v>
      </c>
      <c r="C104" s="269" t="s">
        <v>9844</v>
      </c>
      <c r="D104" s="268"/>
      <c r="E104" s="295" t="s">
        <v>9843</v>
      </c>
      <c r="F104" s="296" t="s">
        <v>9844</v>
      </c>
    </row>
    <row r="105" spans="1:6" ht="14.15" customHeight="1" x14ac:dyDescent="0.35">
      <c r="A105" s="213" t="s">
        <v>9631</v>
      </c>
      <c r="B105" s="111" t="s">
        <v>9845</v>
      </c>
      <c r="C105" s="269" t="s">
        <v>9846</v>
      </c>
      <c r="D105" s="268"/>
      <c r="E105" s="295" t="s">
        <v>9845</v>
      </c>
      <c r="F105" s="296" t="s">
        <v>9846</v>
      </c>
    </row>
    <row r="106" spans="1:6" ht="14.15" customHeight="1" x14ac:dyDescent="0.35">
      <c r="A106" s="213" t="s">
        <v>9631</v>
      </c>
      <c r="B106" s="111" t="s">
        <v>9847</v>
      </c>
      <c r="C106" s="269" t="s">
        <v>9848</v>
      </c>
      <c r="D106" s="268"/>
      <c r="E106" s="295" t="s">
        <v>9847</v>
      </c>
      <c r="F106" s="296" t="s">
        <v>9848</v>
      </c>
    </row>
    <row r="107" spans="1:6" ht="14.15" customHeight="1" x14ac:dyDescent="0.35">
      <c r="A107" s="213" t="s">
        <v>9631</v>
      </c>
      <c r="B107" s="111" t="s">
        <v>9849</v>
      </c>
      <c r="C107" s="269" t="s">
        <v>9850</v>
      </c>
      <c r="D107" s="268"/>
      <c r="E107" s="295" t="s">
        <v>9849</v>
      </c>
      <c r="F107" s="296" t="s">
        <v>9850</v>
      </c>
    </row>
    <row r="108" spans="1:6" ht="14.15" customHeight="1" x14ac:dyDescent="0.35">
      <c r="A108" s="266" t="s">
        <v>9631</v>
      </c>
      <c r="B108" s="111" t="s">
        <v>9851</v>
      </c>
      <c r="C108" s="267" t="s">
        <v>9852</v>
      </c>
      <c r="D108" s="268"/>
      <c r="E108" s="295" t="s">
        <v>9851</v>
      </c>
      <c r="F108" s="296" t="s">
        <v>9853</v>
      </c>
    </row>
    <row r="109" spans="1:6" ht="14.15" customHeight="1" x14ac:dyDescent="0.35">
      <c r="A109" s="213" t="s">
        <v>9631</v>
      </c>
      <c r="B109" s="111" t="s">
        <v>9854</v>
      </c>
      <c r="C109" s="269" t="s">
        <v>9855</v>
      </c>
      <c r="D109" s="268"/>
      <c r="E109" s="295" t="s">
        <v>9854</v>
      </c>
      <c r="F109" s="296" t="s">
        <v>9855</v>
      </c>
    </row>
    <row r="110" spans="1:6" ht="14.15" customHeight="1" x14ac:dyDescent="0.35">
      <c r="A110" s="213" t="s">
        <v>9631</v>
      </c>
      <c r="B110" s="111" t="s">
        <v>9856</v>
      </c>
      <c r="C110" s="269" t="s">
        <v>9857</v>
      </c>
      <c r="D110" s="268"/>
      <c r="E110" s="295" t="s">
        <v>9856</v>
      </c>
      <c r="F110" s="296" t="s">
        <v>9857</v>
      </c>
    </row>
    <row r="111" spans="1:6" ht="14.15" customHeight="1" x14ac:dyDescent="0.35">
      <c r="A111" s="213" t="s">
        <v>9631</v>
      </c>
      <c r="B111" s="111" t="s">
        <v>9858</v>
      </c>
      <c r="C111" s="269" t="s">
        <v>9859</v>
      </c>
      <c r="D111" s="268"/>
      <c r="E111" s="295" t="s">
        <v>9858</v>
      </c>
      <c r="F111" s="296" t="s">
        <v>9859</v>
      </c>
    </row>
    <row r="112" spans="1:6" ht="14.15" customHeight="1" x14ac:dyDescent="0.35">
      <c r="A112" s="213" t="s">
        <v>9631</v>
      </c>
      <c r="B112" s="111" t="s">
        <v>9860</v>
      </c>
      <c r="C112" s="269" t="s">
        <v>9861</v>
      </c>
      <c r="D112" s="268"/>
      <c r="E112" s="295" t="s">
        <v>9860</v>
      </c>
      <c r="F112" s="296" t="s">
        <v>9861</v>
      </c>
    </row>
    <row r="113" spans="1:6" ht="14.15" customHeight="1" x14ac:dyDescent="0.35">
      <c r="A113" s="213" t="s">
        <v>9631</v>
      </c>
      <c r="B113" s="111" t="s">
        <v>9862</v>
      </c>
      <c r="C113" s="269" t="s">
        <v>9863</v>
      </c>
      <c r="D113" s="268"/>
      <c r="E113" s="295" t="s">
        <v>9862</v>
      </c>
      <c r="F113" s="296" t="s">
        <v>9864</v>
      </c>
    </row>
    <row r="114" spans="1:6" ht="14.15" customHeight="1" x14ac:dyDescent="0.35">
      <c r="A114" s="350" t="s">
        <v>9631</v>
      </c>
      <c r="B114" s="270" t="s">
        <v>9865</v>
      </c>
      <c r="C114" s="271" t="s">
        <v>9866</v>
      </c>
      <c r="D114" s="268"/>
      <c r="E114" s="295"/>
      <c r="F114" s="296"/>
    </row>
    <row r="115" spans="1:6" ht="14.15" customHeight="1" x14ac:dyDescent="0.35">
      <c r="A115" s="266" t="s">
        <v>9631</v>
      </c>
      <c r="B115" s="111" t="s">
        <v>9867</v>
      </c>
      <c r="C115" s="267" t="s">
        <v>9868</v>
      </c>
      <c r="D115" s="268"/>
      <c r="E115" s="295" t="s">
        <v>9867</v>
      </c>
      <c r="F115" s="296" t="s">
        <v>9869</v>
      </c>
    </row>
    <row r="116" spans="1:6" ht="14.15" customHeight="1" x14ac:dyDescent="0.35">
      <c r="A116" s="213" t="s">
        <v>9631</v>
      </c>
      <c r="B116" s="111" t="s">
        <v>9870</v>
      </c>
      <c r="C116" s="269" t="s">
        <v>1420</v>
      </c>
      <c r="D116" s="268"/>
      <c r="E116" s="295" t="s">
        <v>9870</v>
      </c>
      <c r="F116" s="296" t="s">
        <v>1420</v>
      </c>
    </row>
    <row r="117" spans="1:6" ht="14.15" customHeight="1" x14ac:dyDescent="0.35">
      <c r="A117" s="213" t="s">
        <v>9631</v>
      </c>
      <c r="B117" s="111" t="s">
        <v>9871</v>
      </c>
      <c r="C117" s="269" t="s">
        <v>1463</v>
      </c>
      <c r="D117" s="268"/>
      <c r="E117" s="295" t="s">
        <v>9871</v>
      </c>
      <c r="F117" s="296" t="s">
        <v>1463</v>
      </c>
    </row>
    <row r="118" spans="1:6" ht="14.15" customHeight="1" x14ac:dyDescent="0.35">
      <c r="A118" s="213" t="s">
        <v>9631</v>
      </c>
      <c r="B118" s="111" t="s">
        <v>9872</v>
      </c>
      <c r="C118" s="269" t="s">
        <v>1465</v>
      </c>
      <c r="D118" s="268"/>
      <c r="E118" s="295" t="s">
        <v>9872</v>
      </c>
      <c r="F118" s="296" t="s">
        <v>1465</v>
      </c>
    </row>
    <row r="119" spans="1:6" ht="14.15" customHeight="1" x14ac:dyDescent="0.35">
      <c r="A119" s="213" t="s">
        <v>9631</v>
      </c>
      <c r="B119" s="111" t="s">
        <v>9873</v>
      </c>
      <c r="C119" s="269" t="s">
        <v>1467</v>
      </c>
      <c r="D119" s="268"/>
      <c r="E119" s="295" t="s">
        <v>9873</v>
      </c>
      <c r="F119" s="296" t="s">
        <v>1467</v>
      </c>
    </row>
    <row r="120" spans="1:6" ht="14.15" customHeight="1" x14ac:dyDescent="0.35">
      <c r="A120" s="213" t="s">
        <v>9631</v>
      </c>
      <c r="B120" s="111" t="s">
        <v>9874</v>
      </c>
      <c r="C120" s="269" t="s">
        <v>1469</v>
      </c>
      <c r="D120" s="268"/>
      <c r="E120" s="295" t="s">
        <v>9874</v>
      </c>
      <c r="F120" s="296" t="s">
        <v>1469</v>
      </c>
    </row>
    <row r="121" spans="1:6" ht="14.15" customHeight="1" x14ac:dyDescent="0.35">
      <c r="A121" s="213" t="s">
        <v>9631</v>
      </c>
      <c r="B121" s="111" t="s">
        <v>9875</v>
      </c>
      <c r="C121" s="269" t="s">
        <v>1471</v>
      </c>
      <c r="D121" s="268"/>
      <c r="E121" s="295" t="s">
        <v>9875</v>
      </c>
      <c r="F121" s="296" t="s">
        <v>1471</v>
      </c>
    </row>
    <row r="122" spans="1:6" ht="14.15" customHeight="1" x14ac:dyDescent="0.35">
      <c r="A122" s="213" t="s">
        <v>9631</v>
      </c>
      <c r="B122" s="111" t="s">
        <v>9876</v>
      </c>
      <c r="C122" s="269" t="s">
        <v>1473</v>
      </c>
      <c r="D122" s="268"/>
      <c r="E122" s="295" t="s">
        <v>9876</v>
      </c>
      <c r="F122" s="296" t="s">
        <v>1473</v>
      </c>
    </row>
    <row r="123" spans="1:6" ht="14.15" customHeight="1" x14ac:dyDescent="0.35">
      <c r="A123" s="213" t="s">
        <v>9631</v>
      </c>
      <c r="B123" s="111" t="s">
        <v>9877</v>
      </c>
      <c r="C123" s="269" t="s">
        <v>9878</v>
      </c>
      <c r="D123" s="268"/>
      <c r="E123" s="295" t="s">
        <v>9877</v>
      </c>
      <c r="F123" s="296" t="s">
        <v>9878</v>
      </c>
    </row>
    <row r="124" spans="1:6" ht="14.15" customHeight="1" x14ac:dyDescent="0.35">
      <c r="A124" s="213" t="s">
        <v>9631</v>
      </c>
      <c r="B124" s="111" t="s">
        <v>9879</v>
      </c>
      <c r="C124" s="269" t="s">
        <v>9880</v>
      </c>
      <c r="D124" s="268"/>
      <c r="E124" s="295" t="s">
        <v>9879</v>
      </c>
      <c r="F124" s="296" t="s">
        <v>9880</v>
      </c>
    </row>
    <row r="125" spans="1:6" ht="14.15" customHeight="1" x14ac:dyDescent="0.35">
      <c r="A125" s="213" t="s">
        <v>9631</v>
      </c>
      <c r="B125" s="111" t="s">
        <v>9881</v>
      </c>
      <c r="C125" s="269" t="s">
        <v>9882</v>
      </c>
      <c r="D125" s="268"/>
      <c r="E125" s="295" t="s">
        <v>9881</v>
      </c>
      <c r="F125" s="296" t="s">
        <v>9882</v>
      </c>
    </row>
    <row r="126" spans="1:6" ht="14.15" customHeight="1" x14ac:dyDescent="0.35">
      <c r="A126" s="213" t="s">
        <v>9631</v>
      </c>
      <c r="B126" s="111" t="s">
        <v>9883</v>
      </c>
      <c r="C126" s="269" t="s">
        <v>9884</v>
      </c>
      <c r="D126" s="268"/>
      <c r="E126" s="295" t="s">
        <v>9883</v>
      </c>
      <c r="F126" s="296" t="s">
        <v>9884</v>
      </c>
    </row>
    <row r="127" spans="1:6" ht="14.15" customHeight="1" x14ac:dyDescent="0.35">
      <c r="A127" s="213" t="s">
        <v>9631</v>
      </c>
      <c r="B127" s="111" t="s">
        <v>9885</v>
      </c>
      <c r="C127" s="269" t="s">
        <v>9886</v>
      </c>
      <c r="D127" s="268"/>
      <c r="E127" s="295" t="s">
        <v>9885</v>
      </c>
      <c r="F127" s="296" t="s">
        <v>9886</v>
      </c>
    </row>
    <row r="128" spans="1:6" ht="14.15" customHeight="1" x14ac:dyDescent="0.35">
      <c r="A128" s="213" t="s">
        <v>9631</v>
      </c>
      <c r="B128" s="111" t="s">
        <v>9887</v>
      </c>
      <c r="C128" s="269" t="s">
        <v>9888</v>
      </c>
      <c r="D128" s="268"/>
      <c r="E128" s="295" t="s">
        <v>9887</v>
      </c>
      <c r="F128" s="296" t="s">
        <v>9888</v>
      </c>
    </row>
    <row r="129" spans="1:6" ht="14.15" customHeight="1" x14ac:dyDescent="0.35">
      <c r="A129" s="213" t="s">
        <v>9631</v>
      </c>
      <c r="B129" s="111" t="s">
        <v>9889</v>
      </c>
      <c r="C129" s="269" t="s">
        <v>9890</v>
      </c>
      <c r="D129" s="268"/>
      <c r="E129" s="295" t="s">
        <v>9889</v>
      </c>
      <c r="F129" s="296" t="s">
        <v>9890</v>
      </c>
    </row>
    <row r="130" spans="1:6" ht="14.15" customHeight="1" x14ac:dyDescent="0.35">
      <c r="A130" s="213" t="s">
        <v>9631</v>
      </c>
      <c r="B130" s="111" t="s">
        <v>9891</v>
      </c>
      <c r="C130" s="269" t="s">
        <v>9892</v>
      </c>
      <c r="D130" s="268"/>
      <c r="E130" s="295" t="s">
        <v>9891</v>
      </c>
      <c r="F130" s="296" t="s">
        <v>9892</v>
      </c>
    </row>
    <row r="131" spans="1:6" ht="14.15" customHeight="1" x14ac:dyDescent="0.35">
      <c r="A131" s="213" t="s">
        <v>9631</v>
      </c>
      <c r="B131" s="111" t="s">
        <v>9893</v>
      </c>
      <c r="C131" s="269" t="s">
        <v>9894</v>
      </c>
      <c r="D131" s="268"/>
      <c r="E131" s="295" t="s">
        <v>9893</v>
      </c>
      <c r="F131" s="296" t="s">
        <v>9894</v>
      </c>
    </row>
    <row r="132" spans="1:6" ht="14.15" customHeight="1" x14ac:dyDescent="0.35">
      <c r="A132" s="213" t="s">
        <v>9631</v>
      </c>
      <c r="B132" s="111" t="s">
        <v>9895</v>
      </c>
      <c r="C132" s="269" t="s">
        <v>9896</v>
      </c>
      <c r="D132" s="268"/>
      <c r="E132" s="295" t="s">
        <v>9895</v>
      </c>
      <c r="F132" s="296" t="s">
        <v>9896</v>
      </c>
    </row>
    <row r="133" spans="1:6" ht="14.15" customHeight="1" x14ac:dyDescent="0.35">
      <c r="A133" s="213" t="s">
        <v>9631</v>
      </c>
      <c r="B133" s="111" t="s">
        <v>9897</v>
      </c>
      <c r="C133" s="269" t="s">
        <v>9898</v>
      </c>
      <c r="D133" s="268"/>
      <c r="E133" s="295" t="s">
        <v>9897</v>
      </c>
      <c r="F133" s="296" t="s">
        <v>9898</v>
      </c>
    </row>
    <row r="134" spans="1:6" ht="14.15" customHeight="1" x14ac:dyDescent="0.35">
      <c r="A134" s="213" t="s">
        <v>9631</v>
      </c>
      <c r="B134" s="111" t="s">
        <v>9899</v>
      </c>
      <c r="C134" s="269" t="s">
        <v>9900</v>
      </c>
      <c r="D134" s="268"/>
      <c r="E134" s="295" t="s">
        <v>9899</v>
      </c>
      <c r="F134" s="296" t="s">
        <v>9900</v>
      </c>
    </row>
    <row r="135" spans="1:6" ht="14.15" customHeight="1" x14ac:dyDescent="0.35">
      <c r="A135" s="213" t="s">
        <v>9631</v>
      </c>
      <c r="B135" s="111" t="s">
        <v>9901</v>
      </c>
      <c r="C135" s="269" t="s">
        <v>9902</v>
      </c>
      <c r="D135" s="268"/>
      <c r="E135" s="295" t="s">
        <v>9901</v>
      </c>
      <c r="F135" s="296" t="s">
        <v>9902</v>
      </c>
    </row>
    <row r="136" spans="1:6" ht="14.15" customHeight="1" x14ac:dyDescent="0.35">
      <c r="A136" s="213" t="s">
        <v>9631</v>
      </c>
      <c r="B136" s="111" t="s">
        <v>9903</v>
      </c>
      <c r="C136" s="269" t="s">
        <v>9904</v>
      </c>
      <c r="D136" s="268"/>
      <c r="E136" s="295" t="s">
        <v>9903</v>
      </c>
      <c r="F136" s="296" t="s">
        <v>9904</v>
      </c>
    </row>
    <row r="137" spans="1:6" ht="14.15" customHeight="1" x14ac:dyDescent="0.35">
      <c r="A137" s="213" t="s">
        <v>9631</v>
      </c>
      <c r="B137" s="111" t="s">
        <v>9905</v>
      </c>
      <c r="C137" s="269" t="s">
        <v>9906</v>
      </c>
      <c r="D137" s="268"/>
      <c r="E137" s="295" t="s">
        <v>9905</v>
      </c>
      <c r="F137" s="296" t="s">
        <v>9906</v>
      </c>
    </row>
    <row r="138" spans="1:6" ht="14.15" customHeight="1" x14ac:dyDescent="0.35">
      <c r="A138" s="213" t="s">
        <v>9631</v>
      </c>
      <c r="B138" s="111" t="s">
        <v>9907</v>
      </c>
      <c r="C138" s="269" t="s">
        <v>9908</v>
      </c>
      <c r="D138" s="268"/>
      <c r="E138" s="295" t="s">
        <v>9907</v>
      </c>
      <c r="F138" s="296" t="s">
        <v>9908</v>
      </c>
    </row>
    <row r="139" spans="1:6" ht="14.15" customHeight="1" x14ac:dyDescent="0.35">
      <c r="A139" s="213" t="s">
        <v>9631</v>
      </c>
      <c r="B139" s="111" t="s">
        <v>9909</v>
      </c>
      <c r="C139" s="269" t="s">
        <v>9910</v>
      </c>
      <c r="D139" s="268"/>
      <c r="E139" s="295" t="s">
        <v>9909</v>
      </c>
      <c r="F139" s="296" t="s">
        <v>9910</v>
      </c>
    </row>
    <row r="140" spans="1:6" ht="14.15" customHeight="1" x14ac:dyDescent="0.35">
      <c r="A140" s="213" t="s">
        <v>9631</v>
      </c>
      <c r="B140" s="111" t="s">
        <v>9911</v>
      </c>
      <c r="C140" s="269" t="s">
        <v>9912</v>
      </c>
      <c r="D140" s="268"/>
      <c r="E140" s="295" t="s">
        <v>9911</v>
      </c>
      <c r="F140" s="296" t="s">
        <v>9912</v>
      </c>
    </row>
    <row r="141" spans="1:6" ht="14.15" customHeight="1" x14ac:dyDescent="0.35">
      <c r="A141" s="213" t="s">
        <v>9631</v>
      </c>
      <c r="B141" s="111" t="s">
        <v>9913</v>
      </c>
      <c r="C141" s="269" t="s">
        <v>9914</v>
      </c>
      <c r="D141" s="268"/>
      <c r="E141" s="295" t="s">
        <v>9913</v>
      </c>
      <c r="F141" s="296" t="s">
        <v>9914</v>
      </c>
    </row>
    <row r="142" spans="1:6" ht="14.15" customHeight="1" x14ac:dyDescent="0.35">
      <c r="A142" s="213" t="s">
        <v>9631</v>
      </c>
      <c r="B142" s="111" t="s">
        <v>9915</v>
      </c>
      <c r="C142" s="269" t="s">
        <v>9916</v>
      </c>
      <c r="D142" s="268"/>
      <c r="E142" s="295" t="s">
        <v>9915</v>
      </c>
      <c r="F142" s="296" t="s">
        <v>9916</v>
      </c>
    </row>
    <row r="143" spans="1:6" ht="14.15" customHeight="1" x14ac:dyDescent="0.35">
      <c r="A143" s="213" t="s">
        <v>9631</v>
      </c>
      <c r="B143" s="111" t="s">
        <v>9917</v>
      </c>
      <c r="C143" s="269" t="s">
        <v>9918</v>
      </c>
      <c r="D143" s="268"/>
      <c r="E143" s="295" t="s">
        <v>9917</v>
      </c>
      <c r="F143" s="296" t="s">
        <v>9918</v>
      </c>
    </row>
    <row r="144" spans="1:6" ht="14.15" customHeight="1" x14ac:dyDescent="0.35">
      <c r="A144" s="213" t="s">
        <v>9631</v>
      </c>
      <c r="B144" s="111" t="s">
        <v>9919</v>
      </c>
      <c r="C144" s="269" t="s">
        <v>9920</v>
      </c>
      <c r="D144" s="268"/>
      <c r="E144" s="295" t="s">
        <v>9919</v>
      </c>
      <c r="F144" s="296" t="s">
        <v>9920</v>
      </c>
    </row>
    <row r="145" spans="1:6" ht="14.15" customHeight="1" x14ac:dyDescent="0.35">
      <c r="A145" s="213" t="s">
        <v>9631</v>
      </c>
      <c r="B145" s="111" t="s">
        <v>9921</v>
      </c>
      <c r="C145" s="269" t="s">
        <v>9922</v>
      </c>
      <c r="D145" s="268"/>
      <c r="E145" s="295" t="s">
        <v>9921</v>
      </c>
      <c r="F145" s="296" t="s">
        <v>9922</v>
      </c>
    </row>
    <row r="146" spans="1:6" ht="14.15" customHeight="1" x14ac:dyDescent="0.35">
      <c r="A146" s="213" t="s">
        <v>9631</v>
      </c>
      <c r="B146" s="111" t="s">
        <v>9923</v>
      </c>
      <c r="C146" s="269" t="s">
        <v>9924</v>
      </c>
      <c r="D146" s="268"/>
      <c r="E146" s="295" t="s">
        <v>9923</v>
      </c>
      <c r="F146" s="296" t="s">
        <v>9924</v>
      </c>
    </row>
    <row r="147" spans="1:6" ht="14.15" customHeight="1" x14ac:dyDescent="0.35">
      <c r="A147" s="213" t="s">
        <v>9631</v>
      </c>
      <c r="B147" s="111" t="s">
        <v>9925</v>
      </c>
      <c r="C147" s="269" t="s">
        <v>9926</v>
      </c>
      <c r="D147" s="268"/>
      <c r="E147" s="295" t="s">
        <v>9925</v>
      </c>
      <c r="F147" s="296" t="s">
        <v>9926</v>
      </c>
    </row>
    <row r="148" spans="1:6" ht="14.15" customHeight="1" x14ac:dyDescent="0.35">
      <c r="A148" s="213" t="s">
        <v>9631</v>
      </c>
      <c r="B148" s="111" t="s">
        <v>9927</v>
      </c>
      <c r="C148" s="269" t="s">
        <v>9928</v>
      </c>
      <c r="D148" s="268"/>
      <c r="E148" s="295" t="s">
        <v>9927</v>
      </c>
      <c r="F148" s="296" t="s">
        <v>9928</v>
      </c>
    </row>
    <row r="149" spans="1:6" ht="14.15" customHeight="1" x14ac:dyDescent="0.35">
      <c r="A149" s="213" t="s">
        <v>9631</v>
      </c>
      <c r="B149" s="111" t="s">
        <v>9929</v>
      </c>
      <c r="C149" s="269" t="s">
        <v>9930</v>
      </c>
      <c r="D149" s="268"/>
      <c r="E149" s="295" t="s">
        <v>9929</v>
      </c>
      <c r="F149" s="296" t="s">
        <v>9930</v>
      </c>
    </row>
    <row r="150" spans="1:6" ht="14.15" customHeight="1" x14ac:dyDescent="0.35">
      <c r="A150" s="213" t="s">
        <v>9631</v>
      </c>
      <c r="B150" s="111" t="s">
        <v>9931</v>
      </c>
      <c r="C150" s="269" t="s">
        <v>9932</v>
      </c>
      <c r="D150" s="268"/>
      <c r="E150" s="295" t="s">
        <v>9931</v>
      </c>
      <c r="F150" s="296" t="s">
        <v>9932</v>
      </c>
    </row>
    <row r="151" spans="1:6" ht="14.15" customHeight="1" x14ac:dyDescent="0.35">
      <c r="A151" s="213" t="s">
        <v>9631</v>
      </c>
      <c r="B151" s="111" t="s">
        <v>9933</v>
      </c>
      <c r="C151" s="269" t="s">
        <v>9934</v>
      </c>
      <c r="D151" s="268"/>
      <c r="E151" s="295" t="s">
        <v>9933</v>
      </c>
      <c r="F151" s="296" t="s">
        <v>9935</v>
      </c>
    </row>
    <row r="152" spans="1:6" ht="14.15" customHeight="1" x14ac:dyDescent="0.35">
      <c r="A152" s="213" t="s">
        <v>9631</v>
      </c>
      <c r="B152" s="111" t="s">
        <v>9936</v>
      </c>
      <c r="C152" s="269" t="s">
        <v>9937</v>
      </c>
      <c r="D152" s="268"/>
      <c r="E152" s="295" t="s">
        <v>9936</v>
      </c>
      <c r="F152" s="296" t="s">
        <v>9937</v>
      </c>
    </row>
    <row r="153" spans="1:6" ht="14.15" customHeight="1" x14ac:dyDescent="0.35">
      <c r="A153" s="213" t="s">
        <v>9631</v>
      </c>
      <c r="B153" s="111" t="s">
        <v>9938</v>
      </c>
      <c r="C153" s="269" t="s">
        <v>9939</v>
      </c>
      <c r="D153" s="268"/>
      <c r="E153" s="295" t="s">
        <v>9938</v>
      </c>
      <c r="F153" s="296" t="s">
        <v>9939</v>
      </c>
    </row>
    <row r="154" spans="1:6" ht="14.15" customHeight="1" x14ac:dyDescent="0.35">
      <c r="A154" s="213" t="s">
        <v>9631</v>
      </c>
      <c r="B154" s="111" t="s">
        <v>9940</v>
      </c>
      <c r="C154" s="269" t="s">
        <v>3773</v>
      </c>
      <c r="D154" s="268"/>
      <c r="E154" s="295" t="s">
        <v>9940</v>
      </c>
      <c r="F154" s="296" t="s">
        <v>3773</v>
      </c>
    </row>
    <row r="155" spans="1:6" ht="14.15" customHeight="1" x14ac:dyDescent="0.35">
      <c r="A155" s="213" t="s">
        <v>9631</v>
      </c>
      <c r="B155" s="111" t="s">
        <v>9941</v>
      </c>
      <c r="C155" s="269" t="s">
        <v>9942</v>
      </c>
      <c r="D155" s="268"/>
      <c r="E155" s="295" t="s">
        <v>9941</v>
      </c>
      <c r="F155" s="296" t="s">
        <v>9942</v>
      </c>
    </row>
    <row r="156" spans="1:6" ht="14.15" customHeight="1" x14ac:dyDescent="0.35">
      <c r="A156" s="213" t="s">
        <v>9631</v>
      </c>
      <c r="B156" s="111" t="s">
        <v>9943</v>
      </c>
      <c r="C156" s="269" t="s">
        <v>9944</v>
      </c>
      <c r="D156" s="268"/>
      <c r="E156" s="295" t="s">
        <v>9943</v>
      </c>
      <c r="F156" s="296" t="s">
        <v>9944</v>
      </c>
    </row>
    <row r="157" spans="1:6" ht="14.15" customHeight="1" x14ac:dyDescent="0.35">
      <c r="A157" s="213" t="s">
        <v>9631</v>
      </c>
      <c r="B157" s="111" t="s">
        <v>9945</v>
      </c>
      <c r="C157" s="269" t="s">
        <v>3771</v>
      </c>
      <c r="D157" s="268"/>
      <c r="E157" s="295" t="s">
        <v>9945</v>
      </c>
      <c r="F157" s="296" t="s">
        <v>3771</v>
      </c>
    </row>
    <row r="158" spans="1:6" ht="14.15" customHeight="1" x14ac:dyDescent="0.35">
      <c r="A158" s="213" t="s">
        <v>9631</v>
      </c>
      <c r="B158" s="111" t="s">
        <v>9946</v>
      </c>
      <c r="C158" s="269" t="s">
        <v>9947</v>
      </c>
      <c r="D158" s="268"/>
      <c r="E158" s="295" t="s">
        <v>9946</v>
      </c>
      <c r="F158" s="296" t="s">
        <v>9948</v>
      </c>
    </row>
    <row r="159" spans="1:6" ht="14.15" customHeight="1" x14ac:dyDescent="0.35">
      <c r="A159" s="213" t="s">
        <v>9631</v>
      </c>
      <c r="B159" s="111" t="s">
        <v>9949</v>
      </c>
      <c r="C159" s="269" t="s">
        <v>9950</v>
      </c>
      <c r="D159" s="268"/>
      <c r="E159" s="295" t="s">
        <v>9949</v>
      </c>
      <c r="F159" s="296" t="s">
        <v>9950</v>
      </c>
    </row>
    <row r="160" spans="1:6" ht="14.15" customHeight="1" x14ac:dyDescent="0.35">
      <c r="A160" s="213" t="s">
        <v>9631</v>
      </c>
      <c r="B160" s="111" t="s">
        <v>9951</v>
      </c>
      <c r="C160" s="269" t="s">
        <v>9952</v>
      </c>
      <c r="D160" s="268"/>
      <c r="E160" s="295" t="s">
        <v>9951</v>
      </c>
      <c r="F160" s="296" t="s">
        <v>9952</v>
      </c>
    </row>
    <row r="161" spans="1:6" ht="14.15" customHeight="1" x14ac:dyDescent="0.35">
      <c r="A161" s="213" t="s">
        <v>9631</v>
      </c>
      <c r="B161" s="111" t="s">
        <v>9953</v>
      </c>
      <c r="C161" s="269" t="s">
        <v>9954</v>
      </c>
      <c r="D161" s="268"/>
      <c r="E161" s="295" t="s">
        <v>9953</v>
      </c>
      <c r="F161" s="296" t="s">
        <v>9955</v>
      </c>
    </row>
    <row r="162" spans="1:6" ht="14.15" customHeight="1" x14ac:dyDescent="0.35">
      <c r="A162" s="213" t="s">
        <v>9631</v>
      </c>
      <c r="B162" s="111" t="s">
        <v>9956</v>
      </c>
      <c r="C162" s="269" t="s">
        <v>9957</v>
      </c>
      <c r="D162" s="268"/>
      <c r="E162" s="295" t="s">
        <v>9956</v>
      </c>
      <c r="F162" s="296" t="s">
        <v>9957</v>
      </c>
    </row>
    <row r="163" spans="1:6" ht="14.15" customHeight="1" x14ac:dyDescent="0.35">
      <c r="A163" s="213" t="s">
        <v>9631</v>
      </c>
      <c r="B163" s="111" t="s">
        <v>9958</v>
      </c>
      <c r="C163" s="269" t="s">
        <v>3781</v>
      </c>
      <c r="D163" s="268"/>
      <c r="E163" s="295" t="s">
        <v>9958</v>
      </c>
      <c r="F163" s="296" t="s">
        <v>3781</v>
      </c>
    </row>
    <row r="164" spans="1:6" ht="14.15" customHeight="1" x14ac:dyDescent="0.35">
      <c r="A164" s="213" t="s">
        <v>9631</v>
      </c>
      <c r="B164" s="111" t="s">
        <v>9959</v>
      </c>
      <c r="C164" s="269" t="s">
        <v>9960</v>
      </c>
      <c r="D164" s="268"/>
      <c r="E164" s="295" t="s">
        <v>9959</v>
      </c>
      <c r="F164" s="296" t="s">
        <v>9960</v>
      </c>
    </row>
    <row r="165" spans="1:6" ht="14.15" customHeight="1" x14ac:dyDescent="0.35">
      <c r="A165" s="213" t="s">
        <v>9631</v>
      </c>
      <c r="B165" s="111" t="s">
        <v>9961</v>
      </c>
      <c r="C165" s="269" t="s">
        <v>9962</v>
      </c>
      <c r="D165" s="268"/>
      <c r="E165" s="295" t="s">
        <v>9961</v>
      </c>
      <c r="F165" s="296" t="s">
        <v>9962</v>
      </c>
    </row>
    <row r="166" spans="1:6" ht="14.15" customHeight="1" x14ac:dyDescent="0.35">
      <c r="A166" s="213" t="s">
        <v>9631</v>
      </c>
      <c r="B166" s="111" t="s">
        <v>9963</v>
      </c>
      <c r="C166" s="269" t="s">
        <v>3757</v>
      </c>
      <c r="D166" s="268"/>
      <c r="E166" s="295" t="s">
        <v>9963</v>
      </c>
      <c r="F166" s="296" t="s">
        <v>3757</v>
      </c>
    </row>
    <row r="167" spans="1:6" ht="14.15" customHeight="1" x14ac:dyDescent="0.35">
      <c r="A167" s="213" t="s">
        <v>9631</v>
      </c>
      <c r="B167" s="111" t="s">
        <v>9964</v>
      </c>
      <c r="C167" s="269" t="s">
        <v>3702</v>
      </c>
      <c r="D167" s="268"/>
      <c r="E167" s="295" t="s">
        <v>9964</v>
      </c>
      <c r="F167" s="296" t="s">
        <v>3702</v>
      </c>
    </row>
    <row r="168" spans="1:6" ht="14.15" customHeight="1" x14ac:dyDescent="0.35">
      <c r="A168" s="213" t="s">
        <v>9631</v>
      </c>
      <c r="B168" s="111" t="s">
        <v>9965</v>
      </c>
      <c r="C168" s="269" t="s">
        <v>9966</v>
      </c>
      <c r="D168" s="268"/>
      <c r="E168" s="295" t="s">
        <v>9965</v>
      </c>
      <c r="F168" s="296" t="s">
        <v>9967</v>
      </c>
    </row>
    <row r="169" spans="1:6" ht="14.15" customHeight="1" x14ac:dyDescent="0.35">
      <c r="A169" s="213" t="s">
        <v>9631</v>
      </c>
      <c r="B169" s="111" t="s">
        <v>9968</v>
      </c>
      <c r="C169" s="269" t="s">
        <v>9969</v>
      </c>
      <c r="D169" s="268"/>
      <c r="E169" s="295" t="s">
        <v>9968</v>
      </c>
      <c r="F169" s="296" t="s">
        <v>9969</v>
      </c>
    </row>
    <row r="170" spans="1:6" ht="14.15" customHeight="1" x14ac:dyDescent="0.35">
      <c r="A170" s="213" t="s">
        <v>9631</v>
      </c>
      <c r="B170" s="111" t="s">
        <v>9970</v>
      </c>
      <c r="C170" s="269" t="s">
        <v>9971</v>
      </c>
      <c r="D170" s="268"/>
      <c r="E170" s="295" t="s">
        <v>9970</v>
      </c>
      <c r="F170" s="296" t="s">
        <v>9972</v>
      </c>
    </row>
    <row r="171" spans="1:6" ht="14.15" customHeight="1" x14ac:dyDescent="0.35">
      <c r="A171" s="213" t="s">
        <v>9631</v>
      </c>
      <c r="B171" s="111" t="s">
        <v>9973</v>
      </c>
      <c r="C171" s="269" t="s">
        <v>9974</v>
      </c>
      <c r="D171" s="268"/>
      <c r="E171" s="295" t="s">
        <v>9973</v>
      </c>
      <c r="F171" s="296" t="s">
        <v>9974</v>
      </c>
    </row>
    <row r="172" spans="1:6" ht="14.15" customHeight="1" x14ac:dyDescent="0.35">
      <c r="A172" s="213" t="s">
        <v>9631</v>
      </c>
      <c r="B172" s="111" t="s">
        <v>9975</v>
      </c>
      <c r="C172" s="269" t="s">
        <v>9976</v>
      </c>
      <c r="D172" s="268"/>
      <c r="E172" s="295" t="s">
        <v>9975</v>
      </c>
      <c r="F172" s="296" t="s">
        <v>9976</v>
      </c>
    </row>
    <row r="173" spans="1:6" ht="14.15" customHeight="1" x14ac:dyDescent="0.35">
      <c r="A173" s="213" t="s">
        <v>9631</v>
      </c>
      <c r="B173" s="111" t="s">
        <v>9977</v>
      </c>
      <c r="C173" s="269" t="s">
        <v>9978</v>
      </c>
      <c r="D173" s="268"/>
      <c r="E173" s="295" t="s">
        <v>9977</v>
      </c>
      <c r="F173" s="296" t="s">
        <v>9978</v>
      </c>
    </row>
    <row r="174" spans="1:6" ht="14.15" customHeight="1" x14ac:dyDescent="0.35">
      <c r="A174" s="213" t="s">
        <v>9631</v>
      </c>
      <c r="B174" s="111" t="s">
        <v>9979</v>
      </c>
      <c r="C174" s="269" t="s">
        <v>9980</v>
      </c>
      <c r="D174" s="268"/>
      <c r="E174" s="295" t="s">
        <v>9979</v>
      </c>
      <c r="F174" s="296" t="s">
        <v>9980</v>
      </c>
    </row>
    <row r="175" spans="1:6" ht="14.15" customHeight="1" x14ac:dyDescent="0.35">
      <c r="A175" s="213" t="s">
        <v>9631</v>
      </c>
      <c r="B175" s="111" t="s">
        <v>9981</v>
      </c>
      <c r="C175" s="269" t="s">
        <v>9982</v>
      </c>
      <c r="D175" s="268"/>
      <c r="E175" s="295" t="s">
        <v>9981</v>
      </c>
      <c r="F175" s="296" t="s">
        <v>9982</v>
      </c>
    </row>
    <row r="176" spans="1:6" ht="14.15" customHeight="1" x14ac:dyDescent="0.35">
      <c r="A176" s="266" t="s">
        <v>9631</v>
      </c>
      <c r="B176" s="111" t="s">
        <v>9983</v>
      </c>
      <c r="C176" s="272" t="s">
        <v>9984</v>
      </c>
      <c r="D176" s="268"/>
      <c r="E176" s="295" t="s">
        <v>9983</v>
      </c>
      <c r="F176" s="296" t="s">
        <v>9985</v>
      </c>
    </row>
    <row r="177" spans="1:6" ht="14.15" customHeight="1" x14ac:dyDescent="0.35">
      <c r="A177" s="266" t="s">
        <v>9631</v>
      </c>
      <c r="B177" s="111" t="s">
        <v>9986</v>
      </c>
      <c r="C177" s="272" t="s">
        <v>9987</v>
      </c>
      <c r="D177" s="268"/>
      <c r="E177" s="295" t="s">
        <v>9986</v>
      </c>
      <c r="F177" s="296" t="s">
        <v>9988</v>
      </c>
    </row>
    <row r="178" spans="1:6" ht="14.15" customHeight="1" x14ac:dyDescent="0.35">
      <c r="A178" s="213" t="s">
        <v>9631</v>
      </c>
      <c r="B178" s="111" t="s">
        <v>9989</v>
      </c>
      <c r="C178" s="269" t="s">
        <v>9990</v>
      </c>
      <c r="D178" s="268"/>
      <c r="E178" s="295" t="s">
        <v>9989</v>
      </c>
      <c r="F178" s="296" t="s">
        <v>9990</v>
      </c>
    </row>
    <row r="179" spans="1:6" ht="14.15" customHeight="1" x14ac:dyDescent="0.35">
      <c r="A179" s="273" t="s">
        <v>9631</v>
      </c>
      <c r="B179" s="273" t="s">
        <v>9991</v>
      </c>
      <c r="C179" s="274" t="s">
        <v>9992</v>
      </c>
      <c r="D179" s="275"/>
      <c r="E179" s="297" t="s">
        <v>9991</v>
      </c>
      <c r="F179" s="296" t="s">
        <v>9992</v>
      </c>
    </row>
    <row r="180" spans="1:6" ht="14.15" customHeight="1" x14ac:dyDescent="0.35">
      <c r="A180" s="273" t="s">
        <v>9631</v>
      </c>
      <c r="B180" s="273" t="s">
        <v>9993</v>
      </c>
      <c r="C180" s="274" t="s">
        <v>9994</v>
      </c>
      <c r="D180" s="275"/>
      <c r="E180" s="297" t="s">
        <v>9993</v>
      </c>
      <c r="F180" s="296" t="s">
        <v>9994</v>
      </c>
    </row>
    <row r="181" spans="1:6" ht="14.15" customHeight="1" x14ac:dyDescent="0.35">
      <c r="A181" s="273" t="s">
        <v>9631</v>
      </c>
      <c r="B181" s="273" t="s">
        <v>9995</v>
      </c>
      <c r="C181" s="274" t="s">
        <v>9996</v>
      </c>
      <c r="D181" s="275"/>
      <c r="E181" s="297" t="s">
        <v>9995</v>
      </c>
      <c r="F181" s="296" t="s">
        <v>9996</v>
      </c>
    </row>
    <row r="182" spans="1:6" ht="14.15" customHeight="1" x14ac:dyDescent="0.35">
      <c r="A182" s="273" t="s">
        <v>9631</v>
      </c>
      <c r="B182" s="273" t="s">
        <v>9997</v>
      </c>
      <c r="C182" s="274" t="s">
        <v>9998</v>
      </c>
      <c r="D182" s="275"/>
      <c r="E182" s="297" t="s">
        <v>9997</v>
      </c>
      <c r="F182" s="296" t="s">
        <v>9998</v>
      </c>
    </row>
    <row r="183" spans="1:6" ht="14.15" customHeight="1" x14ac:dyDescent="0.35">
      <c r="A183" s="273" t="s">
        <v>9631</v>
      </c>
      <c r="B183" s="273" t="s">
        <v>9999</v>
      </c>
      <c r="C183" s="274" t="s">
        <v>10000</v>
      </c>
      <c r="D183" s="275"/>
      <c r="E183" s="297" t="s">
        <v>9999</v>
      </c>
      <c r="F183" s="296" t="s">
        <v>10000</v>
      </c>
    </row>
    <row r="184" spans="1:6" ht="14.15" customHeight="1" x14ac:dyDescent="0.35">
      <c r="A184" s="273" t="s">
        <v>9631</v>
      </c>
      <c r="B184" s="273" t="s">
        <v>10001</v>
      </c>
      <c r="C184" s="274" t="s">
        <v>10002</v>
      </c>
      <c r="D184" s="275"/>
      <c r="E184" s="297" t="s">
        <v>10001</v>
      </c>
      <c r="F184" s="296" t="s">
        <v>10002</v>
      </c>
    </row>
    <row r="185" spans="1:6" ht="14.15" customHeight="1" x14ac:dyDescent="0.35">
      <c r="A185" s="273" t="s">
        <v>9631</v>
      </c>
      <c r="B185" s="273" t="s">
        <v>10003</v>
      </c>
      <c r="C185" s="274" t="s">
        <v>10004</v>
      </c>
      <c r="D185" s="275"/>
      <c r="E185" s="297" t="s">
        <v>10003</v>
      </c>
      <c r="F185" s="296" t="s">
        <v>10004</v>
      </c>
    </row>
    <row r="186" spans="1:6" ht="14.15" customHeight="1" x14ac:dyDescent="0.35">
      <c r="A186" s="273" t="s">
        <v>9631</v>
      </c>
      <c r="B186" s="273" t="s">
        <v>10005</v>
      </c>
      <c r="C186" s="274" t="s">
        <v>10006</v>
      </c>
      <c r="D186" s="275"/>
      <c r="E186" s="297" t="s">
        <v>10005</v>
      </c>
      <c r="F186" s="296" t="s">
        <v>10006</v>
      </c>
    </row>
    <row r="187" spans="1:6" ht="14.15" customHeight="1" x14ac:dyDescent="0.35">
      <c r="A187" s="273" t="s">
        <v>9631</v>
      </c>
      <c r="B187" s="273" t="s">
        <v>10007</v>
      </c>
      <c r="C187" s="274" t="s">
        <v>10008</v>
      </c>
      <c r="D187" s="275"/>
      <c r="E187" s="297" t="s">
        <v>10007</v>
      </c>
      <c r="F187" s="296" t="s">
        <v>10008</v>
      </c>
    </row>
    <row r="188" spans="1:6" ht="14.15" customHeight="1" x14ac:dyDescent="0.35">
      <c r="A188" s="273" t="s">
        <v>9631</v>
      </c>
      <c r="B188" s="273" t="s">
        <v>10009</v>
      </c>
      <c r="C188" s="274" t="s">
        <v>10010</v>
      </c>
      <c r="D188" s="275"/>
      <c r="E188" s="297" t="s">
        <v>10009</v>
      </c>
      <c r="F188" s="296" t="s">
        <v>10010</v>
      </c>
    </row>
    <row r="189" spans="1:6" ht="14.15" customHeight="1" x14ac:dyDescent="0.35">
      <c r="A189" s="273" t="s">
        <v>9631</v>
      </c>
      <c r="B189" s="273" t="s">
        <v>10011</v>
      </c>
      <c r="C189" s="274" t="s">
        <v>10012</v>
      </c>
      <c r="D189" s="275"/>
      <c r="E189" s="297" t="s">
        <v>10011</v>
      </c>
      <c r="F189" s="296" t="s">
        <v>10012</v>
      </c>
    </row>
    <row r="190" spans="1:6" ht="14.15" customHeight="1" x14ac:dyDescent="0.35">
      <c r="A190" s="273" t="s">
        <v>9631</v>
      </c>
      <c r="B190" s="273" t="s">
        <v>10013</v>
      </c>
      <c r="C190" s="274" t="s">
        <v>10014</v>
      </c>
      <c r="D190" s="275"/>
      <c r="E190" s="297" t="s">
        <v>10013</v>
      </c>
      <c r="F190" s="296" t="s">
        <v>10014</v>
      </c>
    </row>
    <row r="191" spans="1:6" ht="14.15" customHeight="1" x14ac:dyDescent="0.35">
      <c r="A191" s="273" t="s">
        <v>9631</v>
      </c>
      <c r="B191" s="273" t="s">
        <v>10015</v>
      </c>
      <c r="C191" s="274" t="s">
        <v>10016</v>
      </c>
      <c r="D191" s="275"/>
      <c r="E191" s="297" t="s">
        <v>10015</v>
      </c>
      <c r="F191" s="296" t="s">
        <v>10016</v>
      </c>
    </row>
    <row r="192" spans="1:6" ht="14.15" customHeight="1" x14ac:dyDescent="0.35">
      <c r="A192" s="273" t="s">
        <v>9631</v>
      </c>
      <c r="B192" s="273" t="s">
        <v>10017</v>
      </c>
      <c r="C192" s="274" t="s">
        <v>10018</v>
      </c>
      <c r="D192" s="275"/>
      <c r="E192" s="297" t="s">
        <v>10017</v>
      </c>
      <c r="F192" s="296" t="s">
        <v>10018</v>
      </c>
    </row>
    <row r="193" spans="1:6" ht="14.15" customHeight="1" x14ac:dyDescent="0.35">
      <c r="A193" s="273" t="s">
        <v>9631</v>
      </c>
      <c r="B193" s="273" t="s">
        <v>10019</v>
      </c>
      <c r="C193" s="274" t="s">
        <v>10020</v>
      </c>
      <c r="D193" s="275"/>
      <c r="E193" s="297" t="s">
        <v>10019</v>
      </c>
      <c r="F193" s="296" t="s">
        <v>10020</v>
      </c>
    </row>
    <row r="194" spans="1:6" ht="14.15" customHeight="1" x14ac:dyDescent="0.35">
      <c r="A194" s="273" t="s">
        <v>9631</v>
      </c>
      <c r="B194" s="273" t="s">
        <v>10021</v>
      </c>
      <c r="C194" s="276" t="s">
        <v>10022</v>
      </c>
      <c r="D194" s="275"/>
      <c r="E194" s="297" t="s">
        <v>10021</v>
      </c>
      <c r="F194" s="296" t="s">
        <v>10022</v>
      </c>
    </row>
    <row r="195" spans="1:6" ht="14.15" customHeight="1" x14ac:dyDescent="0.35">
      <c r="A195" s="273" t="s">
        <v>9631</v>
      </c>
      <c r="B195" s="273" t="s">
        <v>10023</v>
      </c>
      <c r="C195" s="274" t="s">
        <v>10024</v>
      </c>
      <c r="D195" s="275"/>
      <c r="E195" s="297" t="s">
        <v>10023</v>
      </c>
      <c r="F195" s="296" t="s">
        <v>10024</v>
      </c>
    </row>
    <row r="196" spans="1:6" ht="14.15" customHeight="1" x14ac:dyDescent="0.35">
      <c r="A196" s="273" t="s">
        <v>9631</v>
      </c>
      <c r="B196" s="273" t="s">
        <v>10025</v>
      </c>
      <c r="C196" s="274" t="s">
        <v>10026</v>
      </c>
      <c r="D196" s="275"/>
      <c r="E196" s="297" t="s">
        <v>10025</v>
      </c>
      <c r="F196" s="296" t="s">
        <v>10026</v>
      </c>
    </row>
    <row r="197" spans="1:6" ht="14.15" customHeight="1" x14ac:dyDescent="0.35">
      <c r="A197" s="273" t="s">
        <v>9631</v>
      </c>
      <c r="B197" s="273" t="s">
        <v>10027</v>
      </c>
      <c r="C197" s="274" t="s">
        <v>10028</v>
      </c>
      <c r="D197" s="275"/>
      <c r="E197" s="297" t="s">
        <v>10027</v>
      </c>
      <c r="F197" s="296" t="s">
        <v>10028</v>
      </c>
    </row>
    <row r="198" spans="1:6" ht="14.15" customHeight="1" x14ac:dyDescent="0.35">
      <c r="A198" s="273" t="s">
        <v>9631</v>
      </c>
      <c r="B198" s="273" t="s">
        <v>10029</v>
      </c>
      <c r="C198" s="274" t="s">
        <v>10030</v>
      </c>
      <c r="D198" s="275"/>
      <c r="E198" s="297" t="s">
        <v>10029</v>
      </c>
      <c r="F198" s="296" t="s">
        <v>10030</v>
      </c>
    </row>
    <row r="199" spans="1:6" ht="14.15" customHeight="1" x14ac:dyDescent="0.35">
      <c r="A199" s="273" t="s">
        <v>9631</v>
      </c>
      <c r="B199" s="273" t="s">
        <v>10031</v>
      </c>
      <c r="C199" s="274" t="s">
        <v>10032</v>
      </c>
      <c r="D199" s="275"/>
      <c r="E199" s="297" t="s">
        <v>10031</v>
      </c>
      <c r="F199" s="296" t="s">
        <v>10032</v>
      </c>
    </row>
    <row r="200" spans="1:6" ht="14.15" customHeight="1" x14ac:dyDescent="0.35">
      <c r="A200" s="273" t="s">
        <v>9631</v>
      </c>
      <c r="B200" s="273" t="s">
        <v>10033</v>
      </c>
      <c r="C200" s="274" t="s">
        <v>10034</v>
      </c>
      <c r="D200" s="275"/>
      <c r="E200" s="297" t="s">
        <v>10033</v>
      </c>
      <c r="F200" s="296" t="s">
        <v>10034</v>
      </c>
    </row>
    <row r="201" spans="1:6" ht="14.15" customHeight="1" x14ac:dyDescent="0.35">
      <c r="A201" s="273" t="s">
        <v>9631</v>
      </c>
      <c r="B201" s="273" t="s">
        <v>10035</v>
      </c>
      <c r="C201" s="274" t="s">
        <v>10036</v>
      </c>
      <c r="D201" s="275"/>
      <c r="E201" s="297" t="s">
        <v>10035</v>
      </c>
      <c r="F201" s="296" t="s">
        <v>10036</v>
      </c>
    </row>
    <row r="202" spans="1:6" ht="14.15" customHeight="1" x14ac:dyDescent="0.35">
      <c r="A202" s="273" t="s">
        <v>9631</v>
      </c>
      <c r="B202" s="273" t="s">
        <v>10037</v>
      </c>
      <c r="C202" s="274" t="s">
        <v>10038</v>
      </c>
      <c r="D202" s="275"/>
      <c r="E202" s="297" t="s">
        <v>10037</v>
      </c>
      <c r="F202" s="296" t="s">
        <v>10038</v>
      </c>
    </row>
    <row r="203" spans="1:6" ht="14.15" customHeight="1" x14ac:dyDescent="0.35">
      <c r="A203" s="273" t="s">
        <v>9631</v>
      </c>
      <c r="B203" s="273" t="s">
        <v>10039</v>
      </c>
      <c r="C203" s="274" t="s">
        <v>10040</v>
      </c>
      <c r="D203" s="275"/>
      <c r="E203" s="297" t="s">
        <v>10039</v>
      </c>
      <c r="F203" s="296" t="s">
        <v>10040</v>
      </c>
    </row>
    <row r="204" spans="1:6" ht="14.15" customHeight="1" x14ac:dyDescent="0.35">
      <c r="A204" s="273" t="s">
        <v>9631</v>
      </c>
      <c r="B204" s="273" t="s">
        <v>10041</v>
      </c>
      <c r="C204" s="274" t="s">
        <v>10042</v>
      </c>
      <c r="D204" s="275"/>
      <c r="E204" s="297" t="s">
        <v>10041</v>
      </c>
      <c r="F204" s="296" t="s">
        <v>10042</v>
      </c>
    </row>
    <row r="205" spans="1:6" ht="14.15" customHeight="1" x14ac:dyDescent="0.35">
      <c r="A205" s="273" t="s">
        <v>9631</v>
      </c>
      <c r="B205" s="273" t="s">
        <v>10043</v>
      </c>
      <c r="C205" s="274" t="s">
        <v>10044</v>
      </c>
      <c r="D205" s="275"/>
      <c r="E205" s="297" t="s">
        <v>10043</v>
      </c>
      <c r="F205" s="296" t="s">
        <v>10044</v>
      </c>
    </row>
    <row r="206" spans="1:6" ht="14.15" customHeight="1" x14ac:dyDescent="0.35">
      <c r="A206" s="273" t="s">
        <v>9631</v>
      </c>
      <c r="B206" s="273" t="s">
        <v>10045</v>
      </c>
      <c r="C206" s="274" t="s">
        <v>10046</v>
      </c>
      <c r="D206" s="275"/>
      <c r="E206" s="297" t="s">
        <v>10045</v>
      </c>
      <c r="F206" s="296" t="s">
        <v>10046</v>
      </c>
    </row>
    <row r="207" spans="1:6" ht="14.15" customHeight="1" x14ac:dyDescent="0.35">
      <c r="A207" s="273" t="s">
        <v>9631</v>
      </c>
      <c r="B207" s="273" t="s">
        <v>10047</v>
      </c>
      <c r="C207" s="274" t="s">
        <v>10048</v>
      </c>
      <c r="D207" s="275"/>
      <c r="E207" s="297" t="s">
        <v>10047</v>
      </c>
      <c r="F207" s="296" t="s">
        <v>10048</v>
      </c>
    </row>
    <row r="208" spans="1:6" ht="14.15" customHeight="1" x14ac:dyDescent="0.35">
      <c r="A208" s="273" t="s">
        <v>9631</v>
      </c>
      <c r="B208" s="273" t="s">
        <v>10049</v>
      </c>
      <c r="C208" s="274" t="s">
        <v>10050</v>
      </c>
      <c r="D208" s="275"/>
      <c r="E208" s="297" t="s">
        <v>10049</v>
      </c>
      <c r="F208" s="296" t="s">
        <v>10050</v>
      </c>
    </row>
    <row r="209" spans="1:6" ht="14.15" customHeight="1" x14ac:dyDescent="0.35">
      <c r="A209" s="273" t="s">
        <v>9631</v>
      </c>
      <c r="B209" s="273" t="s">
        <v>10051</v>
      </c>
      <c r="C209" s="274" t="s">
        <v>10052</v>
      </c>
      <c r="D209" s="275"/>
      <c r="E209" s="297" t="s">
        <v>10051</v>
      </c>
      <c r="F209" s="296" t="s">
        <v>10052</v>
      </c>
    </row>
    <row r="210" spans="1:6" ht="14.15" customHeight="1" x14ac:dyDescent="0.35">
      <c r="A210" s="273" t="s">
        <v>9631</v>
      </c>
      <c r="B210" s="273" t="s">
        <v>10053</v>
      </c>
      <c r="C210" s="274" t="s">
        <v>10054</v>
      </c>
      <c r="D210" s="275"/>
      <c r="E210" s="297" t="s">
        <v>10053</v>
      </c>
      <c r="F210" s="296" t="s">
        <v>10054</v>
      </c>
    </row>
    <row r="211" spans="1:6" ht="14.15" customHeight="1" x14ac:dyDescent="0.35">
      <c r="A211" s="273" t="s">
        <v>9631</v>
      </c>
      <c r="B211" s="273" t="s">
        <v>10055</v>
      </c>
      <c r="C211" s="274" t="s">
        <v>10056</v>
      </c>
      <c r="D211" s="275"/>
      <c r="E211" s="297" t="s">
        <v>10055</v>
      </c>
      <c r="F211" s="296" t="s">
        <v>10056</v>
      </c>
    </row>
    <row r="212" spans="1:6" ht="14.15" customHeight="1" x14ac:dyDescent="0.35">
      <c r="A212" s="273" t="s">
        <v>9631</v>
      </c>
      <c r="B212" s="273" t="s">
        <v>10057</v>
      </c>
      <c r="C212" s="274" t="s">
        <v>10058</v>
      </c>
      <c r="D212" s="275"/>
      <c r="E212" s="297" t="s">
        <v>10057</v>
      </c>
      <c r="F212" s="296" t="s">
        <v>10058</v>
      </c>
    </row>
    <row r="213" spans="1:6" ht="14.15" customHeight="1" x14ac:dyDescent="0.35">
      <c r="A213" s="273" t="s">
        <v>9631</v>
      </c>
      <c r="B213" s="273" t="s">
        <v>10059</v>
      </c>
      <c r="C213" s="274" t="s">
        <v>10060</v>
      </c>
      <c r="D213" s="275"/>
      <c r="E213" s="297" t="s">
        <v>10059</v>
      </c>
      <c r="F213" s="296" t="s">
        <v>10060</v>
      </c>
    </row>
    <row r="214" spans="1:6" ht="14.15" customHeight="1" x14ac:dyDescent="0.35">
      <c r="A214" s="273" t="s">
        <v>9631</v>
      </c>
      <c r="B214" s="273" t="s">
        <v>10061</v>
      </c>
      <c r="C214" s="274" t="s">
        <v>10062</v>
      </c>
      <c r="D214" s="275"/>
      <c r="E214" s="297" t="s">
        <v>10061</v>
      </c>
      <c r="F214" s="296" t="s">
        <v>10062</v>
      </c>
    </row>
    <row r="215" spans="1:6" ht="14.15" customHeight="1" x14ac:dyDescent="0.35">
      <c r="A215" s="273" t="s">
        <v>9631</v>
      </c>
      <c r="B215" s="273" t="s">
        <v>10063</v>
      </c>
      <c r="C215" s="274" t="s">
        <v>10064</v>
      </c>
      <c r="D215" s="275"/>
      <c r="E215" s="297" t="s">
        <v>10063</v>
      </c>
      <c r="F215" s="296" t="s">
        <v>10064</v>
      </c>
    </row>
    <row r="216" spans="1:6" ht="14.15" customHeight="1" x14ac:dyDescent="0.35">
      <c r="A216" s="273" t="s">
        <v>9631</v>
      </c>
      <c r="B216" s="273" t="s">
        <v>10065</v>
      </c>
      <c r="C216" s="274" t="s">
        <v>10066</v>
      </c>
      <c r="D216" s="275"/>
      <c r="E216" s="297" t="s">
        <v>10065</v>
      </c>
      <c r="F216" s="296" t="s">
        <v>10066</v>
      </c>
    </row>
    <row r="217" spans="1:6" ht="14.15" customHeight="1" x14ac:dyDescent="0.35">
      <c r="A217" s="273" t="s">
        <v>9631</v>
      </c>
      <c r="B217" s="273" t="s">
        <v>10067</v>
      </c>
      <c r="C217" s="274" t="s">
        <v>10068</v>
      </c>
      <c r="D217" s="275"/>
      <c r="E217" s="297" t="s">
        <v>10067</v>
      </c>
      <c r="F217" s="296" t="s">
        <v>10068</v>
      </c>
    </row>
    <row r="218" spans="1:6" ht="14.15" customHeight="1" x14ac:dyDescent="0.35">
      <c r="A218" s="273" t="s">
        <v>9631</v>
      </c>
      <c r="B218" s="273" t="s">
        <v>10069</v>
      </c>
      <c r="C218" s="274" t="s">
        <v>10070</v>
      </c>
      <c r="D218" s="275"/>
      <c r="E218" s="297" t="s">
        <v>10069</v>
      </c>
      <c r="F218" s="296" t="s">
        <v>10070</v>
      </c>
    </row>
    <row r="219" spans="1:6" ht="14.15" customHeight="1" x14ac:dyDescent="0.35">
      <c r="A219" s="273" t="s">
        <v>9631</v>
      </c>
      <c r="B219" s="273" t="s">
        <v>10071</v>
      </c>
      <c r="C219" s="274" t="s">
        <v>10072</v>
      </c>
      <c r="D219" s="275"/>
      <c r="E219" s="297" t="s">
        <v>10071</v>
      </c>
      <c r="F219" s="296" t="s">
        <v>10072</v>
      </c>
    </row>
    <row r="220" spans="1:6" ht="14.15" customHeight="1" x14ac:dyDescent="0.35">
      <c r="A220" s="273" t="s">
        <v>9631</v>
      </c>
      <c r="B220" s="273" t="s">
        <v>10073</v>
      </c>
      <c r="C220" s="274" t="s">
        <v>10074</v>
      </c>
      <c r="D220" s="275"/>
      <c r="E220" s="297" t="s">
        <v>10073</v>
      </c>
      <c r="F220" s="296" t="s">
        <v>10074</v>
      </c>
    </row>
    <row r="221" spans="1:6" ht="14.15" customHeight="1" x14ac:dyDescent="0.35">
      <c r="A221" s="273" t="s">
        <v>9631</v>
      </c>
      <c r="B221" s="273" t="s">
        <v>10075</v>
      </c>
      <c r="C221" s="274" t="s">
        <v>10076</v>
      </c>
      <c r="D221" s="275"/>
      <c r="E221" s="297" t="s">
        <v>10075</v>
      </c>
      <c r="F221" s="296" t="s">
        <v>10076</v>
      </c>
    </row>
    <row r="222" spans="1:6" ht="14.15" customHeight="1" x14ac:dyDescent="0.35">
      <c r="A222" s="273" t="s">
        <v>9631</v>
      </c>
      <c r="B222" s="273" t="s">
        <v>10077</v>
      </c>
      <c r="C222" s="274" t="s">
        <v>9950</v>
      </c>
      <c r="D222" s="275"/>
      <c r="E222" s="297" t="s">
        <v>10077</v>
      </c>
      <c r="F222" s="296" t="s">
        <v>9950</v>
      </c>
    </row>
    <row r="223" spans="1:6" ht="14.15" customHeight="1" x14ac:dyDescent="0.35">
      <c r="A223" s="273" t="s">
        <v>9631</v>
      </c>
      <c r="B223" s="273" t="s">
        <v>10078</v>
      </c>
      <c r="C223" s="274" t="s">
        <v>9952</v>
      </c>
      <c r="D223" s="275"/>
      <c r="E223" s="297" t="s">
        <v>10078</v>
      </c>
      <c r="F223" s="296" t="s">
        <v>9952</v>
      </c>
    </row>
    <row r="224" spans="1:6" ht="14.15" customHeight="1" x14ac:dyDescent="0.35">
      <c r="A224" s="273" t="s">
        <v>9631</v>
      </c>
      <c r="B224" s="273" t="s">
        <v>10079</v>
      </c>
      <c r="C224" s="274" t="s">
        <v>10080</v>
      </c>
      <c r="D224" s="275"/>
      <c r="E224" s="297" t="s">
        <v>10079</v>
      </c>
      <c r="F224" s="296" t="s">
        <v>10080</v>
      </c>
    </row>
    <row r="225" spans="1:6" ht="14.15" customHeight="1" x14ac:dyDescent="0.35">
      <c r="A225" s="273" t="s">
        <v>9631</v>
      </c>
      <c r="B225" s="273" t="s">
        <v>10081</v>
      </c>
      <c r="C225" s="274" t="s">
        <v>10082</v>
      </c>
      <c r="D225" s="275"/>
      <c r="E225" s="297" t="s">
        <v>10081</v>
      </c>
      <c r="F225" s="296" t="s">
        <v>10083</v>
      </c>
    </row>
    <row r="226" spans="1:6" ht="14.15" customHeight="1" x14ac:dyDescent="0.35">
      <c r="A226" s="273" t="s">
        <v>9631</v>
      </c>
      <c r="B226" s="273" t="s">
        <v>10084</v>
      </c>
      <c r="C226" s="274" t="s">
        <v>10085</v>
      </c>
      <c r="D226" s="275"/>
      <c r="E226" s="297" t="s">
        <v>10084</v>
      </c>
      <c r="F226" s="296" t="s">
        <v>10085</v>
      </c>
    </row>
    <row r="227" spans="1:6" ht="14.15" customHeight="1" x14ac:dyDescent="0.35">
      <c r="A227" s="273" t="s">
        <v>9631</v>
      </c>
      <c r="B227" s="273" t="s">
        <v>10086</v>
      </c>
      <c r="C227" s="274" t="s">
        <v>10087</v>
      </c>
      <c r="D227" s="275"/>
      <c r="E227" s="297" t="s">
        <v>10086</v>
      </c>
      <c r="F227" s="296" t="s">
        <v>10087</v>
      </c>
    </row>
    <row r="228" spans="1:6" ht="14.15" customHeight="1" x14ac:dyDescent="0.35">
      <c r="A228" s="273" t="s">
        <v>9631</v>
      </c>
      <c r="B228" s="273" t="s">
        <v>10088</v>
      </c>
      <c r="C228" s="274" t="s">
        <v>10089</v>
      </c>
      <c r="D228" s="275"/>
      <c r="E228" s="297" t="s">
        <v>10088</v>
      </c>
      <c r="F228" s="296" t="s">
        <v>10090</v>
      </c>
    </row>
    <row r="229" spans="1:6" ht="14.15" customHeight="1" x14ac:dyDescent="0.35">
      <c r="A229" s="273" t="s">
        <v>9631</v>
      </c>
      <c r="B229" s="273" t="s">
        <v>10091</v>
      </c>
      <c r="C229" s="274" t="s">
        <v>10092</v>
      </c>
      <c r="D229" s="275"/>
      <c r="E229" s="297" t="s">
        <v>10091</v>
      </c>
      <c r="F229" s="296" t="s">
        <v>10092</v>
      </c>
    </row>
    <row r="230" spans="1:6" ht="14.15" customHeight="1" x14ac:dyDescent="0.35">
      <c r="A230" s="273" t="s">
        <v>9631</v>
      </c>
      <c r="B230" s="273" t="s">
        <v>10093</v>
      </c>
      <c r="C230" s="274" t="s">
        <v>10094</v>
      </c>
      <c r="D230" s="275"/>
      <c r="E230" s="297" t="s">
        <v>10093</v>
      </c>
      <c r="F230" s="296" t="s">
        <v>10094</v>
      </c>
    </row>
    <row r="231" spans="1:6" ht="14.15" customHeight="1" x14ac:dyDescent="0.35">
      <c r="A231" s="273" t="s">
        <v>9631</v>
      </c>
      <c r="B231" s="273" t="s">
        <v>10095</v>
      </c>
      <c r="C231" s="274" t="s">
        <v>9914</v>
      </c>
      <c r="D231" s="275"/>
      <c r="E231" s="297" t="s">
        <v>10095</v>
      </c>
      <c r="F231" s="296" t="s">
        <v>9914</v>
      </c>
    </row>
    <row r="232" spans="1:6" ht="14.15" customHeight="1" x14ac:dyDescent="0.35">
      <c r="A232" s="277" t="s">
        <v>9631</v>
      </c>
      <c r="B232" s="277" t="s">
        <v>10096</v>
      </c>
      <c r="C232" s="274" t="s">
        <v>10097</v>
      </c>
      <c r="D232" s="275"/>
      <c r="E232" s="297" t="s">
        <v>10096</v>
      </c>
      <c r="F232" s="296" t="s">
        <v>10097</v>
      </c>
    </row>
    <row r="233" spans="1:6" ht="14.15" customHeight="1" x14ac:dyDescent="0.35">
      <c r="A233" s="277" t="s">
        <v>9631</v>
      </c>
      <c r="B233" s="277" t="s">
        <v>10098</v>
      </c>
      <c r="C233" s="274" t="s">
        <v>10099</v>
      </c>
      <c r="D233" s="275"/>
      <c r="E233" s="297" t="s">
        <v>10098</v>
      </c>
      <c r="F233" s="296" t="s">
        <v>10099</v>
      </c>
    </row>
    <row r="234" spans="1:6" ht="14.15" customHeight="1" x14ac:dyDescent="0.35">
      <c r="A234" s="213" t="s">
        <v>3705</v>
      </c>
      <c r="B234" s="111" t="s">
        <v>10100</v>
      </c>
      <c r="C234" s="269" t="s">
        <v>10101</v>
      </c>
      <c r="D234" s="268"/>
      <c r="E234" s="295" t="s">
        <v>10100</v>
      </c>
      <c r="F234" s="296" t="s">
        <v>10101</v>
      </c>
    </row>
    <row r="235" spans="1:6" ht="14.15" customHeight="1" x14ac:dyDescent="0.35">
      <c r="A235" s="213" t="s">
        <v>3705</v>
      </c>
      <c r="B235" s="278" t="s">
        <v>10102</v>
      </c>
      <c r="C235" s="279" t="s">
        <v>10103</v>
      </c>
      <c r="D235" s="268"/>
      <c r="E235" s="295" t="s">
        <v>10102</v>
      </c>
      <c r="F235" s="296" t="s">
        <v>10103</v>
      </c>
    </row>
    <row r="236" spans="1:6" ht="14.15" customHeight="1" x14ac:dyDescent="0.35">
      <c r="A236" s="213" t="s">
        <v>3705</v>
      </c>
      <c r="B236" s="278" t="s">
        <v>10104</v>
      </c>
      <c r="C236" s="279" t="s">
        <v>10105</v>
      </c>
      <c r="D236" s="268"/>
      <c r="E236" s="295" t="s">
        <v>10104</v>
      </c>
      <c r="F236" s="296" t="s">
        <v>10105</v>
      </c>
    </row>
    <row r="237" spans="1:6" ht="14.15" customHeight="1" x14ac:dyDescent="0.35">
      <c r="A237" s="213" t="s">
        <v>3705</v>
      </c>
      <c r="B237" s="278" t="s">
        <v>29</v>
      </c>
      <c r="C237" s="279" t="s">
        <v>10106</v>
      </c>
      <c r="D237" s="268"/>
      <c r="E237" s="295" t="s">
        <v>29</v>
      </c>
      <c r="F237" s="296" t="s">
        <v>10106</v>
      </c>
    </row>
    <row r="238" spans="1:6" ht="14.15" customHeight="1" x14ac:dyDescent="0.35">
      <c r="A238" s="213" t="s">
        <v>3705</v>
      </c>
      <c r="B238" s="278" t="s">
        <v>10107</v>
      </c>
      <c r="C238" s="279" t="s">
        <v>10108</v>
      </c>
      <c r="D238" s="268"/>
      <c r="E238" s="295" t="s">
        <v>10107</v>
      </c>
      <c r="F238" s="296" t="s">
        <v>10108</v>
      </c>
    </row>
    <row r="239" spans="1:6" ht="14.15" customHeight="1" x14ac:dyDescent="0.35">
      <c r="A239" s="213" t="s">
        <v>3705</v>
      </c>
      <c r="B239" s="278" t="s">
        <v>10109</v>
      </c>
      <c r="C239" s="279" t="s">
        <v>10110</v>
      </c>
      <c r="D239" s="268"/>
      <c r="E239" s="295" t="s">
        <v>10109</v>
      </c>
      <c r="F239" s="296" t="s">
        <v>10110</v>
      </c>
    </row>
    <row r="240" spans="1:6" ht="14.15" customHeight="1" x14ac:dyDescent="0.35">
      <c r="A240" s="361" t="s">
        <v>3705</v>
      </c>
      <c r="B240" s="359" t="s">
        <v>10111</v>
      </c>
      <c r="C240" s="360" t="s">
        <v>10112</v>
      </c>
      <c r="D240" s="268"/>
      <c r="E240" s="295" t="s">
        <v>10111</v>
      </c>
      <c r="F240" s="296" t="s">
        <v>10112</v>
      </c>
    </row>
    <row r="241" spans="1:6" ht="14.15" customHeight="1" x14ac:dyDescent="0.35">
      <c r="A241" s="361" t="s">
        <v>3705</v>
      </c>
      <c r="B241" s="359" t="s">
        <v>10113</v>
      </c>
      <c r="C241" s="360" t="s">
        <v>10114</v>
      </c>
      <c r="D241" s="268"/>
      <c r="E241" s="295" t="s">
        <v>10113</v>
      </c>
      <c r="F241" s="296" t="s">
        <v>10114</v>
      </c>
    </row>
    <row r="242" spans="1:6" ht="14.15" customHeight="1" x14ac:dyDescent="0.35">
      <c r="A242" s="361" t="s">
        <v>3705</v>
      </c>
      <c r="B242" s="359" t="s">
        <v>10115</v>
      </c>
      <c r="C242" s="360" t="s">
        <v>10116</v>
      </c>
      <c r="D242" s="268"/>
      <c r="E242" s="295" t="s">
        <v>10115</v>
      </c>
      <c r="F242" s="296" t="s">
        <v>10116</v>
      </c>
    </row>
    <row r="243" spans="1:6" ht="14.15" customHeight="1" x14ac:dyDescent="0.35">
      <c r="A243" s="361" t="s">
        <v>3705</v>
      </c>
      <c r="B243" s="359" t="s">
        <v>10117</v>
      </c>
      <c r="C243" s="360" t="s">
        <v>10118</v>
      </c>
      <c r="D243" s="268"/>
      <c r="E243" s="295" t="s">
        <v>10117</v>
      </c>
      <c r="F243" s="296" t="s">
        <v>10118</v>
      </c>
    </row>
    <row r="244" spans="1:6" ht="14.15" customHeight="1" x14ac:dyDescent="0.35">
      <c r="A244" s="361" t="s">
        <v>3705</v>
      </c>
      <c r="B244" s="359" t="s">
        <v>10119</v>
      </c>
      <c r="C244" s="360" t="s">
        <v>10120</v>
      </c>
      <c r="D244" s="268"/>
      <c r="E244" s="295" t="s">
        <v>10119</v>
      </c>
      <c r="F244" s="296" t="s">
        <v>10120</v>
      </c>
    </row>
    <row r="245" spans="1:6" ht="14.15" customHeight="1" x14ac:dyDescent="0.35">
      <c r="A245" s="361" t="s">
        <v>3705</v>
      </c>
      <c r="B245" s="359" t="s">
        <v>10121</v>
      </c>
      <c r="C245" s="360" t="s">
        <v>10122</v>
      </c>
      <c r="D245" s="268"/>
      <c r="E245" s="295" t="s">
        <v>10121</v>
      </c>
      <c r="F245" s="296" t="s">
        <v>10122</v>
      </c>
    </row>
    <row r="246" spans="1:6" ht="14.15" customHeight="1" x14ac:dyDescent="0.35">
      <c r="A246" s="361" t="s">
        <v>3705</v>
      </c>
      <c r="B246" s="359" t="s">
        <v>10123</v>
      </c>
      <c r="C246" s="360" t="s">
        <v>10124</v>
      </c>
      <c r="D246" s="268"/>
      <c r="E246" s="295" t="s">
        <v>10123</v>
      </c>
      <c r="F246" s="296" t="s">
        <v>10124</v>
      </c>
    </row>
    <row r="247" spans="1:6" ht="14.15" customHeight="1" x14ac:dyDescent="0.35">
      <c r="A247" s="213" t="s">
        <v>3705</v>
      </c>
      <c r="B247" s="278" t="s">
        <v>10125</v>
      </c>
      <c r="C247" s="279" t="s">
        <v>10126</v>
      </c>
      <c r="D247" s="268"/>
      <c r="E247" s="295" t="s">
        <v>10125</v>
      </c>
      <c r="F247" s="296" t="s">
        <v>10126</v>
      </c>
    </row>
    <row r="248" spans="1:6" ht="14.15" customHeight="1" x14ac:dyDescent="0.35">
      <c r="A248" s="213" t="s">
        <v>3705</v>
      </c>
      <c r="B248" s="278" t="s">
        <v>10127</v>
      </c>
      <c r="C248" s="279" t="s">
        <v>10128</v>
      </c>
      <c r="D248" s="268"/>
      <c r="E248" s="295" t="s">
        <v>10127</v>
      </c>
      <c r="F248" s="296" t="s">
        <v>10128</v>
      </c>
    </row>
    <row r="249" spans="1:6" ht="14.15" customHeight="1" x14ac:dyDescent="0.35">
      <c r="A249" s="282" t="s">
        <v>3705</v>
      </c>
      <c r="B249" s="278" t="s">
        <v>10129</v>
      </c>
      <c r="C249" s="283" t="s">
        <v>10130</v>
      </c>
      <c r="D249" s="268"/>
      <c r="E249" s="295" t="s">
        <v>10129</v>
      </c>
      <c r="F249" s="296" t="s">
        <v>10131</v>
      </c>
    </row>
    <row r="250" spans="1:6" ht="14.15" customHeight="1" x14ac:dyDescent="0.35">
      <c r="A250" s="213" t="s">
        <v>3705</v>
      </c>
      <c r="B250" s="278" t="s">
        <v>10132</v>
      </c>
      <c r="C250" s="279" t="s">
        <v>10133</v>
      </c>
      <c r="D250" s="268"/>
      <c r="E250" s="295" t="s">
        <v>10132</v>
      </c>
      <c r="F250" s="296" t="s">
        <v>10133</v>
      </c>
    </row>
    <row r="251" spans="1:6" ht="14.15" customHeight="1" x14ac:dyDescent="0.35">
      <c r="A251" s="213" t="s">
        <v>3705</v>
      </c>
      <c r="B251" s="278" t="s">
        <v>10134</v>
      </c>
      <c r="C251" s="279" t="s">
        <v>10135</v>
      </c>
      <c r="D251" s="268"/>
      <c r="E251" s="295" t="s">
        <v>10134</v>
      </c>
      <c r="F251" s="296" t="s">
        <v>10135</v>
      </c>
    </row>
    <row r="252" spans="1:6" ht="14.15" customHeight="1" x14ac:dyDescent="0.35">
      <c r="A252" s="213" t="s">
        <v>3705</v>
      </c>
      <c r="B252" s="278" t="s">
        <v>10136</v>
      </c>
      <c r="C252" s="279" t="s">
        <v>10137</v>
      </c>
      <c r="D252" s="268"/>
      <c r="E252" s="295" t="s">
        <v>10136</v>
      </c>
      <c r="F252" s="296" t="s">
        <v>10137</v>
      </c>
    </row>
    <row r="253" spans="1:6" ht="14.15" customHeight="1" x14ac:dyDescent="0.35">
      <c r="A253" s="213" t="s">
        <v>3705</v>
      </c>
      <c r="B253" s="278" t="s">
        <v>10138</v>
      </c>
      <c r="C253" s="279" t="s">
        <v>10139</v>
      </c>
      <c r="D253" s="268"/>
      <c r="E253" s="295" t="s">
        <v>10138</v>
      </c>
      <c r="F253" s="296" t="s">
        <v>10139</v>
      </c>
    </row>
    <row r="254" spans="1:6" ht="14.15" customHeight="1" x14ac:dyDescent="0.35">
      <c r="A254" s="213" t="s">
        <v>3705</v>
      </c>
      <c r="B254" s="278" t="s">
        <v>10140</v>
      </c>
      <c r="C254" s="279" t="s">
        <v>10141</v>
      </c>
      <c r="D254" s="268"/>
      <c r="E254" s="295" t="s">
        <v>10140</v>
      </c>
      <c r="F254" s="296" t="s">
        <v>10141</v>
      </c>
    </row>
    <row r="255" spans="1:6" ht="14.15" customHeight="1" x14ac:dyDescent="0.35">
      <c r="A255" s="213" t="s">
        <v>3705</v>
      </c>
      <c r="B255" s="278" t="s">
        <v>10142</v>
      </c>
      <c r="C255" s="279" t="s">
        <v>10143</v>
      </c>
      <c r="D255" s="268"/>
      <c r="E255" s="295" t="s">
        <v>10142</v>
      </c>
      <c r="F255" s="296" t="s">
        <v>10143</v>
      </c>
    </row>
    <row r="256" spans="1:6" ht="14.15" customHeight="1" x14ac:dyDescent="0.35">
      <c r="A256" s="213" t="s">
        <v>3705</v>
      </c>
      <c r="B256" s="278" t="s">
        <v>10144</v>
      </c>
      <c r="C256" s="279" t="s">
        <v>10145</v>
      </c>
      <c r="D256" s="268"/>
      <c r="E256" s="295" t="s">
        <v>10144</v>
      </c>
      <c r="F256" s="296" t="s">
        <v>10145</v>
      </c>
    </row>
    <row r="257" spans="1:6" ht="14.15" customHeight="1" x14ac:dyDescent="0.35">
      <c r="A257" s="213" t="s">
        <v>3705</v>
      </c>
      <c r="B257" s="278" t="s">
        <v>10146</v>
      </c>
      <c r="C257" s="279" t="s">
        <v>10147</v>
      </c>
      <c r="D257" s="268"/>
      <c r="E257" s="295" t="s">
        <v>10146</v>
      </c>
      <c r="F257" s="296" t="s">
        <v>10147</v>
      </c>
    </row>
    <row r="258" spans="1:6" ht="14.15" customHeight="1" x14ac:dyDescent="0.35">
      <c r="A258" s="213" t="s">
        <v>3705</v>
      </c>
      <c r="B258" s="278" t="s">
        <v>10148</v>
      </c>
      <c r="C258" s="279" t="s">
        <v>10149</v>
      </c>
      <c r="D258" s="268"/>
      <c r="E258" s="295" t="s">
        <v>10148</v>
      </c>
      <c r="F258" s="296" t="s">
        <v>10149</v>
      </c>
    </row>
    <row r="259" spans="1:6" ht="14.15" customHeight="1" x14ac:dyDescent="0.35">
      <c r="A259" s="213" t="s">
        <v>3705</v>
      </c>
      <c r="B259" s="278" t="s">
        <v>10150</v>
      </c>
      <c r="C259" s="279" t="s">
        <v>10151</v>
      </c>
      <c r="D259" s="268"/>
      <c r="E259" s="295" t="s">
        <v>10150</v>
      </c>
      <c r="F259" s="296" t="s">
        <v>10151</v>
      </c>
    </row>
    <row r="260" spans="1:6" ht="14.15" customHeight="1" x14ac:dyDescent="0.35">
      <c r="A260" s="213" t="s">
        <v>3705</v>
      </c>
      <c r="B260" s="278" t="s">
        <v>10152</v>
      </c>
      <c r="C260" s="279" t="s">
        <v>10153</v>
      </c>
      <c r="D260" s="268"/>
      <c r="E260" s="295" t="s">
        <v>10152</v>
      </c>
      <c r="F260" s="296" t="s">
        <v>10153</v>
      </c>
    </row>
    <row r="261" spans="1:6" ht="14.15" customHeight="1" x14ac:dyDescent="0.35">
      <c r="A261" s="213" t="s">
        <v>3705</v>
      </c>
      <c r="B261" s="278" t="s">
        <v>10154</v>
      </c>
      <c r="C261" s="279" t="s">
        <v>10155</v>
      </c>
      <c r="D261" s="268"/>
      <c r="E261" s="295" t="s">
        <v>10154</v>
      </c>
      <c r="F261" s="296" t="s">
        <v>10155</v>
      </c>
    </row>
    <row r="262" spans="1:6" ht="14.15" customHeight="1" x14ac:dyDescent="0.35">
      <c r="A262" s="213" t="s">
        <v>3705</v>
      </c>
      <c r="B262" s="278" t="s">
        <v>10156</v>
      </c>
      <c r="C262" s="279" t="s">
        <v>10157</v>
      </c>
      <c r="D262" s="268"/>
      <c r="E262" s="295" t="s">
        <v>10156</v>
      </c>
      <c r="F262" s="296" t="s">
        <v>10157</v>
      </c>
    </row>
    <row r="263" spans="1:6" ht="14.15" customHeight="1" x14ac:dyDescent="0.35">
      <c r="A263" s="213" t="s">
        <v>3705</v>
      </c>
      <c r="B263" s="278" t="s">
        <v>10158</v>
      </c>
      <c r="C263" s="279" t="s">
        <v>10159</v>
      </c>
      <c r="D263" s="268"/>
      <c r="E263" s="295" t="s">
        <v>10158</v>
      </c>
      <c r="F263" s="296" t="s">
        <v>10159</v>
      </c>
    </row>
    <row r="264" spans="1:6" ht="14.15" customHeight="1" x14ac:dyDescent="0.35">
      <c r="A264" s="213" t="s">
        <v>3705</v>
      </c>
      <c r="B264" s="278" t="s">
        <v>10160</v>
      </c>
      <c r="C264" s="279" t="s">
        <v>10161</v>
      </c>
      <c r="D264" s="268"/>
      <c r="E264" s="295" t="s">
        <v>10160</v>
      </c>
      <c r="F264" s="296" t="s">
        <v>10161</v>
      </c>
    </row>
    <row r="265" spans="1:6" ht="14.15" customHeight="1" x14ac:dyDescent="0.35">
      <c r="A265" s="213" t="s">
        <v>3705</v>
      </c>
      <c r="B265" s="278" t="s">
        <v>10162</v>
      </c>
      <c r="C265" s="279" t="s">
        <v>10163</v>
      </c>
      <c r="D265" s="268"/>
      <c r="E265" s="295" t="s">
        <v>10162</v>
      </c>
      <c r="F265" s="296" t="s">
        <v>10163</v>
      </c>
    </row>
    <row r="266" spans="1:6" ht="14.15" customHeight="1" x14ac:dyDescent="0.35">
      <c r="A266" s="213" t="s">
        <v>3705</v>
      </c>
      <c r="B266" s="278" t="s">
        <v>10164</v>
      </c>
      <c r="C266" s="279" t="s">
        <v>10165</v>
      </c>
      <c r="D266" s="268"/>
      <c r="E266" s="295" t="s">
        <v>10164</v>
      </c>
      <c r="F266" s="296" t="s">
        <v>10165</v>
      </c>
    </row>
    <row r="267" spans="1:6" ht="14.15" customHeight="1" x14ac:dyDescent="0.35">
      <c r="A267" s="213" t="s">
        <v>3705</v>
      </c>
      <c r="B267" s="278" t="s">
        <v>10166</v>
      </c>
      <c r="C267" s="279" t="s">
        <v>10167</v>
      </c>
      <c r="D267" s="268"/>
      <c r="E267" s="295" t="s">
        <v>10166</v>
      </c>
      <c r="F267" s="296" t="s">
        <v>10167</v>
      </c>
    </row>
    <row r="268" spans="1:6" ht="14.15" customHeight="1" x14ac:dyDescent="0.35">
      <c r="A268" s="213" t="s">
        <v>3705</v>
      </c>
      <c r="B268" s="278" t="s">
        <v>10168</v>
      </c>
      <c r="C268" s="279" t="s">
        <v>10169</v>
      </c>
      <c r="D268" s="268"/>
      <c r="E268" s="295" t="s">
        <v>10168</v>
      </c>
      <c r="F268" s="296" t="s">
        <v>10169</v>
      </c>
    </row>
    <row r="269" spans="1:6" ht="14.15" customHeight="1" x14ac:dyDescent="0.35">
      <c r="A269" s="213" t="s">
        <v>3705</v>
      </c>
      <c r="B269" s="278" t="s">
        <v>10170</v>
      </c>
      <c r="C269" s="279" t="s">
        <v>10171</v>
      </c>
      <c r="D269" s="268"/>
      <c r="E269" s="295" t="s">
        <v>10170</v>
      </c>
      <c r="F269" s="296" t="s">
        <v>10171</v>
      </c>
    </row>
    <row r="270" spans="1:6" ht="14.15" customHeight="1" x14ac:dyDescent="0.35">
      <c r="A270" s="213" t="s">
        <v>3705</v>
      </c>
      <c r="B270" s="278" t="s">
        <v>10172</v>
      </c>
      <c r="C270" s="279" t="s">
        <v>10173</v>
      </c>
      <c r="D270" s="268"/>
      <c r="E270" s="295" t="s">
        <v>10172</v>
      </c>
      <c r="F270" s="296" t="s">
        <v>10173</v>
      </c>
    </row>
    <row r="271" spans="1:6" ht="14.15" customHeight="1" x14ac:dyDescent="0.35">
      <c r="A271" s="213" t="s">
        <v>3705</v>
      </c>
      <c r="B271" s="278" t="s">
        <v>10174</v>
      </c>
      <c r="C271" s="279" t="s">
        <v>10175</v>
      </c>
      <c r="D271" s="268"/>
      <c r="E271" s="295" t="s">
        <v>10174</v>
      </c>
      <c r="F271" s="296" t="s">
        <v>10175</v>
      </c>
    </row>
    <row r="272" spans="1:6" ht="14.15" customHeight="1" x14ac:dyDescent="0.35">
      <c r="A272" s="213" t="s">
        <v>3705</v>
      </c>
      <c r="B272" s="278" t="s">
        <v>10176</v>
      </c>
      <c r="C272" s="279" t="s">
        <v>10177</v>
      </c>
      <c r="D272" s="268"/>
      <c r="E272" s="295" t="s">
        <v>10176</v>
      </c>
      <c r="F272" s="296" t="s">
        <v>10177</v>
      </c>
    </row>
    <row r="273" spans="1:6" ht="14.15" customHeight="1" x14ac:dyDescent="0.35">
      <c r="A273" s="213" t="s">
        <v>3705</v>
      </c>
      <c r="B273" s="278" t="s">
        <v>10178</v>
      </c>
      <c r="C273" s="279" t="s">
        <v>10179</v>
      </c>
      <c r="D273" s="268"/>
      <c r="E273" s="295" t="s">
        <v>10178</v>
      </c>
      <c r="F273" s="296" t="s">
        <v>10179</v>
      </c>
    </row>
    <row r="274" spans="1:6" ht="14.15" customHeight="1" x14ac:dyDescent="0.35">
      <c r="A274" s="213" t="s">
        <v>3705</v>
      </c>
      <c r="B274" s="278" t="s">
        <v>10180</v>
      </c>
      <c r="C274" s="279" t="s">
        <v>10181</v>
      </c>
      <c r="D274" s="268"/>
      <c r="E274" s="295" t="s">
        <v>10180</v>
      </c>
      <c r="F274" s="296" t="s">
        <v>10181</v>
      </c>
    </row>
    <row r="275" spans="1:6" ht="14.15" customHeight="1" x14ac:dyDescent="0.35">
      <c r="A275" s="213" t="s">
        <v>3705</v>
      </c>
      <c r="B275" s="278" t="s">
        <v>10182</v>
      </c>
      <c r="C275" s="279" t="s">
        <v>10183</v>
      </c>
      <c r="D275" s="268"/>
      <c r="E275" s="295" t="s">
        <v>10182</v>
      </c>
      <c r="F275" s="296" t="s">
        <v>10183</v>
      </c>
    </row>
    <row r="276" spans="1:6" ht="14.15" customHeight="1" x14ac:dyDescent="0.35">
      <c r="A276" s="213" t="s">
        <v>3705</v>
      </c>
      <c r="B276" s="278" t="s">
        <v>10184</v>
      </c>
      <c r="C276" s="279" t="s">
        <v>10185</v>
      </c>
      <c r="D276" s="268"/>
      <c r="E276" s="295" t="s">
        <v>10184</v>
      </c>
      <c r="F276" s="296" t="s">
        <v>10185</v>
      </c>
    </row>
    <row r="277" spans="1:6" ht="14.15" customHeight="1" x14ac:dyDescent="0.35">
      <c r="A277" s="213" t="s">
        <v>3705</v>
      </c>
      <c r="B277" s="278" t="s">
        <v>10186</v>
      </c>
      <c r="C277" s="279" t="s">
        <v>10187</v>
      </c>
      <c r="D277" s="268"/>
      <c r="E277" s="295" t="s">
        <v>10186</v>
      </c>
      <c r="F277" s="296" t="s">
        <v>10187</v>
      </c>
    </row>
    <row r="278" spans="1:6" ht="14.15" customHeight="1" x14ac:dyDescent="0.35">
      <c r="A278" s="213" t="s">
        <v>3705</v>
      </c>
      <c r="B278" s="278" t="s">
        <v>10188</v>
      </c>
      <c r="C278" s="279" t="s">
        <v>10189</v>
      </c>
      <c r="D278" s="268"/>
      <c r="E278" s="295" t="s">
        <v>10188</v>
      </c>
      <c r="F278" s="296" t="s">
        <v>10189</v>
      </c>
    </row>
    <row r="279" spans="1:6" ht="14.15" customHeight="1" x14ac:dyDescent="0.35">
      <c r="A279" s="213" t="s">
        <v>3705</v>
      </c>
      <c r="B279" s="278" t="s">
        <v>10190</v>
      </c>
      <c r="C279" s="279" t="s">
        <v>10191</v>
      </c>
      <c r="D279" s="268"/>
      <c r="E279" s="295" t="s">
        <v>10190</v>
      </c>
      <c r="F279" s="296" t="s">
        <v>10191</v>
      </c>
    </row>
    <row r="280" spans="1:6" ht="14.15" customHeight="1" x14ac:dyDescent="0.35">
      <c r="A280" s="213" t="s">
        <v>3705</v>
      </c>
      <c r="B280" s="278" t="s">
        <v>10192</v>
      </c>
      <c r="C280" s="279" t="s">
        <v>10193</v>
      </c>
      <c r="D280" s="268"/>
      <c r="E280" s="295" t="s">
        <v>10192</v>
      </c>
      <c r="F280" s="296" t="s">
        <v>10193</v>
      </c>
    </row>
    <row r="281" spans="1:6" ht="14.15" customHeight="1" x14ac:dyDescent="0.35">
      <c r="A281" s="213" t="s">
        <v>3705</v>
      </c>
      <c r="B281" s="278" t="s">
        <v>10194</v>
      </c>
      <c r="C281" s="279" t="s">
        <v>10195</v>
      </c>
      <c r="D281" s="268"/>
      <c r="E281" s="295" t="s">
        <v>10194</v>
      </c>
      <c r="F281" s="296" t="s">
        <v>10195</v>
      </c>
    </row>
    <row r="282" spans="1:6" ht="14.15" customHeight="1" x14ac:dyDescent="0.35">
      <c r="A282" s="361" t="s">
        <v>3705</v>
      </c>
      <c r="B282" s="359" t="s">
        <v>10196</v>
      </c>
      <c r="C282" s="360" t="s">
        <v>10197</v>
      </c>
      <c r="D282" s="268"/>
      <c r="E282" s="295" t="s">
        <v>10196</v>
      </c>
      <c r="F282" s="296" t="s">
        <v>10197</v>
      </c>
    </row>
    <row r="283" spans="1:6" ht="14.15" customHeight="1" x14ac:dyDescent="0.35">
      <c r="A283" s="213" t="s">
        <v>3705</v>
      </c>
      <c r="B283" s="278" t="s">
        <v>10198</v>
      </c>
      <c r="C283" s="279" t="s">
        <v>10199</v>
      </c>
      <c r="D283" s="268"/>
      <c r="E283" s="295" t="s">
        <v>10198</v>
      </c>
      <c r="F283" s="296" t="s">
        <v>10199</v>
      </c>
    </row>
    <row r="284" spans="1:6" ht="14.15" customHeight="1" x14ac:dyDescent="0.35">
      <c r="A284" s="213" t="s">
        <v>3705</v>
      </c>
      <c r="B284" s="278" t="s">
        <v>10200</v>
      </c>
      <c r="C284" s="279" t="s">
        <v>10201</v>
      </c>
      <c r="D284" s="268"/>
      <c r="E284" s="295" t="s">
        <v>10200</v>
      </c>
      <c r="F284" s="296" t="s">
        <v>10201</v>
      </c>
    </row>
    <row r="285" spans="1:6" ht="14.15" customHeight="1" x14ac:dyDescent="0.35">
      <c r="A285" s="213" t="s">
        <v>3705</v>
      </c>
      <c r="B285" s="278" t="s">
        <v>10202</v>
      </c>
      <c r="C285" s="279" t="s">
        <v>10203</v>
      </c>
      <c r="D285" s="268"/>
      <c r="E285" s="295" t="s">
        <v>10202</v>
      </c>
      <c r="F285" s="296" t="s">
        <v>10203</v>
      </c>
    </row>
    <row r="286" spans="1:6" ht="14.15" customHeight="1" x14ac:dyDescent="0.35">
      <c r="A286" s="213" t="s">
        <v>3705</v>
      </c>
      <c r="B286" s="278" t="s">
        <v>10204</v>
      </c>
      <c r="C286" s="279" t="s">
        <v>10205</v>
      </c>
      <c r="D286" s="268"/>
      <c r="E286" s="295" t="s">
        <v>10204</v>
      </c>
      <c r="F286" s="296" t="s">
        <v>10205</v>
      </c>
    </row>
    <row r="287" spans="1:6" ht="14.15" customHeight="1" x14ac:dyDescent="0.35">
      <c r="A287" s="213" t="s">
        <v>3705</v>
      </c>
      <c r="B287" s="278" t="s">
        <v>10206</v>
      </c>
      <c r="C287" s="279" t="s">
        <v>10207</v>
      </c>
      <c r="D287" s="268"/>
      <c r="E287" s="295" t="s">
        <v>10206</v>
      </c>
      <c r="F287" s="296" t="s">
        <v>10207</v>
      </c>
    </row>
    <row r="288" spans="1:6" ht="14.15" customHeight="1" x14ac:dyDescent="0.35">
      <c r="A288" s="213" t="s">
        <v>3705</v>
      </c>
      <c r="B288" s="278" t="s">
        <v>10208</v>
      </c>
      <c r="C288" s="279" t="s">
        <v>10209</v>
      </c>
      <c r="D288" s="268"/>
      <c r="E288" s="295" t="s">
        <v>10208</v>
      </c>
      <c r="F288" s="296" t="s">
        <v>10209</v>
      </c>
    </row>
    <row r="289" spans="1:6" ht="14.15" customHeight="1" x14ac:dyDescent="0.35">
      <c r="A289" s="213" t="s">
        <v>3705</v>
      </c>
      <c r="B289" s="278" t="s">
        <v>10210</v>
      </c>
      <c r="C289" s="279" t="s">
        <v>10211</v>
      </c>
      <c r="D289" s="268"/>
      <c r="E289" s="295" t="s">
        <v>10210</v>
      </c>
      <c r="F289" s="296" t="s">
        <v>10211</v>
      </c>
    </row>
    <row r="290" spans="1:6" ht="14.15" customHeight="1" x14ac:dyDescent="0.35">
      <c r="A290" s="213" t="s">
        <v>3705</v>
      </c>
      <c r="B290" s="278" t="s">
        <v>10212</v>
      </c>
      <c r="C290" s="279" t="s">
        <v>10213</v>
      </c>
      <c r="D290" s="268"/>
      <c r="E290" s="295" t="s">
        <v>10212</v>
      </c>
      <c r="F290" s="296" t="s">
        <v>10213</v>
      </c>
    </row>
    <row r="291" spans="1:6" ht="14.15" customHeight="1" x14ac:dyDescent="0.35">
      <c r="A291" s="213" t="s">
        <v>3705</v>
      </c>
      <c r="B291" s="278" t="s">
        <v>10214</v>
      </c>
      <c r="C291" s="279" t="s">
        <v>10215</v>
      </c>
      <c r="D291" s="268"/>
      <c r="E291" s="295" t="s">
        <v>10214</v>
      </c>
      <c r="F291" s="296" t="s">
        <v>10215</v>
      </c>
    </row>
    <row r="292" spans="1:6" ht="14.15" customHeight="1" x14ac:dyDescent="0.35">
      <c r="A292" s="213" t="s">
        <v>3705</v>
      </c>
      <c r="B292" s="278" t="s">
        <v>10216</v>
      </c>
      <c r="C292" s="279" t="s">
        <v>10217</v>
      </c>
      <c r="D292" s="268"/>
      <c r="E292" s="295" t="s">
        <v>10216</v>
      </c>
      <c r="F292" s="296" t="s">
        <v>10217</v>
      </c>
    </row>
    <row r="293" spans="1:6" ht="14.15" customHeight="1" x14ac:dyDescent="0.35">
      <c r="A293" s="213" t="s">
        <v>3705</v>
      </c>
      <c r="B293" s="278" t="s">
        <v>10218</v>
      </c>
      <c r="C293" s="279" t="s">
        <v>10219</v>
      </c>
      <c r="D293" s="268"/>
      <c r="E293" s="295" t="s">
        <v>10218</v>
      </c>
      <c r="F293" s="296" t="s">
        <v>10219</v>
      </c>
    </row>
    <row r="294" spans="1:6" ht="14.15" customHeight="1" x14ac:dyDescent="0.35">
      <c r="A294" s="213" t="s">
        <v>3705</v>
      </c>
      <c r="B294" s="278" t="s">
        <v>10220</v>
      </c>
      <c r="C294" s="279" t="s">
        <v>10221</v>
      </c>
      <c r="D294" s="268"/>
      <c r="E294" s="295" t="s">
        <v>10220</v>
      </c>
      <c r="F294" s="296" t="s">
        <v>10221</v>
      </c>
    </row>
    <row r="295" spans="1:6" ht="14.15" customHeight="1" x14ac:dyDescent="0.35">
      <c r="A295" s="213" t="s">
        <v>3705</v>
      </c>
      <c r="B295" s="278" t="s">
        <v>10222</v>
      </c>
      <c r="C295" s="279" t="s">
        <v>10223</v>
      </c>
      <c r="D295" s="268"/>
      <c r="E295" s="295" t="s">
        <v>10222</v>
      </c>
      <c r="F295" s="296" t="s">
        <v>10223</v>
      </c>
    </row>
    <row r="296" spans="1:6" ht="14.15" customHeight="1" x14ac:dyDescent="0.35">
      <c r="A296" s="213" t="s">
        <v>3705</v>
      </c>
      <c r="B296" s="278" t="s">
        <v>10224</v>
      </c>
      <c r="C296" s="279" t="s">
        <v>10225</v>
      </c>
      <c r="D296" s="268"/>
      <c r="E296" s="295" t="s">
        <v>10224</v>
      </c>
      <c r="F296" s="296" t="s">
        <v>10225</v>
      </c>
    </row>
    <row r="297" spans="1:6" ht="14.15" customHeight="1" x14ac:dyDescent="0.35">
      <c r="A297" s="213" t="s">
        <v>3705</v>
      </c>
      <c r="B297" s="278" t="s">
        <v>10226</v>
      </c>
      <c r="C297" s="279" t="s">
        <v>10227</v>
      </c>
      <c r="D297" s="268"/>
      <c r="E297" s="295" t="s">
        <v>10226</v>
      </c>
      <c r="F297" s="296" t="s">
        <v>10227</v>
      </c>
    </row>
    <row r="298" spans="1:6" ht="14.15" customHeight="1" x14ac:dyDescent="0.35">
      <c r="A298" s="213" t="s">
        <v>3705</v>
      </c>
      <c r="B298" s="278" t="s">
        <v>10228</v>
      </c>
      <c r="C298" s="279" t="s">
        <v>10229</v>
      </c>
      <c r="D298" s="268"/>
      <c r="E298" s="295" t="s">
        <v>10228</v>
      </c>
      <c r="F298" s="296" t="s">
        <v>10229</v>
      </c>
    </row>
    <row r="299" spans="1:6" ht="14.15" customHeight="1" x14ac:dyDescent="0.35">
      <c r="A299" s="213" t="s">
        <v>3705</v>
      </c>
      <c r="B299" s="278" t="s">
        <v>10230</v>
      </c>
      <c r="C299" s="279" t="s">
        <v>10231</v>
      </c>
      <c r="D299" s="268"/>
      <c r="E299" s="295" t="s">
        <v>10230</v>
      </c>
      <c r="F299" s="296" t="s">
        <v>10231</v>
      </c>
    </row>
    <row r="300" spans="1:6" ht="14.15" customHeight="1" x14ac:dyDescent="0.35">
      <c r="A300" s="213" t="s">
        <v>3705</v>
      </c>
      <c r="B300" s="278" t="s">
        <v>10232</v>
      </c>
      <c r="C300" s="279" t="s">
        <v>10233</v>
      </c>
      <c r="D300" s="268"/>
      <c r="E300" s="295" t="s">
        <v>10232</v>
      </c>
      <c r="F300" s="296" t="s">
        <v>10233</v>
      </c>
    </row>
    <row r="301" spans="1:6" ht="14.15" customHeight="1" x14ac:dyDescent="0.35">
      <c r="A301" s="213" t="s">
        <v>3705</v>
      </c>
      <c r="B301" s="278" t="s">
        <v>10234</v>
      </c>
      <c r="C301" s="279" t="s">
        <v>10235</v>
      </c>
      <c r="D301" s="268"/>
      <c r="E301" s="295" t="s">
        <v>10234</v>
      </c>
      <c r="F301" s="296" t="s">
        <v>10235</v>
      </c>
    </row>
    <row r="302" spans="1:6" ht="14.15" customHeight="1" x14ac:dyDescent="0.35">
      <c r="A302" s="213" t="s">
        <v>3705</v>
      </c>
      <c r="B302" s="278" t="s">
        <v>10236</v>
      </c>
      <c r="C302" s="279" t="s">
        <v>10237</v>
      </c>
      <c r="D302" s="268"/>
      <c r="E302" s="295" t="s">
        <v>10236</v>
      </c>
      <c r="F302" s="296" t="s">
        <v>10237</v>
      </c>
    </row>
    <row r="303" spans="1:6" ht="14.15" customHeight="1" x14ac:dyDescent="0.35">
      <c r="A303" s="213" t="s">
        <v>3705</v>
      </c>
      <c r="B303" s="278" t="s">
        <v>10238</v>
      </c>
      <c r="C303" s="279" t="s">
        <v>10239</v>
      </c>
      <c r="D303" s="268"/>
      <c r="E303" s="295" t="s">
        <v>10238</v>
      </c>
      <c r="F303" s="296" t="s">
        <v>10239</v>
      </c>
    </row>
    <row r="304" spans="1:6" ht="14.15" customHeight="1" x14ac:dyDescent="0.35">
      <c r="A304" s="213" t="s">
        <v>3705</v>
      </c>
      <c r="B304" s="278" t="s">
        <v>10240</v>
      </c>
      <c r="C304" s="279" t="s">
        <v>10241</v>
      </c>
      <c r="D304" s="268"/>
      <c r="E304" s="295" t="s">
        <v>10240</v>
      </c>
      <c r="F304" s="296" t="s">
        <v>10241</v>
      </c>
    </row>
    <row r="305" spans="1:6" ht="14.15" customHeight="1" x14ac:dyDescent="0.35">
      <c r="A305" s="213" t="s">
        <v>3705</v>
      </c>
      <c r="B305" s="278" t="s">
        <v>10242</v>
      </c>
      <c r="C305" s="279" t="s">
        <v>10243</v>
      </c>
      <c r="D305" s="268"/>
      <c r="E305" s="295" t="s">
        <v>10242</v>
      </c>
      <c r="F305" s="296" t="s">
        <v>10243</v>
      </c>
    </row>
    <row r="306" spans="1:6" ht="14.15" customHeight="1" x14ac:dyDescent="0.35">
      <c r="A306" s="213" t="s">
        <v>3705</v>
      </c>
      <c r="B306" s="278" t="s">
        <v>10244</v>
      </c>
      <c r="C306" s="279" t="s">
        <v>10245</v>
      </c>
      <c r="D306" s="268"/>
      <c r="E306" s="295" t="s">
        <v>10244</v>
      </c>
      <c r="F306" s="296" t="s">
        <v>10245</v>
      </c>
    </row>
    <row r="307" spans="1:6" ht="14.15" customHeight="1" x14ac:dyDescent="0.35">
      <c r="A307" s="213" t="s">
        <v>3705</v>
      </c>
      <c r="B307" s="278" t="s">
        <v>10246</v>
      </c>
      <c r="C307" s="279" t="s">
        <v>10247</v>
      </c>
      <c r="D307" s="268"/>
      <c r="E307" s="295" t="s">
        <v>10246</v>
      </c>
      <c r="F307" s="296" t="s">
        <v>10247</v>
      </c>
    </row>
    <row r="308" spans="1:6" ht="14.15" customHeight="1" x14ac:dyDescent="0.35">
      <c r="A308" s="213" t="s">
        <v>3705</v>
      </c>
      <c r="B308" s="278" t="s">
        <v>10248</v>
      </c>
      <c r="C308" s="279" t="s">
        <v>10249</v>
      </c>
      <c r="D308" s="268"/>
      <c r="E308" s="295" t="s">
        <v>10248</v>
      </c>
      <c r="F308" s="296" t="s">
        <v>10249</v>
      </c>
    </row>
    <row r="309" spans="1:6" ht="14.15" customHeight="1" x14ac:dyDescent="0.35">
      <c r="A309" s="213" t="s">
        <v>3705</v>
      </c>
      <c r="B309" s="278" t="s">
        <v>10250</v>
      </c>
      <c r="C309" s="279" t="s">
        <v>10251</v>
      </c>
      <c r="D309" s="268"/>
      <c r="E309" s="295" t="s">
        <v>10250</v>
      </c>
      <c r="F309" s="296" t="s">
        <v>10251</v>
      </c>
    </row>
    <row r="310" spans="1:6" ht="14.15" customHeight="1" x14ac:dyDescent="0.35">
      <c r="A310" s="282" t="s">
        <v>3705</v>
      </c>
      <c r="B310" s="278" t="s">
        <v>10252</v>
      </c>
      <c r="C310" s="283" t="s">
        <v>10253</v>
      </c>
      <c r="D310" s="268"/>
      <c r="E310" s="295" t="s">
        <v>10252</v>
      </c>
      <c r="F310" s="296" t="s">
        <v>10254</v>
      </c>
    </row>
    <row r="311" spans="1:6" ht="14.15" customHeight="1" x14ac:dyDescent="0.35">
      <c r="A311" s="213" t="s">
        <v>3705</v>
      </c>
      <c r="B311" s="278" t="s">
        <v>10255</v>
      </c>
      <c r="C311" s="279" t="s">
        <v>10256</v>
      </c>
      <c r="D311" s="268"/>
      <c r="E311" s="295" t="s">
        <v>10255</v>
      </c>
      <c r="F311" s="296" t="s">
        <v>10256</v>
      </c>
    </row>
    <row r="312" spans="1:6" ht="14.15" customHeight="1" x14ac:dyDescent="0.35">
      <c r="A312" s="213" t="s">
        <v>3705</v>
      </c>
      <c r="B312" s="278" t="s">
        <v>10257</v>
      </c>
      <c r="C312" s="279" t="s">
        <v>10258</v>
      </c>
      <c r="D312" s="268"/>
      <c r="E312" s="295" t="s">
        <v>10257</v>
      </c>
      <c r="F312" s="296" t="s">
        <v>10258</v>
      </c>
    </row>
    <row r="313" spans="1:6" ht="14.15" customHeight="1" x14ac:dyDescent="0.35">
      <c r="A313" s="213" t="s">
        <v>3705</v>
      </c>
      <c r="B313" s="278" t="s">
        <v>10259</v>
      </c>
      <c r="C313" s="279" t="s">
        <v>10260</v>
      </c>
      <c r="D313" s="268"/>
      <c r="E313" s="295" t="s">
        <v>10259</v>
      </c>
      <c r="F313" s="296" t="s">
        <v>10260</v>
      </c>
    </row>
    <row r="314" spans="1:6" ht="14.15" customHeight="1" x14ac:dyDescent="0.35">
      <c r="A314" s="282" t="s">
        <v>3705</v>
      </c>
      <c r="B314" s="278" t="s">
        <v>10261</v>
      </c>
      <c r="C314" s="283" t="s">
        <v>10262</v>
      </c>
      <c r="D314" s="268"/>
      <c r="E314" s="295" t="s">
        <v>10261</v>
      </c>
      <c r="F314" s="296" t="s">
        <v>10263</v>
      </c>
    </row>
    <row r="315" spans="1:6" ht="14.15" customHeight="1" x14ac:dyDescent="0.35">
      <c r="A315" s="213" t="s">
        <v>3705</v>
      </c>
      <c r="B315" s="278" t="s">
        <v>10264</v>
      </c>
      <c r="C315" s="279" t="s">
        <v>10265</v>
      </c>
      <c r="D315" s="268"/>
      <c r="E315" s="295" t="s">
        <v>10264</v>
      </c>
      <c r="F315" s="296" t="s">
        <v>10265</v>
      </c>
    </row>
    <row r="316" spans="1:6" ht="14.15" customHeight="1" x14ac:dyDescent="0.35">
      <c r="A316" s="213" t="s">
        <v>3705</v>
      </c>
      <c r="B316" s="278" t="s">
        <v>10266</v>
      </c>
      <c r="C316" s="279" t="s">
        <v>10267</v>
      </c>
      <c r="D316" s="268"/>
      <c r="E316" s="295" t="s">
        <v>10266</v>
      </c>
      <c r="F316" s="296" t="s">
        <v>10267</v>
      </c>
    </row>
    <row r="317" spans="1:6" ht="14.15" customHeight="1" x14ac:dyDescent="0.35">
      <c r="A317" s="213" t="s">
        <v>3705</v>
      </c>
      <c r="B317" s="278" t="s">
        <v>10268</v>
      </c>
      <c r="C317" s="279" t="s">
        <v>10269</v>
      </c>
      <c r="D317" s="268"/>
      <c r="E317" s="295" t="s">
        <v>10268</v>
      </c>
      <c r="F317" s="296" t="s">
        <v>10269</v>
      </c>
    </row>
    <row r="318" spans="1:6" ht="14.15" customHeight="1" x14ac:dyDescent="0.35">
      <c r="A318" s="213" t="s">
        <v>3705</v>
      </c>
      <c r="B318" s="278" t="s">
        <v>10270</v>
      </c>
      <c r="C318" s="279" t="s">
        <v>10271</v>
      </c>
      <c r="D318" s="268"/>
      <c r="E318" s="295" t="s">
        <v>10270</v>
      </c>
      <c r="F318" s="296" t="s">
        <v>10271</v>
      </c>
    </row>
    <row r="319" spans="1:6" ht="14.15" customHeight="1" x14ac:dyDescent="0.35">
      <c r="A319" s="213" t="s">
        <v>3705</v>
      </c>
      <c r="B319" s="278" t="s">
        <v>10272</v>
      </c>
      <c r="C319" s="279" t="s">
        <v>10273</v>
      </c>
      <c r="D319" s="268"/>
      <c r="E319" s="295" t="s">
        <v>10272</v>
      </c>
      <c r="F319" s="296" t="s">
        <v>10273</v>
      </c>
    </row>
    <row r="320" spans="1:6" ht="14.15" customHeight="1" x14ac:dyDescent="0.35">
      <c r="A320" s="213" t="s">
        <v>3705</v>
      </c>
      <c r="B320" s="278" t="s">
        <v>10274</v>
      </c>
      <c r="C320" s="279" t="s">
        <v>10275</v>
      </c>
      <c r="D320" s="268"/>
      <c r="E320" s="295" t="s">
        <v>10274</v>
      </c>
      <c r="F320" s="296" t="s">
        <v>10275</v>
      </c>
    </row>
    <row r="321" spans="1:6" ht="14.15" customHeight="1" x14ac:dyDescent="0.35">
      <c r="A321" s="213" t="s">
        <v>3705</v>
      </c>
      <c r="B321" s="278" t="s">
        <v>10276</v>
      </c>
      <c r="C321" s="279" t="s">
        <v>10277</v>
      </c>
      <c r="D321" s="268"/>
      <c r="E321" s="295" t="s">
        <v>10276</v>
      </c>
      <c r="F321" s="296" t="s">
        <v>10277</v>
      </c>
    </row>
    <row r="322" spans="1:6" ht="14.15" customHeight="1" x14ac:dyDescent="0.35">
      <c r="A322" s="213" t="s">
        <v>3705</v>
      </c>
      <c r="B322" s="278" t="s">
        <v>10278</v>
      </c>
      <c r="C322" s="279" t="s">
        <v>10279</v>
      </c>
      <c r="D322" s="268"/>
      <c r="E322" s="295" t="s">
        <v>10278</v>
      </c>
      <c r="F322" s="296" t="s">
        <v>10279</v>
      </c>
    </row>
    <row r="323" spans="1:6" ht="14.15" customHeight="1" x14ac:dyDescent="0.35">
      <c r="A323" s="213" t="s">
        <v>3705</v>
      </c>
      <c r="B323" s="278" t="s">
        <v>10280</v>
      </c>
      <c r="C323" s="279" t="s">
        <v>10281</v>
      </c>
      <c r="D323" s="268"/>
      <c r="E323" s="295" t="s">
        <v>10280</v>
      </c>
      <c r="F323" s="296" t="s">
        <v>10281</v>
      </c>
    </row>
    <row r="324" spans="1:6" ht="14.15" customHeight="1" x14ac:dyDescent="0.35">
      <c r="A324" s="213" t="s">
        <v>3705</v>
      </c>
      <c r="B324" s="278" t="s">
        <v>10282</v>
      </c>
      <c r="C324" s="279" t="s">
        <v>10283</v>
      </c>
      <c r="D324" s="268"/>
      <c r="E324" s="295" t="s">
        <v>10282</v>
      </c>
      <c r="F324" s="296" t="s">
        <v>10283</v>
      </c>
    </row>
    <row r="325" spans="1:6" ht="14.15" customHeight="1" x14ac:dyDescent="0.35">
      <c r="A325" s="213" t="s">
        <v>3705</v>
      </c>
      <c r="B325" s="278" t="s">
        <v>10284</v>
      </c>
      <c r="C325" s="279" t="s">
        <v>10285</v>
      </c>
      <c r="D325" s="268"/>
      <c r="E325" s="295" t="s">
        <v>10284</v>
      </c>
      <c r="F325" s="296" t="s">
        <v>10285</v>
      </c>
    </row>
    <row r="326" spans="1:6" ht="14.15" customHeight="1" x14ac:dyDescent="0.35">
      <c r="A326" s="213" t="s">
        <v>3705</v>
      </c>
      <c r="B326" s="278" t="s">
        <v>10286</v>
      </c>
      <c r="C326" s="279" t="s">
        <v>10287</v>
      </c>
      <c r="D326" s="268"/>
      <c r="E326" s="295" t="s">
        <v>10286</v>
      </c>
      <c r="F326" s="296" t="s">
        <v>10287</v>
      </c>
    </row>
    <row r="327" spans="1:6" ht="14.15" customHeight="1" x14ac:dyDescent="0.35">
      <c r="A327" s="213" t="s">
        <v>3705</v>
      </c>
      <c r="B327" s="278" t="s">
        <v>10288</v>
      </c>
      <c r="C327" s="279" t="s">
        <v>10289</v>
      </c>
      <c r="D327" s="268"/>
      <c r="E327" s="295" t="s">
        <v>10288</v>
      </c>
      <c r="F327" s="296" t="s">
        <v>10289</v>
      </c>
    </row>
    <row r="328" spans="1:6" ht="14.15" customHeight="1" x14ac:dyDescent="0.35">
      <c r="A328" s="213" t="s">
        <v>3705</v>
      </c>
      <c r="B328" s="278" t="s">
        <v>10290</v>
      </c>
      <c r="C328" s="279" t="s">
        <v>10291</v>
      </c>
      <c r="D328" s="268"/>
      <c r="E328" s="295" t="s">
        <v>10290</v>
      </c>
      <c r="F328" s="296" t="s">
        <v>10291</v>
      </c>
    </row>
    <row r="329" spans="1:6" ht="14.15" customHeight="1" x14ac:dyDescent="0.35">
      <c r="A329" s="213" t="s">
        <v>3705</v>
      </c>
      <c r="B329" s="278" t="s">
        <v>10292</v>
      </c>
      <c r="C329" s="279" t="s">
        <v>10293</v>
      </c>
      <c r="D329" s="268"/>
      <c r="E329" s="295" t="s">
        <v>10292</v>
      </c>
      <c r="F329" s="296" t="s">
        <v>10293</v>
      </c>
    </row>
    <row r="330" spans="1:6" ht="14.15" customHeight="1" x14ac:dyDescent="0.35">
      <c r="A330" s="213" t="s">
        <v>3705</v>
      </c>
      <c r="B330" s="278" t="s">
        <v>10294</v>
      </c>
      <c r="C330" s="279" t="s">
        <v>10295</v>
      </c>
      <c r="D330" s="268"/>
      <c r="E330" s="295" t="s">
        <v>10294</v>
      </c>
      <c r="F330" s="296" t="s">
        <v>10295</v>
      </c>
    </row>
    <row r="331" spans="1:6" ht="14.15" customHeight="1" x14ac:dyDescent="0.35">
      <c r="A331" s="213" t="s">
        <v>3705</v>
      </c>
      <c r="B331" s="278" t="s">
        <v>10296</v>
      </c>
      <c r="C331" s="279" t="s">
        <v>10297</v>
      </c>
      <c r="D331" s="268"/>
      <c r="E331" s="295" t="s">
        <v>10296</v>
      </c>
      <c r="F331" s="296" t="s">
        <v>10297</v>
      </c>
    </row>
    <row r="332" spans="1:6" ht="14.15" customHeight="1" x14ac:dyDescent="0.35">
      <c r="A332" s="213" t="s">
        <v>3705</v>
      </c>
      <c r="B332" s="278" t="s">
        <v>10298</v>
      </c>
      <c r="C332" s="279" t="s">
        <v>10299</v>
      </c>
      <c r="D332" s="268"/>
      <c r="E332" s="295" t="s">
        <v>10298</v>
      </c>
      <c r="F332" s="296" t="s">
        <v>10299</v>
      </c>
    </row>
    <row r="333" spans="1:6" ht="14.15" customHeight="1" x14ac:dyDescent="0.35">
      <c r="A333" s="213" t="s">
        <v>3705</v>
      </c>
      <c r="B333" s="278" t="s">
        <v>10300</v>
      </c>
      <c r="C333" s="279" t="s">
        <v>10301</v>
      </c>
      <c r="D333" s="268"/>
      <c r="E333" s="295" t="s">
        <v>10300</v>
      </c>
      <c r="F333" s="296" t="s">
        <v>10301</v>
      </c>
    </row>
    <row r="334" spans="1:6" ht="14.15" customHeight="1" x14ac:dyDescent="0.35">
      <c r="A334" s="213" t="s">
        <v>3705</v>
      </c>
      <c r="B334" s="278" t="s">
        <v>10302</v>
      </c>
      <c r="C334" s="279" t="s">
        <v>10303</v>
      </c>
      <c r="D334" s="268"/>
      <c r="E334" s="295" t="s">
        <v>10302</v>
      </c>
      <c r="F334" s="296" t="s">
        <v>10303</v>
      </c>
    </row>
    <row r="335" spans="1:6" ht="14.15" customHeight="1" x14ac:dyDescent="0.35">
      <c r="A335" s="213" t="s">
        <v>3705</v>
      </c>
      <c r="B335" s="278" t="s">
        <v>10304</v>
      </c>
      <c r="C335" s="279" t="s">
        <v>10305</v>
      </c>
      <c r="D335" s="268"/>
      <c r="E335" s="295" t="s">
        <v>10304</v>
      </c>
      <c r="F335" s="296" t="s">
        <v>10305</v>
      </c>
    </row>
    <row r="336" spans="1:6" ht="14.15" customHeight="1" x14ac:dyDescent="0.35">
      <c r="A336" s="213" t="s">
        <v>3705</v>
      </c>
      <c r="B336" s="278" t="s">
        <v>10306</v>
      </c>
      <c r="C336" s="279" t="s">
        <v>10307</v>
      </c>
      <c r="D336" s="268"/>
      <c r="E336" s="295" t="s">
        <v>10306</v>
      </c>
      <c r="F336" s="296" t="s">
        <v>10307</v>
      </c>
    </row>
    <row r="337" spans="1:6" ht="14.15" customHeight="1" x14ac:dyDescent="0.35">
      <c r="A337" s="213" t="s">
        <v>3705</v>
      </c>
      <c r="B337" s="278" t="s">
        <v>10308</v>
      </c>
      <c r="C337" s="279" t="s">
        <v>10309</v>
      </c>
      <c r="D337" s="268"/>
      <c r="E337" s="295" t="s">
        <v>10308</v>
      </c>
      <c r="F337" s="296" t="s">
        <v>10309</v>
      </c>
    </row>
    <row r="338" spans="1:6" ht="14.15" customHeight="1" x14ac:dyDescent="0.35">
      <c r="A338" s="213" t="s">
        <v>3705</v>
      </c>
      <c r="B338" s="278" t="s">
        <v>10310</v>
      </c>
      <c r="C338" s="279" t="s">
        <v>10311</v>
      </c>
      <c r="D338" s="268"/>
      <c r="E338" s="295" t="s">
        <v>10310</v>
      </c>
      <c r="F338" s="296" t="s">
        <v>10311</v>
      </c>
    </row>
    <row r="339" spans="1:6" ht="14.15" customHeight="1" x14ac:dyDescent="0.35">
      <c r="A339" s="213" t="s">
        <v>3705</v>
      </c>
      <c r="B339" s="278" t="s">
        <v>10312</v>
      </c>
      <c r="C339" s="279" t="s">
        <v>10313</v>
      </c>
      <c r="D339" s="268"/>
      <c r="E339" s="295" t="s">
        <v>10312</v>
      </c>
      <c r="F339" s="296" t="s">
        <v>10313</v>
      </c>
    </row>
    <row r="340" spans="1:6" ht="14.15" customHeight="1" x14ac:dyDescent="0.35">
      <c r="A340" s="213" t="s">
        <v>3705</v>
      </c>
      <c r="B340" s="278" t="s">
        <v>10314</v>
      </c>
      <c r="C340" s="279" t="s">
        <v>10315</v>
      </c>
      <c r="D340" s="268"/>
      <c r="E340" s="295" t="s">
        <v>10314</v>
      </c>
      <c r="F340" s="296" t="s">
        <v>10315</v>
      </c>
    </row>
    <row r="341" spans="1:6" ht="14.15" customHeight="1" x14ac:dyDescent="0.35">
      <c r="A341" s="213" t="s">
        <v>3705</v>
      </c>
      <c r="B341" s="278" t="s">
        <v>10316</v>
      </c>
      <c r="C341" s="279" t="s">
        <v>10317</v>
      </c>
      <c r="D341" s="268"/>
      <c r="E341" s="295" t="s">
        <v>10316</v>
      </c>
      <c r="F341" s="296" t="s">
        <v>10317</v>
      </c>
    </row>
    <row r="342" spans="1:6" ht="14.15" customHeight="1" x14ac:dyDescent="0.35">
      <c r="A342" s="213" t="s">
        <v>3705</v>
      </c>
      <c r="B342" s="278" t="s">
        <v>10318</v>
      </c>
      <c r="C342" s="279" t="s">
        <v>10319</v>
      </c>
      <c r="D342" s="268"/>
      <c r="E342" s="295" t="s">
        <v>10318</v>
      </c>
      <c r="F342" s="296" t="s">
        <v>10319</v>
      </c>
    </row>
    <row r="343" spans="1:6" ht="14.15" customHeight="1" x14ac:dyDescent="0.35">
      <c r="A343" s="213" t="s">
        <v>3705</v>
      </c>
      <c r="B343" s="278" t="s">
        <v>10320</v>
      </c>
      <c r="C343" s="279" t="s">
        <v>10321</v>
      </c>
      <c r="D343" s="268"/>
      <c r="E343" s="295" t="s">
        <v>10320</v>
      </c>
      <c r="F343" s="296" t="s">
        <v>10321</v>
      </c>
    </row>
    <row r="344" spans="1:6" ht="14.15" customHeight="1" x14ac:dyDescent="0.35">
      <c r="A344" s="213" t="s">
        <v>3705</v>
      </c>
      <c r="B344" s="278" t="s">
        <v>10322</v>
      </c>
      <c r="C344" s="279" t="s">
        <v>10323</v>
      </c>
      <c r="D344" s="268"/>
      <c r="E344" s="295" t="s">
        <v>10322</v>
      </c>
      <c r="F344" s="296" t="s">
        <v>10323</v>
      </c>
    </row>
    <row r="345" spans="1:6" ht="14.15" customHeight="1" x14ac:dyDescent="0.35">
      <c r="A345" s="213" t="s">
        <v>3705</v>
      </c>
      <c r="B345" s="278" t="s">
        <v>10324</v>
      </c>
      <c r="C345" s="279" t="s">
        <v>10325</v>
      </c>
      <c r="D345" s="268"/>
      <c r="E345" s="295" t="s">
        <v>10324</v>
      </c>
      <c r="F345" s="296" t="s">
        <v>10325</v>
      </c>
    </row>
    <row r="346" spans="1:6" ht="14.15" customHeight="1" x14ac:dyDescent="0.35">
      <c r="A346" s="213" t="s">
        <v>3705</v>
      </c>
      <c r="B346" s="278" t="s">
        <v>10326</v>
      </c>
      <c r="C346" s="279" t="s">
        <v>10327</v>
      </c>
      <c r="D346" s="268"/>
      <c r="E346" s="295" t="s">
        <v>10326</v>
      </c>
      <c r="F346" s="296" t="s">
        <v>10327</v>
      </c>
    </row>
    <row r="347" spans="1:6" ht="14.15" customHeight="1" x14ac:dyDescent="0.35">
      <c r="A347" s="213" t="s">
        <v>3705</v>
      </c>
      <c r="B347" s="278" t="s">
        <v>10328</v>
      </c>
      <c r="C347" s="279" t="s">
        <v>10329</v>
      </c>
      <c r="D347" s="268"/>
      <c r="E347" s="295" t="s">
        <v>10328</v>
      </c>
      <c r="F347" s="296" t="s">
        <v>10329</v>
      </c>
    </row>
    <row r="348" spans="1:6" ht="14.15" customHeight="1" x14ac:dyDescent="0.35">
      <c r="A348" s="213" t="s">
        <v>3705</v>
      </c>
      <c r="B348" s="278" t="s">
        <v>10330</v>
      </c>
      <c r="C348" s="279" t="s">
        <v>10331</v>
      </c>
      <c r="D348" s="268"/>
      <c r="E348" s="295" t="s">
        <v>10330</v>
      </c>
      <c r="F348" s="296" t="s">
        <v>10331</v>
      </c>
    </row>
    <row r="349" spans="1:6" ht="14.15" customHeight="1" x14ac:dyDescent="0.35">
      <c r="A349" s="213" t="s">
        <v>3705</v>
      </c>
      <c r="B349" s="278" t="s">
        <v>10332</v>
      </c>
      <c r="C349" s="279" t="s">
        <v>10333</v>
      </c>
      <c r="D349" s="268"/>
      <c r="E349" s="295" t="s">
        <v>10332</v>
      </c>
      <c r="F349" s="296" t="s">
        <v>10333</v>
      </c>
    </row>
    <row r="350" spans="1:6" ht="14.15" customHeight="1" x14ac:dyDescent="0.35">
      <c r="A350" s="213" t="s">
        <v>3705</v>
      </c>
      <c r="B350" s="278" t="s">
        <v>10334</v>
      </c>
      <c r="C350" s="279" t="s">
        <v>10335</v>
      </c>
      <c r="D350" s="268"/>
      <c r="E350" s="295" t="s">
        <v>10334</v>
      </c>
      <c r="F350" s="296" t="s">
        <v>10335</v>
      </c>
    </row>
    <row r="351" spans="1:6" ht="14.15" customHeight="1" x14ac:dyDescent="0.35">
      <c r="A351" s="213" t="s">
        <v>3705</v>
      </c>
      <c r="B351" s="278" t="s">
        <v>10336</v>
      </c>
      <c r="C351" s="279" t="s">
        <v>10337</v>
      </c>
      <c r="D351" s="268"/>
      <c r="E351" s="295" t="s">
        <v>10336</v>
      </c>
      <c r="F351" s="296" t="s">
        <v>10337</v>
      </c>
    </row>
    <row r="352" spans="1:6" ht="14.15" customHeight="1" x14ac:dyDescent="0.35">
      <c r="A352" s="213" t="s">
        <v>3705</v>
      </c>
      <c r="B352" s="278" t="s">
        <v>10338</v>
      </c>
      <c r="C352" s="279" t="s">
        <v>10339</v>
      </c>
      <c r="D352" s="268"/>
      <c r="E352" s="295" t="s">
        <v>10338</v>
      </c>
      <c r="F352" s="296" t="s">
        <v>10339</v>
      </c>
    </row>
    <row r="353" spans="1:6" ht="14.15" customHeight="1" x14ac:dyDescent="0.35">
      <c r="A353" s="213" t="s">
        <v>3705</v>
      </c>
      <c r="B353" s="278" t="s">
        <v>10340</v>
      </c>
      <c r="C353" s="279" t="s">
        <v>10341</v>
      </c>
      <c r="D353" s="268"/>
      <c r="E353" s="295" t="s">
        <v>10340</v>
      </c>
      <c r="F353" s="296" t="s">
        <v>10341</v>
      </c>
    </row>
    <row r="354" spans="1:6" ht="14.15" customHeight="1" x14ac:dyDescent="0.35">
      <c r="A354" s="213" t="s">
        <v>3705</v>
      </c>
      <c r="B354" s="278" t="s">
        <v>10342</v>
      </c>
      <c r="C354" s="279" t="s">
        <v>10343</v>
      </c>
      <c r="D354" s="268"/>
      <c r="E354" s="295" t="s">
        <v>10342</v>
      </c>
      <c r="F354" s="296" t="s">
        <v>10343</v>
      </c>
    </row>
    <row r="355" spans="1:6" ht="14.15" customHeight="1" x14ac:dyDescent="0.35">
      <c r="A355" s="213" t="s">
        <v>3705</v>
      </c>
      <c r="B355" s="278" t="s">
        <v>10344</v>
      </c>
      <c r="C355" s="279" t="s">
        <v>10345</v>
      </c>
      <c r="D355" s="268"/>
      <c r="E355" s="295" t="s">
        <v>10344</v>
      </c>
      <c r="F355" s="296" t="s">
        <v>10345</v>
      </c>
    </row>
    <row r="356" spans="1:6" ht="14.15" customHeight="1" x14ac:dyDescent="0.35">
      <c r="A356" s="213" t="s">
        <v>3705</v>
      </c>
      <c r="B356" s="278" t="s">
        <v>10346</v>
      </c>
      <c r="C356" s="279" t="s">
        <v>10347</v>
      </c>
      <c r="D356" s="268"/>
      <c r="E356" s="295" t="s">
        <v>10346</v>
      </c>
      <c r="F356" s="296" t="s">
        <v>10347</v>
      </c>
    </row>
    <row r="357" spans="1:6" ht="14.15" customHeight="1" x14ac:dyDescent="0.35">
      <c r="A357" s="213" t="s">
        <v>3705</v>
      </c>
      <c r="B357" s="278" t="s">
        <v>10348</v>
      </c>
      <c r="C357" s="279" t="s">
        <v>10349</v>
      </c>
      <c r="D357" s="268"/>
      <c r="E357" s="295" t="s">
        <v>10348</v>
      </c>
      <c r="F357" s="296" t="s">
        <v>10349</v>
      </c>
    </row>
    <row r="358" spans="1:6" ht="14.15" customHeight="1" x14ac:dyDescent="0.35">
      <c r="A358" s="213" t="s">
        <v>3705</v>
      </c>
      <c r="B358" s="278" t="s">
        <v>10350</v>
      </c>
      <c r="C358" s="279" t="s">
        <v>10351</v>
      </c>
      <c r="D358" s="268"/>
      <c r="E358" s="295" t="s">
        <v>10350</v>
      </c>
      <c r="F358" s="296" t="s">
        <v>10351</v>
      </c>
    </row>
    <row r="359" spans="1:6" ht="14.15" customHeight="1" x14ac:dyDescent="0.35">
      <c r="A359" s="213" t="s">
        <v>3705</v>
      </c>
      <c r="B359" s="278" t="s">
        <v>10352</v>
      </c>
      <c r="C359" s="279" t="s">
        <v>10353</v>
      </c>
      <c r="D359" s="268"/>
      <c r="E359" s="295" t="s">
        <v>10352</v>
      </c>
      <c r="F359" s="296" t="s">
        <v>10353</v>
      </c>
    </row>
    <row r="360" spans="1:6" ht="14.15" customHeight="1" x14ac:dyDescent="0.35">
      <c r="A360" s="213" t="s">
        <v>3705</v>
      </c>
      <c r="B360" s="278" t="s">
        <v>10354</v>
      </c>
      <c r="C360" s="279" t="s">
        <v>10355</v>
      </c>
      <c r="D360" s="268"/>
      <c r="E360" s="295" t="s">
        <v>10354</v>
      </c>
      <c r="F360" s="296" t="s">
        <v>10355</v>
      </c>
    </row>
    <row r="361" spans="1:6" ht="14.15" customHeight="1" x14ac:dyDescent="0.35">
      <c r="A361" s="213" t="s">
        <v>3705</v>
      </c>
      <c r="B361" s="278" t="s">
        <v>10356</v>
      </c>
      <c r="C361" s="279" t="s">
        <v>10357</v>
      </c>
      <c r="D361" s="268"/>
      <c r="E361" s="295" t="s">
        <v>10356</v>
      </c>
      <c r="F361" s="296" t="s">
        <v>10357</v>
      </c>
    </row>
    <row r="362" spans="1:6" ht="14.15" customHeight="1" x14ac:dyDescent="0.35">
      <c r="A362" s="213" t="s">
        <v>3705</v>
      </c>
      <c r="B362" s="278" t="s">
        <v>10358</v>
      </c>
      <c r="C362" s="279" t="s">
        <v>10359</v>
      </c>
      <c r="D362" s="268"/>
      <c r="E362" s="295" t="s">
        <v>10358</v>
      </c>
      <c r="F362" s="296" t="s">
        <v>10359</v>
      </c>
    </row>
    <row r="363" spans="1:6" ht="14.15" customHeight="1" x14ac:dyDescent="0.35">
      <c r="A363" s="213" t="s">
        <v>3705</v>
      </c>
      <c r="B363" s="278" t="s">
        <v>10360</v>
      </c>
      <c r="C363" s="279" t="s">
        <v>10361</v>
      </c>
      <c r="D363" s="268"/>
      <c r="E363" s="295" t="s">
        <v>10360</v>
      </c>
      <c r="F363" s="296" t="s">
        <v>10361</v>
      </c>
    </row>
    <row r="364" spans="1:6" ht="14.15" customHeight="1" x14ac:dyDescent="0.35">
      <c r="A364" s="213" t="s">
        <v>3705</v>
      </c>
      <c r="B364" s="278" t="s">
        <v>10362</v>
      </c>
      <c r="C364" s="279" t="s">
        <v>10363</v>
      </c>
      <c r="D364" s="268"/>
      <c r="E364" s="295" t="s">
        <v>10362</v>
      </c>
      <c r="F364" s="296" t="s">
        <v>10363</v>
      </c>
    </row>
    <row r="365" spans="1:6" ht="14.15" customHeight="1" x14ac:dyDescent="0.35">
      <c r="A365" s="213" t="s">
        <v>3705</v>
      </c>
      <c r="B365" s="278" t="s">
        <v>10364</v>
      </c>
      <c r="C365" s="279" t="s">
        <v>10365</v>
      </c>
      <c r="D365" s="268"/>
      <c r="E365" s="295" t="s">
        <v>10364</v>
      </c>
      <c r="F365" s="296" t="s">
        <v>10365</v>
      </c>
    </row>
    <row r="366" spans="1:6" ht="14.15" customHeight="1" x14ac:dyDescent="0.35">
      <c r="A366" s="213" t="s">
        <v>3705</v>
      </c>
      <c r="B366" s="278" t="s">
        <v>10366</v>
      </c>
      <c r="C366" s="279" t="s">
        <v>10367</v>
      </c>
      <c r="D366" s="268"/>
      <c r="E366" s="295" t="s">
        <v>10366</v>
      </c>
      <c r="F366" s="296" t="s">
        <v>10367</v>
      </c>
    </row>
    <row r="367" spans="1:6" ht="14.15" customHeight="1" x14ac:dyDescent="0.35">
      <c r="A367" s="213" t="s">
        <v>3705</v>
      </c>
      <c r="B367" s="278" t="s">
        <v>10368</v>
      </c>
      <c r="C367" s="279" t="s">
        <v>10369</v>
      </c>
      <c r="D367" s="268"/>
      <c r="E367" s="295" t="s">
        <v>10368</v>
      </c>
      <c r="F367" s="296" t="s">
        <v>10369</v>
      </c>
    </row>
    <row r="368" spans="1:6" ht="14.15" customHeight="1" x14ac:dyDescent="0.35">
      <c r="A368" s="213" t="s">
        <v>3705</v>
      </c>
      <c r="B368" s="278" t="s">
        <v>10370</v>
      </c>
      <c r="C368" s="279" t="s">
        <v>10371</v>
      </c>
      <c r="D368" s="268"/>
      <c r="E368" s="295" t="s">
        <v>10370</v>
      </c>
      <c r="F368" s="296" t="s">
        <v>10371</v>
      </c>
    </row>
    <row r="369" spans="1:6" ht="14.15" customHeight="1" x14ac:dyDescent="0.35">
      <c r="A369" s="213" t="s">
        <v>3705</v>
      </c>
      <c r="B369" s="278" t="s">
        <v>10372</v>
      </c>
      <c r="C369" s="279" t="s">
        <v>10373</v>
      </c>
      <c r="D369" s="268"/>
      <c r="E369" s="295" t="s">
        <v>10372</v>
      </c>
      <c r="F369" s="296" t="s">
        <v>10373</v>
      </c>
    </row>
    <row r="370" spans="1:6" ht="14.15" customHeight="1" x14ac:dyDescent="0.35">
      <c r="A370" s="213" t="s">
        <v>3705</v>
      </c>
      <c r="B370" s="278" t="s">
        <v>10374</v>
      </c>
      <c r="C370" s="279" t="s">
        <v>10375</v>
      </c>
      <c r="D370" s="268"/>
      <c r="E370" s="295" t="s">
        <v>10374</v>
      </c>
      <c r="F370" s="296" t="s">
        <v>10375</v>
      </c>
    </row>
    <row r="371" spans="1:6" ht="14.15" customHeight="1" x14ac:dyDescent="0.35">
      <c r="A371" s="286" t="s">
        <v>3705</v>
      </c>
      <c r="B371" s="278" t="s">
        <v>31</v>
      </c>
      <c r="C371" s="283" t="s">
        <v>10376</v>
      </c>
      <c r="D371" s="268"/>
      <c r="E371" s="295" t="s">
        <v>31</v>
      </c>
      <c r="F371" s="296" t="s">
        <v>10377</v>
      </c>
    </row>
    <row r="372" spans="1:6" ht="14.15" customHeight="1" x14ac:dyDescent="0.35">
      <c r="A372" s="213" t="s">
        <v>3705</v>
      </c>
      <c r="B372" s="278" t="s">
        <v>10378</v>
      </c>
      <c r="C372" s="279" t="s">
        <v>10379</v>
      </c>
      <c r="D372" s="268"/>
      <c r="E372" s="295" t="s">
        <v>10378</v>
      </c>
      <c r="F372" s="296" t="s">
        <v>10379</v>
      </c>
    </row>
    <row r="373" spans="1:6" ht="14.15" customHeight="1" x14ac:dyDescent="0.35">
      <c r="A373" s="213" t="s">
        <v>3705</v>
      </c>
      <c r="B373" s="278" t="s">
        <v>10380</v>
      </c>
      <c r="C373" s="279" t="s">
        <v>10381</v>
      </c>
      <c r="D373" s="268"/>
      <c r="E373" s="295" t="s">
        <v>10380</v>
      </c>
      <c r="F373" s="296" t="s">
        <v>10381</v>
      </c>
    </row>
    <row r="374" spans="1:6" ht="14.15" customHeight="1" x14ac:dyDescent="0.35">
      <c r="A374" s="213" t="s">
        <v>3705</v>
      </c>
      <c r="B374" s="278" t="s">
        <v>10382</v>
      </c>
      <c r="C374" s="279" t="s">
        <v>10383</v>
      </c>
      <c r="D374" s="268"/>
      <c r="E374" s="295" t="s">
        <v>10382</v>
      </c>
      <c r="F374" s="296" t="s">
        <v>10383</v>
      </c>
    </row>
    <row r="375" spans="1:6" ht="14.15" customHeight="1" x14ac:dyDescent="0.35">
      <c r="A375" s="213" t="s">
        <v>3705</v>
      </c>
      <c r="B375" s="278" t="s">
        <v>10384</v>
      </c>
      <c r="C375" s="279" t="s">
        <v>10385</v>
      </c>
      <c r="D375" s="268"/>
      <c r="E375" s="295" t="s">
        <v>10384</v>
      </c>
      <c r="F375" s="296" t="s">
        <v>10385</v>
      </c>
    </row>
    <row r="376" spans="1:6" ht="14.15" customHeight="1" x14ac:dyDescent="0.35">
      <c r="A376" s="213" t="s">
        <v>3705</v>
      </c>
      <c r="B376" s="278" t="s">
        <v>10386</v>
      </c>
      <c r="C376" s="279" t="s">
        <v>10387</v>
      </c>
      <c r="D376" s="268"/>
      <c r="E376" s="295" t="s">
        <v>10386</v>
      </c>
      <c r="F376" s="296" t="s">
        <v>10387</v>
      </c>
    </row>
    <row r="377" spans="1:6" ht="14.15" customHeight="1" x14ac:dyDescent="0.35">
      <c r="A377" s="213" t="s">
        <v>3705</v>
      </c>
      <c r="B377" s="278" t="s">
        <v>10388</v>
      </c>
      <c r="C377" s="279" t="s">
        <v>10389</v>
      </c>
      <c r="D377" s="268"/>
      <c r="E377" s="295" t="s">
        <v>10388</v>
      </c>
      <c r="F377" s="296" t="s">
        <v>10389</v>
      </c>
    </row>
    <row r="378" spans="1:6" ht="14.15" customHeight="1" x14ac:dyDescent="0.35">
      <c r="A378" s="213" t="s">
        <v>3705</v>
      </c>
      <c r="B378" s="278" t="s">
        <v>10390</v>
      </c>
      <c r="C378" s="279" t="s">
        <v>10391</v>
      </c>
      <c r="D378" s="268"/>
      <c r="E378" s="295" t="s">
        <v>10390</v>
      </c>
      <c r="F378" s="296" t="s">
        <v>10391</v>
      </c>
    </row>
    <row r="379" spans="1:6" ht="14.15" customHeight="1" x14ac:dyDescent="0.35">
      <c r="A379" s="213" t="s">
        <v>3705</v>
      </c>
      <c r="B379" s="278" t="s">
        <v>10392</v>
      </c>
      <c r="C379" s="279" t="s">
        <v>10393</v>
      </c>
      <c r="D379" s="268"/>
      <c r="E379" s="295" t="s">
        <v>10392</v>
      </c>
      <c r="F379" s="296" t="s">
        <v>10393</v>
      </c>
    </row>
    <row r="380" spans="1:6" ht="14.15" customHeight="1" x14ac:dyDescent="0.35">
      <c r="A380" s="213" t="s">
        <v>3705</v>
      </c>
      <c r="B380" s="278" t="s">
        <v>10394</v>
      </c>
      <c r="C380" s="279" t="s">
        <v>10395</v>
      </c>
      <c r="D380" s="268"/>
      <c r="E380" s="295" t="s">
        <v>10394</v>
      </c>
      <c r="F380" s="296" t="s">
        <v>10395</v>
      </c>
    </row>
    <row r="381" spans="1:6" ht="14.15" customHeight="1" x14ac:dyDescent="0.35">
      <c r="A381" s="213" t="s">
        <v>3705</v>
      </c>
      <c r="B381" s="278" t="s">
        <v>10396</v>
      </c>
      <c r="C381" s="279" t="s">
        <v>10397</v>
      </c>
      <c r="D381" s="268"/>
      <c r="E381" s="295" t="s">
        <v>10396</v>
      </c>
      <c r="F381" s="296" t="s">
        <v>10397</v>
      </c>
    </row>
    <row r="382" spans="1:6" ht="14.15" customHeight="1" x14ac:dyDescent="0.35">
      <c r="A382" s="213" t="s">
        <v>3705</v>
      </c>
      <c r="B382" s="278" t="s">
        <v>10398</v>
      </c>
      <c r="C382" s="279" t="s">
        <v>10399</v>
      </c>
      <c r="D382" s="268"/>
      <c r="E382" s="295" t="s">
        <v>10398</v>
      </c>
      <c r="F382" s="296" t="s">
        <v>10399</v>
      </c>
    </row>
    <row r="383" spans="1:6" ht="14.15" customHeight="1" x14ac:dyDescent="0.35">
      <c r="A383" s="282" t="s">
        <v>3705</v>
      </c>
      <c r="B383" s="278" t="s">
        <v>10400</v>
      </c>
      <c r="C383" s="283" t="s">
        <v>10401</v>
      </c>
      <c r="D383" s="268"/>
      <c r="E383" s="295" t="s">
        <v>10400</v>
      </c>
      <c r="F383" s="296" t="s">
        <v>10402</v>
      </c>
    </row>
    <row r="384" spans="1:6" ht="14.15" customHeight="1" x14ac:dyDescent="0.35">
      <c r="A384" s="213" t="s">
        <v>3705</v>
      </c>
      <c r="B384" s="278" t="s">
        <v>10403</v>
      </c>
      <c r="C384" s="279" t="s">
        <v>10404</v>
      </c>
      <c r="D384" s="268"/>
      <c r="E384" s="295" t="s">
        <v>10403</v>
      </c>
      <c r="F384" s="296" t="s">
        <v>10404</v>
      </c>
    </row>
    <row r="385" spans="1:6" ht="14.15" customHeight="1" x14ac:dyDescent="0.35">
      <c r="A385" s="213" t="s">
        <v>3705</v>
      </c>
      <c r="B385" s="278" t="s">
        <v>10405</v>
      </c>
      <c r="C385" s="279" t="s">
        <v>10406</v>
      </c>
      <c r="D385" s="268"/>
      <c r="E385" s="295" t="s">
        <v>10405</v>
      </c>
      <c r="F385" s="296" t="s">
        <v>10406</v>
      </c>
    </row>
    <row r="386" spans="1:6" ht="14.15" customHeight="1" x14ac:dyDescent="0.35">
      <c r="A386" s="213" t="s">
        <v>3705</v>
      </c>
      <c r="B386" s="278" t="s">
        <v>10407</v>
      </c>
      <c r="C386" s="279" t="s">
        <v>10408</v>
      </c>
      <c r="D386" s="268"/>
      <c r="E386" s="295" t="s">
        <v>10407</v>
      </c>
      <c r="F386" s="296" t="s">
        <v>10408</v>
      </c>
    </row>
    <row r="387" spans="1:6" ht="14.15" customHeight="1" x14ac:dyDescent="0.35">
      <c r="A387" s="213" t="s">
        <v>3705</v>
      </c>
      <c r="B387" s="278" t="s">
        <v>10409</v>
      </c>
      <c r="C387" s="279" t="s">
        <v>10410</v>
      </c>
      <c r="D387" s="268"/>
      <c r="E387" s="295" t="s">
        <v>10409</v>
      </c>
      <c r="F387" s="296" t="s">
        <v>10410</v>
      </c>
    </row>
    <row r="388" spans="1:6" ht="14.15" customHeight="1" x14ac:dyDescent="0.35">
      <c r="A388" s="282" t="s">
        <v>3705</v>
      </c>
      <c r="B388" s="278" t="s">
        <v>10411</v>
      </c>
      <c r="C388" s="283" t="s">
        <v>10412</v>
      </c>
      <c r="D388" s="268"/>
      <c r="E388" s="295" t="s">
        <v>10411</v>
      </c>
      <c r="F388" s="296" t="s">
        <v>10413</v>
      </c>
    </row>
    <row r="389" spans="1:6" ht="14.15" customHeight="1" x14ac:dyDescent="0.35">
      <c r="A389" s="213" t="s">
        <v>3705</v>
      </c>
      <c r="B389" s="278" t="s">
        <v>10414</v>
      </c>
      <c r="C389" s="279" t="s">
        <v>10415</v>
      </c>
      <c r="D389" s="268"/>
      <c r="E389" s="295" t="s">
        <v>10414</v>
      </c>
      <c r="F389" s="296" t="s">
        <v>10415</v>
      </c>
    </row>
    <row r="390" spans="1:6" ht="14.15" customHeight="1" x14ac:dyDescent="0.35">
      <c r="A390" s="213" t="s">
        <v>3705</v>
      </c>
      <c r="B390" s="278" t="s">
        <v>10416</v>
      </c>
      <c r="C390" s="279" t="s">
        <v>10417</v>
      </c>
      <c r="D390" s="268"/>
      <c r="E390" s="295" t="s">
        <v>10416</v>
      </c>
      <c r="F390" s="296" t="s">
        <v>10417</v>
      </c>
    </row>
    <row r="391" spans="1:6" ht="14.15" customHeight="1" x14ac:dyDescent="0.35">
      <c r="A391" s="213" t="s">
        <v>3705</v>
      </c>
      <c r="B391" s="278" t="s">
        <v>10418</v>
      </c>
      <c r="C391" s="279" t="s">
        <v>10419</v>
      </c>
      <c r="D391" s="268"/>
      <c r="E391" s="295" t="s">
        <v>10418</v>
      </c>
      <c r="F391" s="296" t="s">
        <v>10419</v>
      </c>
    </row>
    <row r="392" spans="1:6" ht="14.15" customHeight="1" x14ac:dyDescent="0.35">
      <c r="A392" s="282" t="s">
        <v>3705</v>
      </c>
      <c r="B392" s="278" t="s">
        <v>10420</v>
      </c>
      <c r="C392" s="283" t="s">
        <v>10421</v>
      </c>
      <c r="D392" s="268"/>
      <c r="E392" s="295" t="s">
        <v>10420</v>
      </c>
      <c r="F392" s="296" t="s">
        <v>10422</v>
      </c>
    </row>
    <row r="393" spans="1:6" ht="14.15" customHeight="1" x14ac:dyDescent="0.35">
      <c r="A393" s="213" t="s">
        <v>3705</v>
      </c>
      <c r="B393" s="278" t="s">
        <v>10423</v>
      </c>
      <c r="C393" s="279" t="s">
        <v>10424</v>
      </c>
      <c r="D393" s="268"/>
      <c r="E393" s="295" t="s">
        <v>10423</v>
      </c>
      <c r="F393" s="296" t="s">
        <v>10424</v>
      </c>
    </row>
    <row r="394" spans="1:6" ht="14.15" customHeight="1" x14ac:dyDescent="0.35">
      <c r="A394" s="213" t="s">
        <v>3705</v>
      </c>
      <c r="B394" s="278" t="s">
        <v>10425</v>
      </c>
      <c r="C394" s="279" t="s">
        <v>10426</v>
      </c>
      <c r="D394" s="268"/>
      <c r="E394" s="295" t="s">
        <v>10425</v>
      </c>
      <c r="F394" s="296" t="s">
        <v>10426</v>
      </c>
    </row>
    <row r="395" spans="1:6" ht="14.15" customHeight="1" x14ac:dyDescent="0.35">
      <c r="A395" s="213" t="s">
        <v>3705</v>
      </c>
      <c r="B395" s="278" t="s">
        <v>10427</v>
      </c>
      <c r="C395" s="279" t="s">
        <v>10428</v>
      </c>
      <c r="D395" s="268"/>
      <c r="E395" s="295" t="s">
        <v>10427</v>
      </c>
      <c r="F395" s="296" t="s">
        <v>10428</v>
      </c>
    </row>
    <row r="396" spans="1:6" ht="14.15" customHeight="1" x14ac:dyDescent="0.35">
      <c r="A396" s="352" t="s">
        <v>3705</v>
      </c>
      <c r="B396" s="284" t="s">
        <v>10429</v>
      </c>
      <c r="C396" s="285" t="s">
        <v>10430</v>
      </c>
      <c r="D396" s="268"/>
      <c r="E396" s="295"/>
      <c r="F396" s="296"/>
    </row>
    <row r="397" spans="1:6" ht="14.15" customHeight="1" x14ac:dyDescent="0.35">
      <c r="A397" s="213" t="s">
        <v>3705</v>
      </c>
      <c r="B397" s="278" t="s">
        <v>10431</v>
      </c>
      <c r="C397" s="279" t="s">
        <v>10432</v>
      </c>
      <c r="D397" s="268"/>
      <c r="E397" s="295" t="s">
        <v>10431</v>
      </c>
      <c r="F397" s="296" t="s">
        <v>10432</v>
      </c>
    </row>
    <row r="398" spans="1:6" ht="14.15" customHeight="1" x14ac:dyDescent="0.35">
      <c r="A398" s="213" t="s">
        <v>3705</v>
      </c>
      <c r="B398" s="278" t="s">
        <v>10433</v>
      </c>
      <c r="C398" s="279" t="s">
        <v>10434</v>
      </c>
      <c r="D398" s="268"/>
      <c r="E398" s="295" t="s">
        <v>10433</v>
      </c>
      <c r="F398" s="296" t="s">
        <v>10434</v>
      </c>
    </row>
    <row r="399" spans="1:6" ht="14.15" customHeight="1" x14ac:dyDescent="0.35">
      <c r="A399" s="213" t="s">
        <v>3705</v>
      </c>
      <c r="B399" s="278" t="s">
        <v>10435</v>
      </c>
      <c r="C399" s="279" t="s">
        <v>10436</v>
      </c>
      <c r="D399" s="268"/>
      <c r="E399" s="295" t="s">
        <v>10435</v>
      </c>
      <c r="F399" s="296" t="s">
        <v>10436</v>
      </c>
    </row>
    <row r="400" spans="1:6" ht="14.15" customHeight="1" x14ac:dyDescent="0.35">
      <c r="A400" s="213" t="s">
        <v>3705</v>
      </c>
      <c r="B400" s="278" t="s">
        <v>10437</v>
      </c>
      <c r="C400" s="279" t="s">
        <v>10438</v>
      </c>
      <c r="D400" s="268"/>
      <c r="E400" s="295" t="s">
        <v>10437</v>
      </c>
      <c r="F400" s="296" t="s">
        <v>10438</v>
      </c>
    </row>
    <row r="401" spans="1:6" ht="14.15" customHeight="1" x14ac:dyDescent="0.35">
      <c r="A401" s="213" t="s">
        <v>3705</v>
      </c>
      <c r="B401" s="278" t="s">
        <v>10439</v>
      </c>
      <c r="C401" s="279" t="s">
        <v>10440</v>
      </c>
      <c r="D401" s="268"/>
      <c r="E401" s="295" t="s">
        <v>10439</v>
      </c>
      <c r="F401" s="296" t="s">
        <v>10440</v>
      </c>
    </row>
    <row r="402" spans="1:6" ht="14.15" customHeight="1" x14ac:dyDescent="0.35">
      <c r="A402" s="213" t="s">
        <v>3705</v>
      </c>
      <c r="B402" s="278" t="s">
        <v>10441</v>
      </c>
      <c r="C402" s="279" t="s">
        <v>10442</v>
      </c>
      <c r="D402" s="268"/>
      <c r="E402" s="295" t="s">
        <v>10441</v>
      </c>
      <c r="F402" s="296" t="s">
        <v>10442</v>
      </c>
    </row>
    <row r="403" spans="1:6" ht="14.15" customHeight="1" x14ac:dyDescent="0.35">
      <c r="A403" s="213" t="s">
        <v>3705</v>
      </c>
      <c r="B403" s="278" t="s">
        <v>10443</v>
      </c>
      <c r="C403" s="279" t="s">
        <v>10444</v>
      </c>
      <c r="D403" s="268"/>
      <c r="E403" s="295" t="s">
        <v>10443</v>
      </c>
      <c r="F403" s="296" t="s">
        <v>10444</v>
      </c>
    </row>
    <row r="404" spans="1:6" ht="14.15" customHeight="1" x14ac:dyDescent="0.35">
      <c r="A404" s="282" t="s">
        <v>3705</v>
      </c>
      <c r="B404" s="278" t="s">
        <v>10445</v>
      </c>
      <c r="C404" s="283" t="s">
        <v>10446</v>
      </c>
      <c r="D404" s="268"/>
      <c r="E404" s="295" t="s">
        <v>10445</v>
      </c>
      <c r="F404" s="296" t="s">
        <v>10447</v>
      </c>
    </row>
    <row r="405" spans="1:6" ht="14.15" customHeight="1" x14ac:dyDescent="0.35">
      <c r="A405" s="213" t="s">
        <v>3705</v>
      </c>
      <c r="B405" s="278" t="s">
        <v>10448</v>
      </c>
      <c r="C405" s="279" t="s">
        <v>10449</v>
      </c>
      <c r="D405" s="268"/>
      <c r="E405" s="295" t="s">
        <v>10448</v>
      </c>
      <c r="F405" s="296" t="s">
        <v>10449</v>
      </c>
    </row>
    <row r="406" spans="1:6" ht="14.15" customHeight="1" x14ac:dyDescent="0.35">
      <c r="A406" s="352" t="s">
        <v>3705</v>
      </c>
      <c r="B406" s="284" t="s">
        <v>10450</v>
      </c>
      <c r="C406" s="285" t="s">
        <v>10451</v>
      </c>
      <c r="D406" s="268"/>
      <c r="E406" s="295"/>
      <c r="F406" s="296"/>
    </row>
    <row r="407" spans="1:6" ht="14.15" customHeight="1" x14ac:dyDescent="0.35">
      <c r="A407" s="213" t="s">
        <v>3705</v>
      </c>
      <c r="B407" s="278" t="s">
        <v>10452</v>
      </c>
      <c r="C407" s="279" t="s">
        <v>10453</v>
      </c>
      <c r="D407" s="268"/>
      <c r="E407" s="295" t="s">
        <v>10452</v>
      </c>
      <c r="F407" s="296" t="s">
        <v>10453</v>
      </c>
    </row>
    <row r="408" spans="1:6" ht="14.15" customHeight="1" x14ac:dyDescent="0.35">
      <c r="A408" s="213" t="s">
        <v>3705</v>
      </c>
      <c r="B408" s="278" t="s">
        <v>10454</v>
      </c>
      <c r="C408" s="279" t="s">
        <v>10455</v>
      </c>
      <c r="D408" s="268"/>
      <c r="E408" s="295" t="s">
        <v>10454</v>
      </c>
      <c r="F408" s="296" t="s">
        <v>10455</v>
      </c>
    </row>
    <row r="409" spans="1:6" ht="14.15" customHeight="1" x14ac:dyDescent="0.35">
      <c r="A409" s="213" t="s">
        <v>3705</v>
      </c>
      <c r="B409" s="278" t="s">
        <v>10456</v>
      </c>
      <c r="C409" s="279" t="s">
        <v>10457</v>
      </c>
      <c r="D409" s="268"/>
      <c r="E409" s="295" t="s">
        <v>10456</v>
      </c>
      <c r="F409" s="296" t="s">
        <v>10457</v>
      </c>
    </row>
    <row r="410" spans="1:6" ht="14.15" customHeight="1" x14ac:dyDescent="0.35">
      <c r="A410" s="213" t="s">
        <v>3705</v>
      </c>
      <c r="B410" s="278" t="s">
        <v>10458</v>
      </c>
      <c r="C410" s="279" t="s">
        <v>10459</v>
      </c>
      <c r="D410" s="268"/>
      <c r="E410" s="295" t="s">
        <v>10458</v>
      </c>
      <c r="F410" s="296" t="s">
        <v>10459</v>
      </c>
    </row>
    <row r="411" spans="1:6" ht="14.15" customHeight="1" x14ac:dyDescent="0.35">
      <c r="A411" s="213" t="s">
        <v>3705</v>
      </c>
      <c r="B411" s="278" t="s">
        <v>10460</v>
      </c>
      <c r="C411" s="279" t="s">
        <v>10461</v>
      </c>
      <c r="D411" s="268"/>
      <c r="E411" s="295" t="s">
        <v>10460</v>
      </c>
      <c r="F411" s="296" t="s">
        <v>10461</v>
      </c>
    </row>
    <row r="412" spans="1:6" ht="14.15" customHeight="1" x14ac:dyDescent="0.35">
      <c r="A412" s="213" t="s">
        <v>3705</v>
      </c>
      <c r="B412" s="278" t="s">
        <v>10462</v>
      </c>
      <c r="C412" s="279" t="s">
        <v>10463</v>
      </c>
      <c r="D412" s="268"/>
      <c r="E412" s="295" t="s">
        <v>10462</v>
      </c>
      <c r="F412" s="296" t="s">
        <v>10463</v>
      </c>
    </row>
    <row r="413" spans="1:6" ht="14.15" customHeight="1" x14ac:dyDescent="0.35">
      <c r="A413" s="213" t="s">
        <v>3705</v>
      </c>
      <c r="B413" s="278" t="s">
        <v>10464</v>
      </c>
      <c r="C413" s="279" t="s">
        <v>10465</v>
      </c>
      <c r="D413" s="268"/>
      <c r="E413" s="295" t="s">
        <v>10464</v>
      </c>
      <c r="F413" s="296" t="s">
        <v>10465</v>
      </c>
    </row>
    <row r="414" spans="1:6" ht="14.15" customHeight="1" x14ac:dyDescent="0.35">
      <c r="A414" s="213" t="s">
        <v>3705</v>
      </c>
      <c r="B414" s="278" t="s">
        <v>10466</v>
      </c>
      <c r="C414" s="279" t="s">
        <v>10467</v>
      </c>
      <c r="D414" s="268"/>
      <c r="E414" s="295" t="s">
        <v>10466</v>
      </c>
      <c r="F414" s="296" t="s">
        <v>10467</v>
      </c>
    </row>
    <row r="415" spans="1:6" ht="14.15" customHeight="1" x14ac:dyDescent="0.35">
      <c r="A415" s="213" t="s">
        <v>3705</v>
      </c>
      <c r="B415" s="278" t="s">
        <v>10468</v>
      </c>
      <c r="C415" s="279" t="s">
        <v>10469</v>
      </c>
      <c r="D415" s="268"/>
      <c r="E415" s="295" t="s">
        <v>10468</v>
      </c>
      <c r="F415" s="296" t="s">
        <v>10469</v>
      </c>
    </row>
    <row r="416" spans="1:6" ht="14.15" customHeight="1" x14ac:dyDescent="0.35">
      <c r="A416" s="213" t="s">
        <v>3705</v>
      </c>
      <c r="B416" s="278" t="s">
        <v>10470</v>
      </c>
      <c r="C416" s="279" t="s">
        <v>10471</v>
      </c>
      <c r="D416" s="268"/>
      <c r="E416" s="295" t="s">
        <v>10470</v>
      </c>
      <c r="F416" s="296" t="s">
        <v>10471</v>
      </c>
    </row>
    <row r="417" spans="1:6" ht="14.15" customHeight="1" x14ac:dyDescent="0.35">
      <c r="A417" s="213" t="s">
        <v>3705</v>
      </c>
      <c r="B417" s="278" t="s">
        <v>10472</v>
      </c>
      <c r="C417" s="279" t="s">
        <v>10473</v>
      </c>
      <c r="D417" s="268"/>
      <c r="E417" s="295" t="s">
        <v>10472</v>
      </c>
      <c r="F417" s="296" t="s">
        <v>10473</v>
      </c>
    </row>
    <row r="418" spans="1:6" ht="14.15" customHeight="1" x14ac:dyDescent="0.35">
      <c r="A418" s="213" t="s">
        <v>3705</v>
      </c>
      <c r="B418" s="278" t="s">
        <v>10474</v>
      </c>
      <c r="C418" s="279" t="s">
        <v>10475</v>
      </c>
      <c r="D418" s="268"/>
      <c r="E418" s="295" t="s">
        <v>10474</v>
      </c>
      <c r="F418" s="296" t="s">
        <v>10475</v>
      </c>
    </row>
    <row r="419" spans="1:6" ht="14.15" customHeight="1" x14ac:dyDescent="0.35">
      <c r="A419" s="213" t="s">
        <v>3705</v>
      </c>
      <c r="B419" s="278" t="s">
        <v>10476</v>
      </c>
      <c r="C419" s="279" t="s">
        <v>10477</v>
      </c>
      <c r="D419" s="268"/>
      <c r="E419" s="295" t="s">
        <v>10476</v>
      </c>
      <c r="F419" s="296" t="s">
        <v>10477</v>
      </c>
    </row>
    <row r="420" spans="1:6" ht="14.15" customHeight="1" x14ac:dyDescent="0.35">
      <c r="A420" s="213" t="s">
        <v>3705</v>
      </c>
      <c r="B420" s="278" t="s">
        <v>10478</v>
      </c>
      <c r="C420" s="279" t="s">
        <v>10479</v>
      </c>
      <c r="D420" s="268"/>
      <c r="E420" s="295" t="s">
        <v>10478</v>
      </c>
      <c r="F420" s="296" t="s">
        <v>10479</v>
      </c>
    </row>
    <row r="421" spans="1:6" ht="14.15" customHeight="1" x14ac:dyDescent="0.35">
      <c r="A421" s="213" t="s">
        <v>3705</v>
      </c>
      <c r="B421" s="278" t="s">
        <v>10480</v>
      </c>
      <c r="C421" s="279" t="s">
        <v>10481</v>
      </c>
      <c r="D421" s="268"/>
      <c r="E421" s="295" t="s">
        <v>10480</v>
      </c>
      <c r="F421" s="296" t="s">
        <v>10481</v>
      </c>
    </row>
    <row r="422" spans="1:6" ht="14.15" customHeight="1" x14ac:dyDescent="0.35">
      <c r="A422" s="213" t="s">
        <v>3705</v>
      </c>
      <c r="B422" s="278" t="s">
        <v>10482</v>
      </c>
      <c r="C422" s="279" t="s">
        <v>10483</v>
      </c>
      <c r="D422" s="268"/>
      <c r="E422" s="295" t="s">
        <v>10482</v>
      </c>
      <c r="F422" s="296" t="s">
        <v>10483</v>
      </c>
    </row>
    <row r="423" spans="1:6" ht="14.15" customHeight="1" x14ac:dyDescent="0.35">
      <c r="A423" s="351" t="s">
        <v>3705</v>
      </c>
      <c r="B423" s="280" t="s">
        <v>10484</v>
      </c>
      <c r="C423" s="281" t="s">
        <v>10485</v>
      </c>
      <c r="D423" s="268"/>
      <c r="E423" s="295" t="s">
        <v>10484</v>
      </c>
      <c r="F423" s="296" t="s">
        <v>10485</v>
      </c>
    </row>
    <row r="424" spans="1:6" ht="14.15" customHeight="1" x14ac:dyDescent="0.35">
      <c r="A424" s="351" t="s">
        <v>3705</v>
      </c>
      <c r="B424" s="280" t="s">
        <v>10486</v>
      </c>
      <c r="C424" s="281" t="s">
        <v>10487</v>
      </c>
      <c r="D424" s="268"/>
      <c r="E424" s="295" t="s">
        <v>10486</v>
      </c>
      <c r="F424" s="296" t="s">
        <v>10487</v>
      </c>
    </row>
    <row r="425" spans="1:6" ht="14.15" customHeight="1" x14ac:dyDescent="0.35">
      <c r="A425" s="351" t="s">
        <v>3705</v>
      </c>
      <c r="B425" s="280" t="s">
        <v>10488</v>
      </c>
      <c r="C425" s="281" t="s">
        <v>10489</v>
      </c>
      <c r="D425" s="268"/>
      <c r="E425" s="295" t="s">
        <v>10488</v>
      </c>
      <c r="F425" s="296" t="s">
        <v>10489</v>
      </c>
    </row>
    <row r="426" spans="1:6" ht="14.15" customHeight="1" x14ac:dyDescent="0.35">
      <c r="A426" s="351" t="s">
        <v>3705</v>
      </c>
      <c r="B426" s="280" t="s">
        <v>10490</v>
      </c>
      <c r="C426" s="281" t="s">
        <v>10491</v>
      </c>
      <c r="D426" s="268"/>
      <c r="E426" s="295" t="s">
        <v>10490</v>
      </c>
      <c r="F426" s="296" t="s">
        <v>10491</v>
      </c>
    </row>
    <row r="427" spans="1:6" ht="14.15" customHeight="1" x14ac:dyDescent="0.35">
      <c r="A427" s="351" t="s">
        <v>3705</v>
      </c>
      <c r="B427" s="280" t="s">
        <v>10492</v>
      </c>
      <c r="C427" s="281" t="s">
        <v>10493</v>
      </c>
      <c r="D427" s="268"/>
      <c r="E427" s="295" t="s">
        <v>10492</v>
      </c>
      <c r="F427" s="296" t="s">
        <v>10493</v>
      </c>
    </row>
    <row r="428" spans="1:6" ht="14.15" customHeight="1" x14ac:dyDescent="0.35">
      <c r="A428" s="213" t="s">
        <v>3705</v>
      </c>
      <c r="B428" s="278" t="s">
        <v>10494</v>
      </c>
      <c r="C428" s="279" t="s">
        <v>10495</v>
      </c>
      <c r="D428" s="268"/>
      <c r="E428" s="295" t="s">
        <v>10494</v>
      </c>
      <c r="F428" s="296" t="s">
        <v>10495</v>
      </c>
    </row>
    <row r="429" spans="1:6" ht="14.15" customHeight="1" x14ac:dyDescent="0.35">
      <c r="A429" s="213" t="s">
        <v>3705</v>
      </c>
      <c r="B429" s="278" t="s">
        <v>10496</v>
      </c>
      <c r="C429" s="279" t="s">
        <v>10497</v>
      </c>
      <c r="D429" s="268"/>
      <c r="E429" s="295" t="s">
        <v>10496</v>
      </c>
      <c r="F429" s="296" t="s">
        <v>10497</v>
      </c>
    </row>
    <row r="430" spans="1:6" ht="14.15" customHeight="1" x14ac:dyDescent="0.35">
      <c r="A430" s="282" t="s">
        <v>3705</v>
      </c>
      <c r="B430" s="278" t="s">
        <v>10498</v>
      </c>
      <c r="C430" s="283" t="s">
        <v>10499</v>
      </c>
      <c r="D430" s="268"/>
      <c r="E430" s="295" t="s">
        <v>10498</v>
      </c>
      <c r="F430" s="296" t="s">
        <v>10500</v>
      </c>
    </row>
    <row r="431" spans="1:6" ht="14.15" customHeight="1" x14ac:dyDescent="0.35">
      <c r="A431" s="282" t="s">
        <v>3705</v>
      </c>
      <c r="B431" s="278" t="s">
        <v>10501</v>
      </c>
      <c r="C431" s="283" t="s">
        <v>10502</v>
      </c>
      <c r="D431" s="268"/>
      <c r="E431" s="295" t="s">
        <v>10501</v>
      </c>
      <c r="F431" s="296" t="s">
        <v>10503</v>
      </c>
    </row>
    <row r="432" spans="1:6" ht="14.15" customHeight="1" x14ac:dyDescent="0.35">
      <c r="A432" s="213" t="s">
        <v>3705</v>
      </c>
      <c r="B432" s="278" t="s">
        <v>10504</v>
      </c>
      <c r="C432" s="279" t="s">
        <v>10505</v>
      </c>
      <c r="D432" s="268"/>
      <c r="E432" s="295" t="s">
        <v>10504</v>
      </c>
      <c r="F432" s="296" t="s">
        <v>10505</v>
      </c>
    </row>
    <row r="433" spans="1:6" ht="14.15" customHeight="1" x14ac:dyDescent="0.35">
      <c r="A433" s="213" t="s">
        <v>3705</v>
      </c>
      <c r="B433" s="278" t="s">
        <v>10506</v>
      </c>
      <c r="C433" s="279" t="s">
        <v>10507</v>
      </c>
      <c r="D433" s="268"/>
      <c r="E433" s="295" t="s">
        <v>10506</v>
      </c>
      <c r="F433" s="296" t="s">
        <v>10507</v>
      </c>
    </row>
    <row r="434" spans="1:6" ht="14.15" customHeight="1" x14ac:dyDescent="0.35">
      <c r="A434" s="213" t="s">
        <v>3705</v>
      </c>
      <c r="B434" s="278" t="s">
        <v>10508</v>
      </c>
      <c r="C434" s="279" t="s">
        <v>10509</v>
      </c>
      <c r="D434" s="268"/>
      <c r="E434" s="295" t="s">
        <v>10508</v>
      </c>
      <c r="F434" s="296" t="s">
        <v>10509</v>
      </c>
    </row>
    <row r="435" spans="1:6" ht="14.15" customHeight="1" x14ac:dyDescent="0.35">
      <c r="A435" s="213" t="s">
        <v>3705</v>
      </c>
      <c r="B435" s="278" t="s">
        <v>10510</v>
      </c>
      <c r="C435" s="279" t="s">
        <v>10511</v>
      </c>
      <c r="D435" s="268"/>
      <c r="E435" s="295" t="s">
        <v>10510</v>
      </c>
      <c r="F435" s="296" t="s">
        <v>10511</v>
      </c>
    </row>
    <row r="436" spans="1:6" ht="14.15" customHeight="1" x14ac:dyDescent="0.35">
      <c r="A436" s="213" t="s">
        <v>3705</v>
      </c>
      <c r="B436" s="278" t="s">
        <v>10512</v>
      </c>
      <c r="C436" s="279" t="s">
        <v>10513</v>
      </c>
      <c r="D436" s="268"/>
      <c r="E436" s="295" t="s">
        <v>10512</v>
      </c>
      <c r="F436" s="296" t="s">
        <v>10513</v>
      </c>
    </row>
    <row r="437" spans="1:6" ht="14.15" customHeight="1" x14ac:dyDescent="0.35">
      <c r="A437" s="213" t="s">
        <v>3705</v>
      </c>
      <c r="B437" s="278" t="s">
        <v>10514</v>
      </c>
      <c r="C437" s="279" t="s">
        <v>10515</v>
      </c>
      <c r="D437" s="268"/>
      <c r="E437" s="295" t="s">
        <v>10514</v>
      </c>
      <c r="F437" s="296" t="s">
        <v>10515</v>
      </c>
    </row>
    <row r="438" spans="1:6" ht="14.15" customHeight="1" x14ac:dyDescent="0.35">
      <c r="A438" s="213" t="s">
        <v>3705</v>
      </c>
      <c r="B438" s="278" t="s">
        <v>10516</v>
      </c>
      <c r="C438" s="279" t="s">
        <v>10517</v>
      </c>
      <c r="D438" s="268"/>
      <c r="E438" s="295" t="s">
        <v>10516</v>
      </c>
      <c r="F438" s="296" t="s">
        <v>10517</v>
      </c>
    </row>
    <row r="439" spans="1:6" ht="14.15" customHeight="1" x14ac:dyDescent="0.35">
      <c r="A439" s="213" t="s">
        <v>3705</v>
      </c>
      <c r="B439" s="278" t="s">
        <v>10518</v>
      </c>
      <c r="C439" s="279" t="s">
        <v>10519</v>
      </c>
      <c r="D439" s="268"/>
      <c r="E439" s="295" t="s">
        <v>10518</v>
      </c>
      <c r="F439" s="296" t="s">
        <v>10519</v>
      </c>
    </row>
    <row r="440" spans="1:6" ht="14.15" customHeight="1" x14ac:dyDescent="0.35">
      <c r="A440" s="282" t="s">
        <v>3705</v>
      </c>
      <c r="B440" s="278" t="s">
        <v>10520</v>
      </c>
      <c r="C440" s="283" t="s">
        <v>10521</v>
      </c>
      <c r="D440" s="268"/>
      <c r="E440" s="295" t="s">
        <v>10520</v>
      </c>
      <c r="F440" s="296" t="s">
        <v>10522</v>
      </c>
    </row>
    <row r="441" spans="1:6" ht="14.15" customHeight="1" x14ac:dyDescent="0.35">
      <c r="A441" s="282" t="s">
        <v>3705</v>
      </c>
      <c r="B441" s="278" t="s">
        <v>10523</v>
      </c>
      <c r="C441" s="283" t="s">
        <v>10524</v>
      </c>
      <c r="D441" s="268"/>
      <c r="E441" s="295" t="s">
        <v>10523</v>
      </c>
      <c r="F441" s="296" t="s">
        <v>10525</v>
      </c>
    </row>
    <row r="442" spans="1:6" ht="14.15" customHeight="1" x14ac:dyDescent="0.35">
      <c r="A442" s="282" t="s">
        <v>3705</v>
      </c>
      <c r="B442" s="278" t="s">
        <v>10526</v>
      </c>
      <c r="C442" s="283" t="s">
        <v>10527</v>
      </c>
      <c r="D442" s="268"/>
      <c r="E442" s="295" t="s">
        <v>10526</v>
      </c>
      <c r="F442" s="296" t="s">
        <v>10528</v>
      </c>
    </row>
    <row r="443" spans="1:6" ht="14.15" customHeight="1" x14ac:dyDescent="0.35">
      <c r="A443" s="213" t="s">
        <v>3705</v>
      </c>
      <c r="B443" s="278" t="s">
        <v>10529</v>
      </c>
      <c r="C443" s="279" t="s">
        <v>10530</v>
      </c>
      <c r="D443" s="268"/>
      <c r="E443" s="295" t="s">
        <v>10529</v>
      </c>
      <c r="F443" s="296" t="s">
        <v>10530</v>
      </c>
    </row>
    <row r="444" spans="1:6" ht="14.15" customHeight="1" x14ac:dyDescent="0.35">
      <c r="A444" s="213" t="s">
        <v>3705</v>
      </c>
      <c r="B444" s="278" t="s">
        <v>10531</v>
      </c>
      <c r="C444" s="279" t="s">
        <v>10532</v>
      </c>
      <c r="D444" s="268"/>
      <c r="E444" s="295" t="s">
        <v>10531</v>
      </c>
      <c r="F444" s="296" t="s">
        <v>10532</v>
      </c>
    </row>
    <row r="445" spans="1:6" ht="14.15" customHeight="1" x14ac:dyDescent="0.35">
      <c r="A445" s="213" t="s">
        <v>3705</v>
      </c>
      <c r="B445" s="278" t="s">
        <v>10533</v>
      </c>
      <c r="C445" s="279" t="s">
        <v>10534</v>
      </c>
      <c r="D445" s="268"/>
      <c r="E445" s="295" t="s">
        <v>10533</v>
      </c>
      <c r="F445" s="296" t="s">
        <v>10534</v>
      </c>
    </row>
    <row r="446" spans="1:6" ht="14.15" customHeight="1" x14ac:dyDescent="0.35">
      <c r="A446" s="213" t="s">
        <v>3705</v>
      </c>
      <c r="B446" s="278" t="s">
        <v>10535</v>
      </c>
      <c r="C446" s="279" t="s">
        <v>10536</v>
      </c>
      <c r="D446" s="268"/>
      <c r="E446" s="295" t="s">
        <v>10535</v>
      </c>
      <c r="F446" s="296" t="s">
        <v>10536</v>
      </c>
    </row>
    <row r="447" spans="1:6" ht="14.15" customHeight="1" x14ac:dyDescent="0.35">
      <c r="A447" s="213" t="s">
        <v>3705</v>
      </c>
      <c r="B447" s="278" t="s">
        <v>10537</v>
      </c>
      <c r="C447" s="279" t="s">
        <v>10538</v>
      </c>
      <c r="D447" s="268"/>
      <c r="E447" s="295" t="s">
        <v>10537</v>
      </c>
      <c r="F447" s="296" t="s">
        <v>10538</v>
      </c>
    </row>
    <row r="448" spans="1:6" ht="14.15" customHeight="1" x14ac:dyDescent="0.35">
      <c r="A448" s="213" t="s">
        <v>3705</v>
      </c>
      <c r="B448" s="278" t="s">
        <v>10539</v>
      </c>
      <c r="C448" s="279" t="s">
        <v>10540</v>
      </c>
      <c r="D448" s="268"/>
      <c r="E448" s="295" t="s">
        <v>10539</v>
      </c>
      <c r="F448" s="296" t="s">
        <v>10540</v>
      </c>
    </row>
    <row r="449" spans="1:6" ht="14.15" customHeight="1" x14ac:dyDescent="0.35">
      <c r="A449" s="213" t="s">
        <v>3705</v>
      </c>
      <c r="B449" s="278" t="s">
        <v>10541</v>
      </c>
      <c r="C449" s="279" t="s">
        <v>10542</v>
      </c>
      <c r="D449" s="268"/>
      <c r="E449" s="295" t="s">
        <v>10541</v>
      </c>
      <c r="F449" s="296" t="s">
        <v>10542</v>
      </c>
    </row>
    <row r="450" spans="1:6" ht="14.15" customHeight="1" x14ac:dyDescent="0.35">
      <c r="A450" s="213" t="s">
        <v>3705</v>
      </c>
      <c r="B450" s="278" t="s">
        <v>10543</v>
      </c>
      <c r="C450" s="279" t="s">
        <v>10544</v>
      </c>
      <c r="D450" s="268"/>
      <c r="E450" s="295" t="s">
        <v>10543</v>
      </c>
      <c r="F450" s="296" t="s">
        <v>10544</v>
      </c>
    </row>
    <row r="451" spans="1:6" ht="14.15" customHeight="1" x14ac:dyDescent="0.35">
      <c r="A451" s="213" t="s">
        <v>3705</v>
      </c>
      <c r="B451" s="278" t="s">
        <v>10545</v>
      </c>
      <c r="C451" s="279" t="s">
        <v>10546</v>
      </c>
      <c r="D451" s="268"/>
      <c r="E451" s="295" t="s">
        <v>10545</v>
      </c>
      <c r="F451" s="296" t="s">
        <v>10546</v>
      </c>
    </row>
    <row r="452" spans="1:6" ht="14.15" customHeight="1" x14ac:dyDescent="0.35">
      <c r="A452" s="213" t="s">
        <v>3705</v>
      </c>
      <c r="B452" s="278" t="s">
        <v>10547</v>
      </c>
      <c r="C452" s="279" t="s">
        <v>10548</v>
      </c>
      <c r="D452" s="268"/>
      <c r="E452" s="295" t="s">
        <v>10547</v>
      </c>
      <c r="F452" s="296" t="s">
        <v>10548</v>
      </c>
    </row>
    <row r="453" spans="1:6" ht="14.15" customHeight="1" x14ac:dyDescent="0.35">
      <c r="A453" s="282" t="s">
        <v>3705</v>
      </c>
      <c r="B453" s="278" t="s">
        <v>10549</v>
      </c>
      <c r="C453" s="283" t="s">
        <v>10550</v>
      </c>
      <c r="D453" s="268"/>
      <c r="E453" s="295" t="s">
        <v>10549</v>
      </c>
      <c r="F453" s="296" t="s">
        <v>10551</v>
      </c>
    </row>
    <row r="454" spans="1:6" ht="14.15" customHeight="1" x14ac:dyDescent="0.35">
      <c r="A454" s="213" t="s">
        <v>3705</v>
      </c>
      <c r="B454" s="278" t="s">
        <v>10552</v>
      </c>
      <c r="C454" s="279" t="s">
        <v>10553</v>
      </c>
      <c r="D454" s="268"/>
      <c r="E454" s="295" t="s">
        <v>10552</v>
      </c>
      <c r="F454" s="296" t="s">
        <v>10553</v>
      </c>
    </row>
    <row r="455" spans="1:6" ht="14.15" customHeight="1" x14ac:dyDescent="0.35">
      <c r="A455" s="213" t="s">
        <v>3705</v>
      </c>
      <c r="B455" s="278" t="s">
        <v>10554</v>
      </c>
      <c r="C455" s="279" t="s">
        <v>10555</v>
      </c>
      <c r="D455" s="268"/>
      <c r="E455" s="295" t="s">
        <v>10554</v>
      </c>
      <c r="F455" s="296" t="s">
        <v>10555</v>
      </c>
    </row>
    <row r="456" spans="1:6" ht="14.15" customHeight="1" x14ac:dyDescent="0.35">
      <c r="A456" s="213" t="s">
        <v>3705</v>
      </c>
      <c r="B456" s="278" t="s">
        <v>10556</v>
      </c>
      <c r="C456" s="279" t="s">
        <v>10557</v>
      </c>
      <c r="D456" s="268"/>
      <c r="E456" s="295" t="s">
        <v>10556</v>
      </c>
      <c r="F456" s="296" t="s">
        <v>10557</v>
      </c>
    </row>
    <row r="457" spans="1:6" ht="14.15" customHeight="1" x14ac:dyDescent="0.35">
      <c r="A457" s="213" t="s">
        <v>3705</v>
      </c>
      <c r="B457" s="278" t="s">
        <v>10558</v>
      </c>
      <c r="C457" s="279" t="s">
        <v>10559</v>
      </c>
      <c r="D457" s="268"/>
      <c r="E457" s="295" t="s">
        <v>10558</v>
      </c>
      <c r="F457" s="296" t="s">
        <v>10559</v>
      </c>
    </row>
    <row r="458" spans="1:6" ht="14.15" customHeight="1" x14ac:dyDescent="0.35">
      <c r="A458" s="213" t="s">
        <v>3705</v>
      </c>
      <c r="B458" s="278" t="s">
        <v>10560</v>
      </c>
      <c r="C458" s="279" t="s">
        <v>10561</v>
      </c>
      <c r="D458" s="268"/>
      <c r="E458" s="295" t="s">
        <v>10560</v>
      </c>
      <c r="F458" s="296" t="s">
        <v>10561</v>
      </c>
    </row>
    <row r="459" spans="1:6" ht="14.15" customHeight="1" x14ac:dyDescent="0.35">
      <c r="A459" s="213" t="s">
        <v>3705</v>
      </c>
      <c r="B459" s="278" t="s">
        <v>10562</v>
      </c>
      <c r="C459" s="279" t="s">
        <v>10563</v>
      </c>
      <c r="D459" s="268"/>
      <c r="E459" s="295" t="s">
        <v>10562</v>
      </c>
      <c r="F459" s="296" t="s">
        <v>10563</v>
      </c>
    </row>
    <row r="460" spans="1:6" ht="14.15" customHeight="1" x14ac:dyDescent="0.35">
      <c r="A460" s="213" t="s">
        <v>3705</v>
      </c>
      <c r="B460" s="278" t="s">
        <v>10564</v>
      </c>
      <c r="C460" s="279" t="s">
        <v>10565</v>
      </c>
      <c r="D460" s="268"/>
      <c r="E460" s="295" t="s">
        <v>10564</v>
      </c>
      <c r="F460" s="296" t="s">
        <v>10565</v>
      </c>
    </row>
    <row r="461" spans="1:6" ht="14.15" customHeight="1" x14ac:dyDescent="0.35">
      <c r="A461" s="213" t="s">
        <v>3705</v>
      </c>
      <c r="B461" s="278" t="s">
        <v>10566</v>
      </c>
      <c r="C461" s="279" t="s">
        <v>10567</v>
      </c>
      <c r="D461" s="268"/>
      <c r="E461" s="295" t="s">
        <v>10566</v>
      </c>
      <c r="F461" s="296" t="s">
        <v>10567</v>
      </c>
    </row>
    <row r="462" spans="1:6" ht="14.15" customHeight="1" x14ac:dyDescent="0.35">
      <c r="A462" s="213" t="s">
        <v>3705</v>
      </c>
      <c r="B462" s="278" t="s">
        <v>10568</v>
      </c>
      <c r="C462" s="279" t="s">
        <v>10569</v>
      </c>
      <c r="D462" s="268"/>
      <c r="E462" s="295" t="s">
        <v>10568</v>
      </c>
      <c r="F462" s="296" t="s">
        <v>10569</v>
      </c>
    </row>
    <row r="463" spans="1:6" ht="14.15" customHeight="1" x14ac:dyDescent="0.35">
      <c r="A463" s="213" t="s">
        <v>3705</v>
      </c>
      <c r="B463" s="278" t="s">
        <v>10570</v>
      </c>
      <c r="C463" s="279" t="s">
        <v>10571</v>
      </c>
      <c r="D463" s="268"/>
      <c r="E463" s="295" t="s">
        <v>10570</v>
      </c>
      <c r="F463" s="296" t="s">
        <v>10571</v>
      </c>
    </row>
    <row r="464" spans="1:6" ht="14.15" customHeight="1" x14ac:dyDescent="0.35">
      <c r="A464" s="213" t="s">
        <v>3705</v>
      </c>
      <c r="B464" s="278" t="s">
        <v>10572</v>
      </c>
      <c r="C464" s="279" t="s">
        <v>10573</v>
      </c>
      <c r="D464" s="268"/>
      <c r="E464" s="295" t="s">
        <v>10572</v>
      </c>
      <c r="F464" s="296" t="s">
        <v>10573</v>
      </c>
    </row>
    <row r="465" spans="1:6" ht="14.15" customHeight="1" x14ac:dyDescent="0.35">
      <c r="A465" s="213" t="s">
        <v>3705</v>
      </c>
      <c r="B465" s="278" t="s">
        <v>10574</v>
      </c>
      <c r="C465" s="279" t="s">
        <v>10575</v>
      </c>
      <c r="D465" s="268"/>
      <c r="E465" s="295" t="s">
        <v>10574</v>
      </c>
      <c r="F465" s="296" t="s">
        <v>10575</v>
      </c>
    </row>
    <row r="466" spans="1:6" ht="14.15" customHeight="1" x14ac:dyDescent="0.35">
      <c r="A466" s="213" t="s">
        <v>3705</v>
      </c>
      <c r="B466" s="278" t="s">
        <v>10576</v>
      </c>
      <c r="C466" s="279" t="s">
        <v>10577</v>
      </c>
      <c r="D466" s="268"/>
      <c r="E466" s="295" t="s">
        <v>10576</v>
      </c>
      <c r="F466" s="296" t="s">
        <v>10577</v>
      </c>
    </row>
    <row r="467" spans="1:6" ht="14.15" customHeight="1" x14ac:dyDescent="0.35">
      <c r="A467" s="213" t="s">
        <v>3705</v>
      </c>
      <c r="B467" s="278" t="s">
        <v>10578</v>
      </c>
      <c r="C467" s="279" t="s">
        <v>10579</v>
      </c>
      <c r="D467" s="268"/>
      <c r="E467" s="295" t="s">
        <v>10578</v>
      </c>
      <c r="F467" s="296" t="s">
        <v>10579</v>
      </c>
    </row>
    <row r="468" spans="1:6" ht="14.15" customHeight="1" x14ac:dyDescent="0.35">
      <c r="A468" s="213" t="s">
        <v>3705</v>
      </c>
      <c r="B468" s="278" t="s">
        <v>10580</v>
      </c>
      <c r="C468" s="279" t="s">
        <v>10581</v>
      </c>
      <c r="D468" s="268"/>
      <c r="E468" s="295" t="s">
        <v>10580</v>
      </c>
      <c r="F468" s="296" t="s">
        <v>10581</v>
      </c>
    </row>
    <row r="469" spans="1:6" ht="14.15" customHeight="1" x14ac:dyDescent="0.35">
      <c r="A469" s="213" t="s">
        <v>3705</v>
      </c>
      <c r="B469" s="278" t="s">
        <v>10582</v>
      </c>
      <c r="C469" s="279" t="s">
        <v>10583</v>
      </c>
      <c r="D469" s="268"/>
      <c r="E469" s="295" t="s">
        <v>10582</v>
      </c>
      <c r="F469" s="296" t="s">
        <v>10583</v>
      </c>
    </row>
    <row r="470" spans="1:6" ht="14.15" customHeight="1" x14ac:dyDescent="0.35">
      <c r="A470" s="213" t="s">
        <v>3705</v>
      </c>
      <c r="B470" s="278" t="s">
        <v>10584</v>
      </c>
      <c r="C470" s="279" t="s">
        <v>10585</v>
      </c>
      <c r="D470" s="268"/>
      <c r="E470" s="295" t="s">
        <v>10584</v>
      </c>
      <c r="F470" s="296" t="s">
        <v>10585</v>
      </c>
    </row>
    <row r="471" spans="1:6" ht="14.15" customHeight="1" x14ac:dyDescent="0.35">
      <c r="A471" s="213" t="s">
        <v>3705</v>
      </c>
      <c r="B471" s="278" t="s">
        <v>10586</v>
      </c>
      <c r="C471" s="279" t="s">
        <v>10587</v>
      </c>
      <c r="D471" s="268"/>
      <c r="E471" s="295" t="s">
        <v>10586</v>
      </c>
      <c r="F471" s="296" t="s">
        <v>10587</v>
      </c>
    </row>
    <row r="472" spans="1:6" ht="14.15" customHeight="1" x14ac:dyDescent="0.35">
      <c r="A472" s="213" t="s">
        <v>3705</v>
      </c>
      <c r="B472" s="278" t="s">
        <v>10588</v>
      </c>
      <c r="C472" s="279" t="s">
        <v>10589</v>
      </c>
      <c r="D472" s="268"/>
      <c r="E472" s="295" t="s">
        <v>10588</v>
      </c>
      <c r="F472" s="296" t="s">
        <v>10589</v>
      </c>
    </row>
    <row r="473" spans="1:6" ht="14.15" customHeight="1" x14ac:dyDescent="0.35">
      <c r="A473" s="213" t="s">
        <v>3705</v>
      </c>
      <c r="B473" s="278" t="s">
        <v>10590</v>
      </c>
      <c r="C473" s="279" t="s">
        <v>10591</v>
      </c>
      <c r="D473" s="268"/>
      <c r="E473" s="295" t="s">
        <v>10590</v>
      </c>
      <c r="F473" s="296" t="s">
        <v>10591</v>
      </c>
    </row>
    <row r="474" spans="1:6" ht="14.15" customHeight="1" x14ac:dyDescent="0.35">
      <c r="A474" s="213" t="s">
        <v>3705</v>
      </c>
      <c r="B474" s="278" t="s">
        <v>10592</v>
      </c>
      <c r="C474" s="279" t="s">
        <v>10593</v>
      </c>
      <c r="D474" s="268"/>
      <c r="E474" s="295" t="s">
        <v>10592</v>
      </c>
      <c r="F474" s="296" t="s">
        <v>10593</v>
      </c>
    </row>
    <row r="475" spans="1:6" ht="14.15" customHeight="1" x14ac:dyDescent="0.35">
      <c r="A475" s="213" t="s">
        <v>3705</v>
      </c>
      <c r="B475" s="278" t="s">
        <v>10594</v>
      </c>
      <c r="C475" s="279" t="s">
        <v>10595</v>
      </c>
      <c r="D475" s="268"/>
      <c r="E475" s="295" t="s">
        <v>10594</v>
      </c>
      <c r="F475" s="296" t="s">
        <v>10595</v>
      </c>
    </row>
    <row r="476" spans="1:6" ht="14.15" customHeight="1" x14ac:dyDescent="0.35">
      <c r="A476" s="213" t="s">
        <v>3705</v>
      </c>
      <c r="B476" s="278" t="s">
        <v>10596</v>
      </c>
      <c r="C476" s="279" t="s">
        <v>10597</v>
      </c>
      <c r="D476" s="268"/>
      <c r="E476" s="295" t="s">
        <v>10596</v>
      </c>
      <c r="F476" s="296" t="s">
        <v>10597</v>
      </c>
    </row>
    <row r="477" spans="1:6" ht="14.15" customHeight="1" x14ac:dyDescent="0.35">
      <c r="A477" s="213" t="s">
        <v>3705</v>
      </c>
      <c r="B477" s="278" t="s">
        <v>10598</v>
      </c>
      <c r="C477" s="279" t="s">
        <v>10599</v>
      </c>
      <c r="D477" s="268"/>
      <c r="E477" s="295" t="s">
        <v>10598</v>
      </c>
      <c r="F477" s="296" t="s">
        <v>10599</v>
      </c>
    </row>
    <row r="478" spans="1:6" ht="14.15" customHeight="1" x14ac:dyDescent="0.35">
      <c r="A478" s="213" t="s">
        <v>3705</v>
      </c>
      <c r="B478" s="278" t="s">
        <v>10600</v>
      </c>
      <c r="C478" s="279" t="s">
        <v>10601</v>
      </c>
      <c r="D478" s="268"/>
      <c r="E478" s="295" t="s">
        <v>10600</v>
      </c>
      <c r="F478" s="296" t="s">
        <v>10601</v>
      </c>
    </row>
    <row r="479" spans="1:6" ht="14.15" customHeight="1" x14ac:dyDescent="0.35">
      <c r="A479" s="213" t="s">
        <v>3705</v>
      </c>
      <c r="B479" s="278" t="s">
        <v>10602</v>
      </c>
      <c r="C479" s="279" t="s">
        <v>10603</v>
      </c>
      <c r="D479" s="268"/>
      <c r="E479" s="295" t="s">
        <v>10602</v>
      </c>
      <c r="F479" s="296" t="s">
        <v>10603</v>
      </c>
    </row>
    <row r="480" spans="1:6" ht="14.15" customHeight="1" x14ac:dyDescent="0.35">
      <c r="A480" s="213" t="s">
        <v>3705</v>
      </c>
      <c r="B480" s="278" t="s">
        <v>10604</v>
      </c>
      <c r="C480" s="279" t="s">
        <v>10605</v>
      </c>
      <c r="D480" s="268"/>
      <c r="E480" s="295" t="s">
        <v>10604</v>
      </c>
      <c r="F480" s="296" t="s">
        <v>10605</v>
      </c>
    </row>
    <row r="481" spans="1:6" ht="14.15" customHeight="1" x14ac:dyDescent="0.35">
      <c r="A481" s="213" t="s">
        <v>3705</v>
      </c>
      <c r="B481" s="278" t="s">
        <v>10606</v>
      </c>
      <c r="C481" s="279" t="s">
        <v>10607</v>
      </c>
      <c r="D481" s="268"/>
      <c r="E481" s="295" t="s">
        <v>10606</v>
      </c>
      <c r="F481" s="296" t="s">
        <v>10607</v>
      </c>
    </row>
    <row r="482" spans="1:6" ht="14.15" customHeight="1" x14ac:dyDescent="0.35">
      <c r="A482" s="213" t="s">
        <v>3705</v>
      </c>
      <c r="B482" s="278" t="s">
        <v>10608</v>
      </c>
      <c r="C482" s="279" t="s">
        <v>10609</v>
      </c>
      <c r="D482" s="268"/>
      <c r="E482" s="295" t="s">
        <v>10608</v>
      </c>
      <c r="F482" s="296" t="s">
        <v>10609</v>
      </c>
    </row>
    <row r="483" spans="1:6" ht="14.15" customHeight="1" x14ac:dyDescent="0.35">
      <c r="A483" s="213" t="s">
        <v>3705</v>
      </c>
      <c r="B483" s="278" t="s">
        <v>10610</v>
      </c>
      <c r="C483" s="279" t="s">
        <v>10611</v>
      </c>
      <c r="D483" s="268"/>
      <c r="E483" s="295" t="s">
        <v>10610</v>
      </c>
      <c r="F483" s="296" t="s">
        <v>10611</v>
      </c>
    </row>
    <row r="484" spans="1:6" ht="14.15" customHeight="1" x14ac:dyDescent="0.35">
      <c r="A484" s="352" t="s">
        <v>3705</v>
      </c>
      <c r="B484" s="284" t="s">
        <v>10612</v>
      </c>
      <c r="C484" s="285" t="s">
        <v>10613</v>
      </c>
      <c r="D484" s="268"/>
      <c r="E484" s="295"/>
      <c r="F484" s="296"/>
    </row>
    <row r="485" spans="1:6" ht="14.15" customHeight="1" x14ac:dyDescent="0.35">
      <c r="A485" s="352" t="s">
        <v>3705</v>
      </c>
      <c r="B485" s="284" t="s">
        <v>10614</v>
      </c>
      <c r="C485" s="285" t="s">
        <v>10615</v>
      </c>
      <c r="D485" s="268"/>
      <c r="E485" s="295"/>
      <c r="F485" s="296"/>
    </row>
    <row r="486" spans="1:6" ht="14.15" customHeight="1" x14ac:dyDescent="0.35">
      <c r="A486" s="352" t="s">
        <v>3705</v>
      </c>
      <c r="B486" s="284" t="s">
        <v>10616</v>
      </c>
      <c r="C486" s="285" t="s">
        <v>10617</v>
      </c>
      <c r="D486" s="268"/>
      <c r="E486" s="295"/>
      <c r="F486" s="296"/>
    </row>
    <row r="487" spans="1:6" ht="14.15" customHeight="1" x14ac:dyDescent="0.35">
      <c r="A487" s="213" t="s">
        <v>3705</v>
      </c>
      <c r="B487" s="278" t="s">
        <v>10618</v>
      </c>
      <c r="C487" s="279" t="s">
        <v>10619</v>
      </c>
      <c r="D487" s="268"/>
      <c r="E487" s="295" t="s">
        <v>10618</v>
      </c>
      <c r="F487" s="296" t="s">
        <v>10619</v>
      </c>
    </row>
    <row r="488" spans="1:6" ht="14.15" customHeight="1" x14ac:dyDescent="0.35">
      <c r="A488" s="282" t="s">
        <v>3705</v>
      </c>
      <c r="B488" s="278" t="s">
        <v>10620</v>
      </c>
      <c r="C488" s="283" t="s">
        <v>10621</v>
      </c>
      <c r="D488" s="268"/>
      <c r="E488" s="295" t="s">
        <v>10620</v>
      </c>
      <c r="F488" s="296" t="s">
        <v>10622</v>
      </c>
    </row>
    <row r="489" spans="1:6" ht="14.15" customHeight="1" x14ac:dyDescent="0.35">
      <c r="A489" s="213" t="s">
        <v>3705</v>
      </c>
      <c r="B489" s="278" t="s">
        <v>10623</v>
      </c>
      <c r="C489" s="279" t="s">
        <v>10624</v>
      </c>
      <c r="D489" s="268"/>
      <c r="E489" s="295" t="s">
        <v>10623</v>
      </c>
      <c r="F489" s="296" t="s">
        <v>10624</v>
      </c>
    </row>
    <row r="490" spans="1:6" ht="14.15" customHeight="1" x14ac:dyDescent="0.35">
      <c r="A490" s="352" t="s">
        <v>3705</v>
      </c>
      <c r="B490" s="284" t="s">
        <v>10625</v>
      </c>
      <c r="C490" s="285" t="s">
        <v>10626</v>
      </c>
      <c r="D490" s="268"/>
      <c r="E490" s="295"/>
      <c r="F490" s="296"/>
    </row>
    <row r="491" spans="1:6" ht="14.15" customHeight="1" x14ac:dyDescent="0.35">
      <c r="A491" s="213" t="s">
        <v>3705</v>
      </c>
      <c r="B491" s="278" t="s">
        <v>10627</v>
      </c>
      <c r="C491" s="279" t="s">
        <v>10628</v>
      </c>
      <c r="D491" s="268"/>
      <c r="E491" s="295" t="s">
        <v>10627</v>
      </c>
      <c r="F491" s="296" t="s">
        <v>10628</v>
      </c>
    </row>
    <row r="492" spans="1:6" ht="14.15" customHeight="1" x14ac:dyDescent="0.35">
      <c r="A492" s="213" t="s">
        <v>3705</v>
      </c>
      <c r="B492" s="278" t="s">
        <v>10629</v>
      </c>
      <c r="C492" s="279" t="s">
        <v>10630</v>
      </c>
      <c r="D492" s="268"/>
      <c r="E492" s="295" t="s">
        <v>10629</v>
      </c>
      <c r="F492" s="296" t="s">
        <v>10630</v>
      </c>
    </row>
    <row r="493" spans="1:6" ht="14.15" customHeight="1" x14ac:dyDescent="0.35">
      <c r="A493" s="213" t="s">
        <v>3705</v>
      </c>
      <c r="B493" s="278" t="s">
        <v>10631</v>
      </c>
      <c r="C493" s="279" t="s">
        <v>10632</v>
      </c>
      <c r="D493" s="268"/>
      <c r="E493" s="295" t="s">
        <v>10631</v>
      </c>
      <c r="F493" s="296" t="s">
        <v>10632</v>
      </c>
    </row>
    <row r="494" spans="1:6" ht="14.15" customHeight="1" x14ac:dyDescent="0.35">
      <c r="A494" s="213" t="s">
        <v>3705</v>
      </c>
      <c r="B494" s="278" t="s">
        <v>10633</v>
      </c>
      <c r="C494" s="279" t="s">
        <v>10634</v>
      </c>
      <c r="D494" s="268"/>
      <c r="E494" s="295" t="s">
        <v>10633</v>
      </c>
      <c r="F494" s="296" t="s">
        <v>10634</v>
      </c>
    </row>
    <row r="495" spans="1:6" ht="14.15" customHeight="1" x14ac:dyDescent="0.35">
      <c r="A495" s="213" t="s">
        <v>3705</v>
      </c>
      <c r="B495" s="278" t="s">
        <v>10635</v>
      </c>
      <c r="C495" s="279" t="s">
        <v>10636</v>
      </c>
      <c r="D495" s="268"/>
      <c r="E495" s="295" t="s">
        <v>10635</v>
      </c>
      <c r="F495" s="296" t="s">
        <v>10636</v>
      </c>
    </row>
    <row r="496" spans="1:6" ht="14.15" customHeight="1" x14ac:dyDescent="0.35">
      <c r="A496" s="213" t="s">
        <v>3705</v>
      </c>
      <c r="B496" s="278" t="s">
        <v>10637</v>
      </c>
      <c r="C496" s="279" t="s">
        <v>10638</v>
      </c>
      <c r="D496" s="268"/>
      <c r="E496" s="295" t="s">
        <v>10637</v>
      </c>
      <c r="F496" s="296" t="s">
        <v>10638</v>
      </c>
    </row>
    <row r="497" spans="1:6" ht="14.15" customHeight="1" x14ac:dyDescent="0.35">
      <c r="A497" s="213" t="s">
        <v>3705</v>
      </c>
      <c r="B497" s="278" t="s">
        <v>10639</v>
      </c>
      <c r="C497" s="279" t="s">
        <v>10640</v>
      </c>
      <c r="D497" s="268"/>
      <c r="E497" s="295" t="s">
        <v>10639</v>
      </c>
      <c r="F497" s="296" t="s">
        <v>10640</v>
      </c>
    </row>
    <row r="498" spans="1:6" ht="14.15" customHeight="1" x14ac:dyDescent="0.35">
      <c r="A498" s="213" t="s">
        <v>3705</v>
      </c>
      <c r="B498" s="278" t="s">
        <v>10641</v>
      </c>
      <c r="C498" s="279" t="s">
        <v>10642</v>
      </c>
      <c r="D498" s="268"/>
      <c r="E498" s="295" t="s">
        <v>10641</v>
      </c>
      <c r="F498" s="296" t="s">
        <v>10642</v>
      </c>
    </row>
    <row r="499" spans="1:6" ht="14.15" customHeight="1" x14ac:dyDescent="0.35">
      <c r="A499" s="213" t="s">
        <v>3705</v>
      </c>
      <c r="B499" s="278" t="s">
        <v>10643</v>
      </c>
      <c r="C499" s="279" t="s">
        <v>10644</v>
      </c>
      <c r="D499" s="268"/>
      <c r="E499" s="295" t="s">
        <v>10643</v>
      </c>
      <c r="F499" s="296" t="s">
        <v>10644</v>
      </c>
    </row>
    <row r="500" spans="1:6" ht="14.15" customHeight="1" x14ac:dyDescent="0.35">
      <c r="A500" s="213" t="s">
        <v>3705</v>
      </c>
      <c r="B500" s="278" t="s">
        <v>10645</v>
      </c>
      <c r="C500" s="279" t="s">
        <v>10646</v>
      </c>
      <c r="D500" s="268"/>
      <c r="E500" s="295" t="s">
        <v>10645</v>
      </c>
      <c r="F500" s="296" t="s">
        <v>10646</v>
      </c>
    </row>
    <row r="501" spans="1:6" ht="14.15" customHeight="1" x14ac:dyDescent="0.35">
      <c r="A501" s="213" t="s">
        <v>3705</v>
      </c>
      <c r="B501" s="278" t="s">
        <v>10647</v>
      </c>
      <c r="C501" s="279" t="s">
        <v>10648</v>
      </c>
      <c r="D501" s="268"/>
      <c r="E501" s="295" t="s">
        <v>10647</v>
      </c>
      <c r="F501" s="296" t="s">
        <v>10648</v>
      </c>
    </row>
    <row r="502" spans="1:6" ht="14.15" customHeight="1" x14ac:dyDescent="0.35">
      <c r="A502" s="213" t="s">
        <v>3705</v>
      </c>
      <c r="B502" s="278" t="s">
        <v>10649</v>
      </c>
      <c r="C502" s="279" t="s">
        <v>10650</v>
      </c>
      <c r="D502" s="268"/>
      <c r="E502" s="295" t="s">
        <v>10649</v>
      </c>
      <c r="F502" s="296" t="s">
        <v>10650</v>
      </c>
    </row>
    <row r="503" spans="1:6" ht="14.15" customHeight="1" x14ac:dyDescent="0.35">
      <c r="A503" s="213" t="s">
        <v>3705</v>
      </c>
      <c r="B503" s="278" t="s">
        <v>10651</v>
      </c>
      <c r="C503" s="279" t="s">
        <v>10652</v>
      </c>
      <c r="D503" s="268"/>
      <c r="E503" s="295" t="s">
        <v>10651</v>
      </c>
      <c r="F503" s="296" t="s">
        <v>10652</v>
      </c>
    </row>
    <row r="504" spans="1:6" ht="14.15" customHeight="1" x14ac:dyDescent="0.35">
      <c r="A504" s="213" t="s">
        <v>3705</v>
      </c>
      <c r="B504" s="278" t="s">
        <v>10653</v>
      </c>
      <c r="C504" s="279" t="s">
        <v>10654</v>
      </c>
      <c r="D504" s="268"/>
      <c r="E504" s="295" t="s">
        <v>10653</v>
      </c>
      <c r="F504" s="296" t="s">
        <v>10654</v>
      </c>
    </row>
    <row r="505" spans="1:6" ht="14.15" customHeight="1" x14ac:dyDescent="0.35">
      <c r="A505" s="213" t="s">
        <v>3705</v>
      </c>
      <c r="B505" s="278" t="s">
        <v>10655</v>
      </c>
      <c r="C505" s="279" t="s">
        <v>10656</v>
      </c>
      <c r="D505" s="268"/>
      <c r="E505" s="295" t="s">
        <v>10655</v>
      </c>
      <c r="F505" s="296" t="s">
        <v>10656</v>
      </c>
    </row>
    <row r="506" spans="1:6" ht="14.15" customHeight="1" x14ac:dyDescent="0.35">
      <c r="A506" s="213" t="s">
        <v>3705</v>
      </c>
      <c r="B506" s="278" t="s">
        <v>10657</v>
      </c>
      <c r="C506" s="279" t="s">
        <v>10658</v>
      </c>
      <c r="D506" s="268"/>
      <c r="E506" s="295" t="s">
        <v>10657</v>
      </c>
      <c r="F506" s="296" t="s">
        <v>10658</v>
      </c>
    </row>
    <row r="507" spans="1:6" ht="14.15" customHeight="1" x14ac:dyDescent="0.35">
      <c r="A507" s="213" t="s">
        <v>3705</v>
      </c>
      <c r="B507" s="278" t="s">
        <v>10659</v>
      </c>
      <c r="C507" s="279" t="s">
        <v>10660</v>
      </c>
      <c r="D507" s="268"/>
      <c r="E507" s="295" t="s">
        <v>10659</v>
      </c>
      <c r="F507" s="296" t="s">
        <v>10660</v>
      </c>
    </row>
    <row r="508" spans="1:6" ht="14.15" customHeight="1" x14ac:dyDescent="0.35">
      <c r="A508" s="213" t="s">
        <v>3705</v>
      </c>
      <c r="B508" s="278" t="s">
        <v>10661</v>
      </c>
      <c r="C508" s="279" t="s">
        <v>10662</v>
      </c>
      <c r="D508" s="268"/>
      <c r="E508" s="295" t="s">
        <v>10661</v>
      </c>
      <c r="F508" s="296" t="s">
        <v>10662</v>
      </c>
    </row>
    <row r="509" spans="1:6" ht="14.15" customHeight="1" x14ac:dyDescent="0.35">
      <c r="A509" s="213" t="s">
        <v>3705</v>
      </c>
      <c r="B509" s="278" t="s">
        <v>10663</v>
      </c>
      <c r="C509" s="279" t="s">
        <v>10664</v>
      </c>
      <c r="D509" s="268"/>
      <c r="E509" s="295" t="s">
        <v>10663</v>
      </c>
      <c r="F509" s="296" t="s">
        <v>10664</v>
      </c>
    </row>
    <row r="510" spans="1:6" ht="14.15" customHeight="1" x14ac:dyDescent="0.35">
      <c r="A510" s="361" t="s">
        <v>3705</v>
      </c>
      <c r="B510" s="359" t="s">
        <v>10665</v>
      </c>
      <c r="C510" s="360" t="s">
        <v>10542</v>
      </c>
      <c r="D510" s="268"/>
      <c r="E510" s="295" t="s">
        <v>10665</v>
      </c>
      <c r="F510" s="296" t="s">
        <v>10542</v>
      </c>
    </row>
    <row r="511" spans="1:6" ht="14.15" customHeight="1" x14ac:dyDescent="0.35">
      <c r="A511" s="213" t="s">
        <v>3705</v>
      </c>
      <c r="B511" s="278" t="s">
        <v>10666</v>
      </c>
      <c r="C511" s="279" t="s">
        <v>10667</v>
      </c>
      <c r="D511" s="268"/>
      <c r="E511" s="295" t="s">
        <v>10666</v>
      </c>
      <c r="F511" s="296" t="s">
        <v>10667</v>
      </c>
    </row>
    <row r="512" spans="1:6" ht="14.15" customHeight="1" x14ac:dyDescent="0.35">
      <c r="A512" s="213" t="s">
        <v>3705</v>
      </c>
      <c r="B512" s="278" t="s">
        <v>10668</v>
      </c>
      <c r="C512" s="279" t="s">
        <v>10669</v>
      </c>
      <c r="D512" s="268"/>
      <c r="E512" s="295" t="s">
        <v>10668</v>
      </c>
      <c r="F512" s="296" t="s">
        <v>10669</v>
      </c>
    </row>
    <row r="513" spans="1:6" ht="14.15" customHeight="1" x14ac:dyDescent="0.35">
      <c r="A513" s="213" t="s">
        <v>3705</v>
      </c>
      <c r="B513" s="278" t="s">
        <v>10670</v>
      </c>
      <c r="C513" s="279" t="s">
        <v>10671</v>
      </c>
      <c r="D513" s="268"/>
      <c r="E513" s="295" t="s">
        <v>10670</v>
      </c>
      <c r="F513" s="296" t="s">
        <v>10671</v>
      </c>
    </row>
    <row r="514" spans="1:6" ht="14.15" customHeight="1" x14ac:dyDescent="0.35">
      <c r="A514" s="213" t="s">
        <v>3705</v>
      </c>
      <c r="B514" s="278" t="s">
        <v>10672</v>
      </c>
      <c r="C514" s="279" t="s">
        <v>10673</v>
      </c>
      <c r="D514" s="268"/>
      <c r="E514" s="295" t="s">
        <v>10672</v>
      </c>
      <c r="F514" s="296" t="s">
        <v>10673</v>
      </c>
    </row>
    <row r="515" spans="1:6" ht="14.15" customHeight="1" x14ac:dyDescent="0.35">
      <c r="A515" s="213" t="s">
        <v>3705</v>
      </c>
      <c r="B515" s="278" t="s">
        <v>10674</v>
      </c>
      <c r="C515" s="279" t="s">
        <v>10675</v>
      </c>
      <c r="D515" s="268"/>
      <c r="E515" s="295" t="s">
        <v>10674</v>
      </c>
      <c r="F515" s="296" t="s">
        <v>10675</v>
      </c>
    </row>
    <row r="516" spans="1:6" ht="14.15" customHeight="1" x14ac:dyDescent="0.35">
      <c r="A516" s="213" t="s">
        <v>3705</v>
      </c>
      <c r="B516" s="278" t="s">
        <v>10676</v>
      </c>
      <c r="C516" s="279" t="s">
        <v>10677</v>
      </c>
      <c r="D516" s="268"/>
      <c r="E516" s="295" t="s">
        <v>10676</v>
      </c>
      <c r="F516" s="296" t="s">
        <v>10677</v>
      </c>
    </row>
    <row r="517" spans="1:6" ht="14.15" customHeight="1" x14ac:dyDescent="0.35">
      <c r="A517" s="213" t="s">
        <v>3705</v>
      </c>
      <c r="B517" s="278" t="s">
        <v>10678</v>
      </c>
      <c r="C517" s="279" t="s">
        <v>10679</v>
      </c>
      <c r="D517" s="268"/>
      <c r="E517" s="295" t="s">
        <v>10678</v>
      </c>
      <c r="F517" s="296" t="s">
        <v>10679</v>
      </c>
    </row>
    <row r="518" spans="1:6" ht="14.15" customHeight="1" x14ac:dyDescent="0.35">
      <c r="A518" s="213" t="s">
        <v>3705</v>
      </c>
      <c r="B518" s="278" t="s">
        <v>10680</v>
      </c>
      <c r="C518" s="279" t="s">
        <v>10681</v>
      </c>
      <c r="D518" s="268"/>
      <c r="E518" s="295" t="s">
        <v>10680</v>
      </c>
      <c r="F518" s="296" t="s">
        <v>10681</v>
      </c>
    </row>
    <row r="519" spans="1:6" ht="14.15" customHeight="1" x14ac:dyDescent="0.35">
      <c r="A519" s="352" t="s">
        <v>3705</v>
      </c>
      <c r="B519" s="284" t="s">
        <v>10682</v>
      </c>
      <c r="C519" s="285" t="s">
        <v>10683</v>
      </c>
      <c r="D519" s="268"/>
      <c r="E519" s="295"/>
      <c r="F519" s="296"/>
    </row>
    <row r="520" spans="1:6" ht="14.15" customHeight="1" x14ac:dyDescent="0.35">
      <c r="A520" s="282" t="s">
        <v>3705</v>
      </c>
      <c r="B520" s="278" t="s">
        <v>10684</v>
      </c>
      <c r="C520" s="283" t="s">
        <v>10685</v>
      </c>
      <c r="D520" s="268"/>
      <c r="E520" s="295" t="s">
        <v>10684</v>
      </c>
      <c r="F520" s="296" t="s">
        <v>10686</v>
      </c>
    </row>
    <row r="521" spans="1:6" ht="14.15" customHeight="1" x14ac:dyDescent="0.35">
      <c r="A521" s="282" t="s">
        <v>3705</v>
      </c>
      <c r="B521" s="278" t="s">
        <v>10687</v>
      </c>
      <c r="C521" s="283" t="s">
        <v>10688</v>
      </c>
      <c r="D521" s="268"/>
      <c r="E521" s="295" t="s">
        <v>10687</v>
      </c>
      <c r="F521" s="296" t="s">
        <v>10685</v>
      </c>
    </row>
    <row r="522" spans="1:6" ht="14.15" customHeight="1" x14ac:dyDescent="0.35">
      <c r="A522" s="282" t="s">
        <v>3705</v>
      </c>
      <c r="B522" s="278" t="s">
        <v>10689</v>
      </c>
      <c r="C522" s="283" t="s">
        <v>10690</v>
      </c>
      <c r="D522" s="268"/>
      <c r="E522" s="295" t="s">
        <v>10689</v>
      </c>
      <c r="F522" s="296" t="s">
        <v>10688</v>
      </c>
    </row>
    <row r="523" spans="1:6" ht="14.15" customHeight="1" x14ac:dyDescent="0.35">
      <c r="A523" s="213" t="s">
        <v>3705</v>
      </c>
      <c r="B523" s="278" t="s">
        <v>10691</v>
      </c>
      <c r="C523" s="279" t="s">
        <v>10692</v>
      </c>
      <c r="D523" s="268"/>
      <c r="E523" s="295" t="s">
        <v>10691</v>
      </c>
      <c r="F523" s="296" t="s">
        <v>10692</v>
      </c>
    </row>
    <row r="524" spans="1:6" ht="14.15" customHeight="1" x14ac:dyDescent="0.35">
      <c r="A524" s="213" t="s">
        <v>3705</v>
      </c>
      <c r="B524" s="278" t="s">
        <v>10693</v>
      </c>
      <c r="C524" s="279" t="s">
        <v>10694</v>
      </c>
      <c r="D524" s="268"/>
      <c r="E524" s="295" t="s">
        <v>10693</v>
      </c>
      <c r="F524" s="296" t="s">
        <v>10694</v>
      </c>
    </row>
    <row r="525" spans="1:6" ht="14.15" customHeight="1" x14ac:dyDescent="0.35">
      <c r="A525" s="213" t="s">
        <v>3705</v>
      </c>
      <c r="B525" s="278" t="s">
        <v>10695</v>
      </c>
      <c r="C525" s="279" t="s">
        <v>10696</v>
      </c>
      <c r="D525" s="268"/>
      <c r="E525" s="295" t="s">
        <v>10695</v>
      </c>
      <c r="F525" s="296" t="s">
        <v>10696</v>
      </c>
    </row>
    <row r="526" spans="1:6" ht="14.15" customHeight="1" x14ac:dyDescent="0.35">
      <c r="A526" s="213" t="s">
        <v>3705</v>
      </c>
      <c r="B526" s="278" t="s">
        <v>10697</v>
      </c>
      <c r="C526" s="279" t="s">
        <v>10698</v>
      </c>
      <c r="D526" s="268"/>
      <c r="E526" s="295" t="s">
        <v>10697</v>
      </c>
      <c r="F526" s="296" t="s">
        <v>10698</v>
      </c>
    </row>
    <row r="527" spans="1:6" ht="14.15" customHeight="1" x14ac:dyDescent="0.35">
      <c r="A527" s="213" t="s">
        <v>3705</v>
      </c>
      <c r="B527" s="278" t="s">
        <v>10699</v>
      </c>
      <c r="C527" s="279" t="s">
        <v>10700</v>
      </c>
      <c r="D527" s="268"/>
      <c r="E527" s="295" t="s">
        <v>10699</v>
      </c>
      <c r="F527" s="296" t="s">
        <v>10700</v>
      </c>
    </row>
    <row r="528" spans="1:6" ht="14.15" customHeight="1" x14ac:dyDescent="0.35">
      <c r="A528" s="352" t="s">
        <v>3705</v>
      </c>
      <c r="B528" s="284" t="s">
        <v>10701</v>
      </c>
      <c r="C528" s="285" t="s">
        <v>10702</v>
      </c>
      <c r="D528" s="268"/>
      <c r="E528" s="295"/>
      <c r="F528" s="296"/>
    </row>
    <row r="529" spans="1:6" ht="14.15" customHeight="1" x14ac:dyDescent="0.35">
      <c r="A529" s="213" t="s">
        <v>3705</v>
      </c>
      <c r="B529" s="278" t="s">
        <v>10703</v>
      </c>
      <c r="C529" s="279" t="s">
        <v>10704</v>
      </c>
      <c r="D529" s="268"/>
      <c r="E529" s="295" t="s">
        <v>10703</v>
      </c>
      <c r="F529" s="296" t="s">
        <v>10704</v>
      </c>
    </row>
    <row r="530" spans="1:6" ht="14.15" customHeight="1" x14ac:dyDescent="0.35">
      <c r="A530" s="213" t="s">
        <v>3705</v>
      </c>
      <c r="B530" s="278" t="s">
        <v>10705</v>
      </c>
      <c r="C530" s="279" t="s">
        <v>10706</v>
      </c>
      <c r="D530" s="268"/>
      <c r="E530" s="295" t="s">
        <v>10705</v>
      </c>
      <c r="F530" s="296" t="s">
        <v>10706</v>
      </c>
    </row>
    <row r="531" spans="1:6" ht="14.15" customHeight="1" x14ac:dyDescent="0.35">
      <c r="A531" s="213" t="s">
        <v>3705</v>
      </c>
      <c r="B531" s="278" t="s">
        <v>10707</v>
      </c>
      <c r="C531" s="279" t="s">
        <v>10708</v>
      </c>
      <c r="D531" s="268"/>
      <c r="E531" s="295" t="s">
        <v>10707</v>
      </c>
      <c r="F531" s="296" t="s">
        <v>10708</v>
      </c>
    </row>
    <row r="532" spans="1:6" ht="14.15" customHeight="1" x14ac:dyDescent="0.35">
      <c r="A532" s="213" t="s">
        <v>3705</v>
      </c>
      <c r="B532" s="278" t="s">
        <v>10709</v>
      </c>
      <c r="C532" s="279" t="s">
        <v>10710</v>
      </c>
      <c r="D532" s="268"/>
      <c r="E532" s="295" t="s">
        <v>10709</v>
      </c>
      <c r="F532" s="296" t="s">
        <v>10710</v>
      </c>
    </row>
    <row r="533" spans="1:6" ht="14.15" customHeight="1" x14ac:dyDescent="0.35">
      <c r="A533" s="213" t="s">
        <v>3705</v>
      </c>
      <c r="B533" s="278" t="s">
        <v>10711</v>
      </c>
      <c r="C533" s="279" t="s">
        <v>10712</v>
      </c>
      <c r="D533" s="268"/>
      <c r="E533" s="295" t="s">
        <v>10711</v>
      </c>
      <c r="F533" s="296" t="s">
        <v>10712</v>
      </c>
    </row>
    <row r="534" spans="1:6" ht="14.15" customHeight="1" x14ac:dyDescent="0.35">
      <c r="A534" s="282" t="s">
        <v>3705</v>
      </c>
      <c r="B534" s="278" t="s">
        <v>10713</v>
      </c>
      <c r="C534" s="283" t="s">
        <v>10714</v>
      </c>
      <c r="D534" s="268"/>
      <c r="E534" s="295" t="s">
        <v>10713</v>
      </c>
      <c r="F534" s="296" t="s">
        <v>10715</v>
      </c>
    </row>
    <row r="535" spans="1:6" ht="14.15" customHeight="1" x14ac:dyDescent="0.35">
      <c r="A535" s="213" t="s">
        <v>3705</v>
      </c>
      <c r="B535" s="278" t="s">
        <v>10716</v>
      </c>
      <c r="C535" s="279" t="s">
        <v>10717</v>
      </c>
      <c r="D535" s="268"/>
      <c r="E535" s="295" t="s">
        <v>10716</v>
      </c>
      <c r="F535" s="296" t="s">
        <v>10717</v>
      </c>
    </row>
    <row r="536" spans="1:6" ht="14.15" customHeight="1" x14ac:dyDescent="0.35">
      <c r="A536" s="352" t="s">
        <v>3705</v>
      </c>
      <c r="B536" s="284" t="s">
        <v>10718</v>
      </c>
      <c r="C536" s="285" t="s">
        <v>10719</v>
      </c>
      <c r="D536" s="268"/>
      <c r="E536" s="295"/>
      <c r="F536" s="296"/>
    </row>
    <row r="537" spans="1:6" ht="14.15" customHeight="1" x14ac:dyDescent="0.35">
      <c r="A537" s="213" t="s">
        <v>3705</v>
      </c>
      <c r="B537" s="278" t="s">
        <v>10720</v>
      </c>
      <c r="C537" s="279" t="s">
        <v>10721</v>
      </c>
      <c r="D537" s="268"/>
      <c r="E537" s="295" t="s">
        <v>10720</v>
      </c>
      <c r="F537" s="296" t="s">
        <v>10721</v>
      </c>
    </row>
    <row r="538" spans="1:6" ht="14.15" customHeight="1" x14ac:dyDescent="0.35">
      <c r="A538" s="213" t="s">
        <v>3705</v>
      </c>
      <c r="B538" s="278" t="s">
        <v>10722</v>
      </c>
      <c r="C538" s="279" t="s">
        <v>10723</v>
      </c>
      <c r="D538" s="268"/>
      <c r="E538" s="295" t="s">
        <v>10722</v>
      </c>
      <c r="F538" s="296" t="s">
        <v>10723</v>
      </c>
    </row>
    <row r="539" spans="1:6" ht="14.15" customHeight="1" x14ac:dyDescent="0.35">
      <c r="A539" s="213" t="s">
        <v>3705</v>
      </c>
      <c r="B539" s="278" t="s">
        <v>10724</v>
      </c>
      <c r="C539" s="279" t="s">
        <v>10725</v>
      </c>
      <c r="D539" s="268"/>
      <c r="E539" s="295" t="s">
        <v>10724</v>
      </c>
      <c r="F539" s="296" t="s">
        <v>10725</v>
      </c>
    </row>
    <row r="540" spans="1:6" ht="14.15" customHeight="1" x14ac:dyDescent="0.35">
      <c r="A540" s="213" t="s">
        <v>3705</v>
      </c>
      <c r="B540" s="278" t="s">
        <v>10726</v>
      </c>
      <c r="C540" s="279" t="s">
        <v>10727</v>
      </c>
      <c r="D540" s="268"/>
      <c r="E540" s="295" t="s">
        <v>10726</v>
      </c>
      <c r="F540" s="296" t="s">
        <v>10727</v>
      </c>
    </row>
    <row r="541" spans="1:6" ht="14.15" customHeight="1" x14ac:dyDescent="0.35">
      <c r="A541" s="213" t="s">
        <v>3705</v>
      </c>
      <c r="B541" s="278" t="s">
        <v>10728</v>
      </c>
      <c r="C541" s="279" t="s">
        <v>10729</v>
      </c>
      <c r="D541" s="268"/>
      <c r="E541" s="295" t="s">
        <v>10728</v>
      </c>
      <c r="F541" s="296" t="s">
        <v>10729</v>
      </c>
    </row>
    <row r="542" spans="1:6" ht="14.15" customHeight="1" x14ac:dyDescent="0.35">
      <c r="A542" s="213" t="s">
        <v>3705</v>
      </c>
      <c r="B542" s="278" t="s">
        <v>10730</v>
      </c>
      <c r="C542" s="279" t="s">
        <v>10731</v>
      </c>
      <c r="D542" s="268"/>
      <c r="E542" s="295" t="s">
        <v>10730</v>
      </c>
      <c r="F542" s="296" t="s">
        <v>10731</v>
      </c>
    </row>
    <row r="543" spans="1:6" ht="14.15" customHeight="1" x14ac:dyDescent="0.35">
      <c r="A543" s="213" t="s">
        <v>3705</v>
      </c>
      <c r="B543" s="278" t="s">
        <v>10732</v>
      </c>
      <c r="C543" s="279" t="s">
        <v>10733</v>
      </c>
      <c r="D543" s="268"/>
      <c r="E543" s="295" t="s">
        <v>10732</v>
      </c>
      <c r="F543" s="296" t="s">
        <v>10733</v>
      </c>
    </row>
    <row r="544" spans="1:6" ht="14.15" customHeight="1" x14ac:dyDescent="0.35">
      <c r="A544" s="213" t="s">
        <v>3705</v>
      </c>
      <c r="B544" s="278" t="s">
        <v>10734</v>
      </c>
      <c r="C544" s="279" t="s">
        <v>10735</v>
      </c>
      <c r="D544" s="268"/>
      <c r="E544" s="295" t="s">
        <v>10734</v>
      </c>
      <c r="F544" s="296" t="s">
        <v>10735</v>
      </c>
    </row>
    <row r="545" spans="1:6" ht="14.15" customHeight="1" x14ac:dyDescent="0.35">
      <c r="A545" s="213" t="s">
        <v>3705</v>
      </c>
      <c r="B545" s="278" t="s">
        <v>10736</v>
      </c>
      <c r="C545" s="279" t="s">
        <v>10737</v>
      </c>
      <c r="D545" s="268"/>
      <c r="E545" s="295" t="s">
        <v>10736</v>
      </c>
      <c r="F545" s="296" t="s">
        <v>10737</v>
      </c>
    </row>
    <row r="546" spans="1:6" ht="14.15" customHeight="1" x14ac:dyDescent="0.35">
      <c r="A546" s="213" t="s">
        <v>3705</v>
      </c>
      <c r="B546" s="278" t="s">
        <v>10738</v>
      </c>
      <c r="C546" s="279" t="s">
        <v>10739</v>
      </c>
      <c r="D546" s="268"/>
      <c r="E546" s="295" t="s">
        <v>10738</v>
      </c>
      <c r="F546" s="296" t="s">
        <v>10739</v>
      </c>
    </row>
    <row r="547" spans="1:6" ht="14.15" customHeight="1" x14ac:dyDescent="0.35">
      <c r="A547" s="213" t="s">
        <v>3705</v>
      </c>
      <c r="B547" s="278" t="s">
        <v>10740</v>
      </c>
      <c r="C547" s="279" t="s">
        <v>10741</v>
      </c>
      <c r="D547" s="268"/>
      <c r="E547" s="295" t="s">
        <v>10740</v>
      </c>
      <c r="F547" s="296" t="s">
        <v>10741</v>
      </c>
    </row>
    <row r="548" spans="1:6" ht="14.15" customHeight="1" x14ac:dyDescent="0.35">
      <c r="A548" s="278" t="s">
        <v>3705</v>
      </c>
      <c r="B548" s="278" t="s">
        <v>10742</v>
      </c>
      <c r="C548" s="279" t="s">
        <v>10743</v>
      </c>
      <c r="D548" s="268"/>
      <c r="E548" s="295" t="s">
        <v>10742</v>
      </c>
      <c r="F548" s="296" t="s">
        <v>10743</v>
      </c>
    </row>
    <row r="549" spans="1:6" ht="14.15" customHeight="1" x14ac:dyDescent="0.35">
      <c r="A549" s="213" t="s">
        <v>3705</v>
      </c>
      <c r="B549" s="278" t="s">
        <v>10744</v>
      </c>
      <c r="C549" s="279" t="s">
        <v>10745</v>
      </c>
      <c r="D549" s="268"/>
      <c r="E549" s="295" t="s">
        <v>10744</v>
      </c>
      <c r="F549" s="296" t="s">
        <v>10745</v>
      </c>
    </row>
    <row r="550" spans="1:6" ht="14.15" customHeight="1" x14ac:dyDescent="0.35">
      <c r="A550" s="213" t="s">
        <v>3705</v>
      </c>
      <c r="B550" s="278" t="s">
        <v>10746</v>
      </c>
      <c r="C550" s="279" t="s">
        <v>10747</v>
      </c>
      <c r="D550" s="268"/>
      <c r="E550" s="295" t="s">
        <v>10746</v>
      </c>
      <c r="F550" s="296" t="s">
        <v>10747</v>
      </c>
    </row>
    <row r="551" spans="1:6" ht="14.15" customHeight="1" x14ac:dyDescent="0.35">
      <c r="A551" s="213" t="s">
        <v>3705</v>
      </c>
      <c r="B551" s="278" t="s">
        <v>10748</v>
      </c>
      <c r="C551" s="279" t="s">
        <v>10749</v>
      </c>
      <c r="D551" s="268"/>
      <c r="E551" s="295" t="s">
        <v>10748</v>
      </c>
      <c r="F551" s="296" t="s">
        <v>10749</v>
      </c>
    </row>
    <row r="552" spans="1:6" ht="14.15" customHeight="1" x14ac:dyDescent="0.35">
      <c r="A552" s="213" t="s">
        <v>3705</v>
      </c>
      <c r="B552" s="278" t="s">
        <v>10750</v>
      </c>
      <c r="C552" s="279" t="s">
        <v>10751</v>
      </c>
      <c r="D552" s="268"/>
      <c r="E552" s="295" t="s">
        <v>10750</v>
      </c>
      <c r="F552" s="296" t="s">
        <v>10751</v>
      </c>
    </row>
    <row r="553" spans="1:6" ht="14.15" customHeight="1" x14ac:dyDescent="0.35">
      <c r="A553" s="213" t="s">
        <v>3705</v>
      </c>
      <c r="B553" s="278" t="s">
        <v>10752</v>
      </c>
      <c r="C553" s="279" t="s">
        <v>10753</v>
      </c>
      <c r="D553" s="268"/>
      <c r="E553" s="295" t="s">
        <v>10752</v>
      </c>
      <c r="F553" s="296" t="s">
        <v>10753</v>
      </c>
    </row>
    <row r="554" spans="1:6" ht="14.15" customHeight="1" x14ac:dyDescent="0.35">
      <c r="A554" s="213" t="s">
        <v>3705</v>
      </c>
      <c r="B554" s="278" t="s">
        <v>10754</v>
      </c>
      <c r="C554" s="279" t="s">
        <v>10755</v>
      </c>
      <c r="D554" s="268"/>
      <c r="E554" s="295" t="s">
        <v>10754</v>
      </c>
      <c r="F554" s="296" t="s">
        <v>10755</v>
      </c>
    </row>
    <row r="555" spans="1:6" ht="14.15" customHeight="1" x14ac:dyDescent="0.35">
      <c r="A555" s="213" t="s">
        <v>3705</v>
      </c>
      <c r="B555" s="278" t="s">
        <v>10756</v>
      </c>
      <c r="C555" s="279" t="s">
        <v>10757</v>
      </c>
      <c r="D555" s="268"/>
      <c r="E555" s="295" t="s">
        <v>10756</v>
      </c>
      <c r="F555" s="296" t="s">
        <v>10757</v>
      </c>
    </row>
    <row r="556" spans="1:6" ht="14.15" customHeight="1" x14ac:dyDescent="0.35">
      <c r="A556" s="213" t="s">
        <v>3705</v>
      </c>
      <c r="B556" s="278" t="s">
        <v>10758</v>
      </c>
      <c r="C556" s="279" t="s">
        <v>10759</v>
      </c>
      <c r="D556" s="268"/>
      <c r="E556" s="295" t="s">
        <v>10758</v>
      </c>
      <c r="F556" s="296" t="s">
        <v>10759</v>
      </c>
    </row>
    <row r="557" spans="1:6" ht="14.15" customHeight="1" x14ac:dyDescent="0.35">
      <c r="A557" s="213" t="s">
        <v>3705</v>
      </c>
      <c r="B557" s="278" t="s">
        <v>10760</v>
      </c>
      <c r="C557" s="279" t="s">
        <v>10761</v>
      </c>
      <c r="D557" s="268"/>
      <c r="E557" s="295" t="s">
        <v>10760</v>
      </c>
      <c r="F557" s="296" t="s">
        <v>10761</v>
      </c>
    </row>
    <row r="558" spans="1:6" ht="14.15" customHeight="1" x14ac:dyDescent="0.35">
      <c r="A558" s="213" t="s">
        <v>3705</v>
      </c>
      <c r="B558" s="278" t="s">
        <v>10762</v>
      </c>
      <c r="C558" s="279" t="s">
        <v>10763</v>
      </c>
      <c r="D558" s="268"/>
      <c r="E558" s="295" t="s">
        <v>10762</v>
      </c>
      <c r="F558" s="296" t="s">
        <v>10763</v>
      </c>
    </row>
    <row r="559" spans="1:6" ht="14.15" customHeight="1" x14ac:dyDescent="0.35">
      <c r="A559" s="213" t="s">
        <v>3705</v>
      </c>
      <c r="B559" s="278" t="s">
        <v>10764</v>
      </c>
      <c r="C559" s="279" t="s">
        <v>10765</v>
      </c>
      <c r="D559" s="268"/>
      <c r="E559" s="295" t="s">
        <v>10764</v>
      </c>
      <c r="F559" s="296" t="s">
        <v>10765</v>
      </c>
    </row>
    <row r="560" spans="1:6" ht="14.15" customHeight="1" x14ac:dyDescent="0.35">
      <c r="A560" s="213" t="s">
        <v>3705</v>
      </c>
      <c r="B560" s="278" t="s">
        <v>10766</v>
      </c>
      <c r="C560" s="279" t="s">
        <v>10767</v>
      </c>
      <c r="D560" s="268"/>
      <c r="E560" s="295" t="s">
        <v>10766</v>
      </c>
      <c r="F560" s="296" t="s">
        <v>10767</v>
      </c>
    </row>
    <row r="561" spans="1:6" ht="14.15" customHeight="1" x14ac:dyDescent="0.35">
      <c r="A561" s="213" t="s">
        <v>3705</v>
      </c>
      <c r="B561" s="278" t="s">
        <v>10768</v>
      </c>
      <c r="C561" s="279" t="s">
        <v>10769</v>
      </c>
      <c r="D561" s="268"/>
      <c r="E561" s="295" t="s">
        <v>10768</v>
      </c>
      <c r="F561" s="296" t="s">
        <v>10769</v>
      </c>
    </row>
    <row r="562" spans="1:6" ht="14.15" customHeight="1" x14ac:dyDescent="0.35">
      <c r="A562" s="213" t="s">
        <v>3705</v>
      </c>
      <c r="B562" s="278" t="s">
        <v>10770</v>
      </c>
      <c r="C562" s="279" t="s">
        <v>10771</v>
      </c>
      <c r="D562" s="268"/>
      <c r="E562" s="295" t="s">
        <v>10770</v>
      </c>
      <c r="F562" s="296" t="s">
        <v>10771</v>
      </c>
    </row>
    <row r="563" spans="1:6" ht="14.15" customHeight="1" x14ac:dyDescent="0.35">
      <c r="A563" s="213" t="s">
        <v>3705</v>
      </c>
      <c r="B563" s="278" t="s">
        <v>10772</v>
      </c>
      <c r="C563" s="279" t="s">
        <v>10773</v>
      </c>
      <c r="D563" s="268"/>
      <c r="E563" s="295" t="s">
        <v>10772</v>
      </c>
      <c r="F563" s="296" t="s">
        <v>10773</v>
      </c>
    </row>
    <row r="564" spans="1:6" ht="14.15" customHeight="1" x14ac:dyDescent="0.35">
      <c r="A564" s="213" t="s">
        <v>3705</v>
      </c>
      <c r="B564" s="278" t="s">
        <v>10774</v>
      </c>
      <c r="C564" s="279" t="s">
        <v>10775</v>
      </c>
      <c r="D564" s="268"/>
      <c r="E564" s="295" t="s">
        <v>10774</v>
      </c>
      <c r="F564" s="296" t="s">
        <v>10775</v>
      </c>
    </row>
    <row r="565" spans="1:6" ht="14.15" customHeight="1" x14ac:dyDescent="0.35">
      <c r="A565" s="213" t="s">
        <v>3705</v>
      </c>
      <c r="B565" s="278" t="s">
        <v>10776</v>
      </c>
      <c r="C565" s="279" t="s">
        <v>10777</v>
      </c>
      <c r="D565" s="268"/>
      <c r="E565" s="295" t="s">
        <v>10776</v>
      </c>
      <c r="F565" s="296" t="s">
        <v>10777</v>
      </c>
    </row>
    <row r="566" spans="1:6" ht="14.15" customHeight="1" x14ac:dyDescent="0.35">
      <c r="A566" s="213" t="s">
        <v>3705</v>
      </c>
      <c r="B566" s="278" t="s">
        <v>10778</v>
      </c>
      <c r="C566" s="279" t="s">
        <v>10779</v>
      </c>
      <c r="D566" s="268"/>
      <c r="E566" s="295" t="s">
        <v>10778</v>
      </c>
      <c r="F566" s="296" t="s">
        <v>10779</v>
      </c>
    </row>
    <row r="567" spans="1:6" ht="14.15" customHeight="1" x14ac:dyDescent="0.35">
      <c r="A567" s="213" t="s">
        <v>3705</v>
      </c>
      <c r="B567" s="278" t="s">
        <v>10780</v>
      </c>
      <c r="C567" s="279" t="s">
        <v>10781</v>
      </c>
      <c r="D567" s="268"/>
      <c r="E567" s="295" t="s">
        <v>10780</v>
      </c>
      <c r="F567" s="296" t="s">
        <v>10782</v>
      </c>
    </row>
    <row r="568" spans="1:6" ht="14.15" customHeight="1" x14ac:dyDescent="0.35">
      <c r="A568" s="213" t="s">
        <v>3705</v>
      </c>
      <c r="B568" s="278" t="s">
        <v>10783</v>
      </c>
      <c r="C568" s="279" t="s">
        <v>10784</v>
      </c>
      <c r="D568" s="268"/>
      <c r="E568" s="295" t="s">
        <v>10783</v>
      </c>
      <c r="F568" s="296" t="s">
        <v>10784</v>
      </c>
    </row>
    <row r="569" spans="1:6" ht="14.15" customHeight="1" x14ac:dyDescent="0.35">
      <c r="A569" s="213" t="s">
        <v>3705</v>
      </c>
      <c r="B569" s="278" t="s">
        <v>10785</v>
      </c>
      <c r="C569" s="279" t="s">
        <v>10786</v>
      </c>
      <c r="D569" s="268"/>
      <c r="E569" s="295" t="s">
        <v>10785</v>
      </c>
      <c r="F569" s="296" t="s">
        <v>10786</v>
      </c>
    </row>
    <row r="570" spans="1:6" ht="14.15" customHeight="1" x14ac:dyDescent="0.35">
      <c r="A570" s="213" t="s">
        <v>3705</v>
      </c>
      <c r="B570" s="278" t="s">
        <v>10787</v>
      </c>
      <c r="C570" s="279" t="s">
        <v>10788</v>
      </c>
      <c r="D570" s="268"/>
      <c r="E570" s="295" t="s">
        <v>10787</v>
      </c>
      <c r="F570" s="296" t="s">
        <v>10788</v>
      </c>
    </row>
    <row r="571" spans="1:6" ht="14.15" customHeight="1" x14ac:dyDescent="0.35">
      <c r="A571" s="213" t="s">
        <v>3705</v>
      </c>
      <c r="B571" s="278" t="s">
        <v>10789</v>
      </c>
      <c r="C571" s="279" t="s">
        <v>10790</v>
      </c>
      <c r="D571" s="268"/>
      <c r="E571" s="295" t="s">
        <v>10789</v>
      </c>
      <c r="F571" s="296" t="s">
        <v>10790</v>
      </c>
    </row>
    <row r="572" spans="1:6" ht="14.15" customHeight="1" x14ac:dyDescent="0.35">
      <c r="A572" s="213" t="s">
        <v>3705</v>
      </c>
      <c r="B572" s="278" t="s">
        <v>10791</v>
      </c>
      <c r="C572" s="279" t="s">
        <v>10792</v>
      </c>
      <c r="D572" s="268"/>
      <c r="E572" s="295" t="s">
        <v>10791</v>
      </c>
      <c r="F572" s="296" t="s">
        <v>10792</v>
      </c>
    </row>
    <row r="573" spans="1:6" ht="14.15" customHeight="1" x14ac:dyDescent="0.35">
      <c r="A573" s="213" t="s">
        <v>3705</v>
      </c>
      <c r="B573" s="278" t="s">
        <v>10793</v>
      </c>
      <c r="C573" s="279" t="s">
        <v>10794</v>
      </c>
      <c r="D573" s="268"/>
      <c r="E573" s="295" t="s">
        <v>10793</v>
      </c>
      <c r="F573" s="296" t="s">
        <v>10794</v>
      </c>
    </row>
    <row r="574" spans="1:6" ht="14.15" customHeight="1" x14ac:dyDescent="0.35">
      <c r="A574" s="213" t="s">
        <v>3705</v>
      </c>
      <c r="B574" s="278" t="s">
        <v>10795</v>
      </c>
      <c r="C574" s="279" t="s">
        <v>10796</v>
      </c>
      <c r="D574" s="268"/>
      <c r="E574" s="295" t="s">
        <v>10795</v>
      </c>
      <c r="F574" s="296" t="s">
        <v>10796</v>
      </c>
    </row>
    <row r="575" spans="1:6" ht="14.15" customHeight="1" x14ac:dyDescent="0.35">
      <c r="A575" s="213" t="s">
        <v>3705</v>
      </c>
      <c r="B575" s="278" t="s">
        <v>10797</v>
      </c>
      <c r="C575" s="279" t="s">
        <v>10798</v>
      </c>
      <c r="D575" s="268"/>
      <c r="E575" s="295" t="s">
        <v>10797</v>
      </c>
      <c r="F575" s="296" t="s">
        <v>10798</v>
      </c>
    </row>
    <row r="576" spans="1:6" ht="14.15" customHeight="1" x14ac:dyDescent="0.35">
      <c r="A576" s="213" t="s">
        <v>3705</v>
      </c>
      <c r="B576" s="278" t="s">
        <v>10799</v>
      </c>
      <c r="C576" s="279" t="s">
        <v>10800</v>
      </c>
      <c r="D576" s="268"/>
      <c r="E576" s="295" t="s">
        <v>10799</v>
      </c>
      <c r="F576" s="296" t="s">
        <v>10800</v>
      </c>
    </row>
    <row r="577" spans="1:6" ht="14.15" customHeight="1" x14ac:dyDescent="0.35">
      <c r="A577" s="213" t="s">
        <v>3705</v>
      </c>
      <c r="B577" s="278" t="s">
        <v>10801</v>
      </c>
      <c r="C577" s="279" t="s">
        <v>10802</v>
      </c>
      <c r="D577" s="268"/>
      <c r="E577" s="295" t="s">
        <v>10801</v>
      </c>
      <c r="F577" s="296" t="s">
        <v>10802</v>
      </c>
    </row>
    <row r="578" spans="1:6" ht="14.15" customHeight="1" x14ac:dyDescent="0.35">
      <c r="A578" s="213" t="s">
        <v>3705</v>
      </c>
      <c r="B578" s="278" t="s">
        <v>10803</v>
      </c>
      <c r="C578" s="279" t="s">
        <v>10804</v>
      </c>
      <c r="D578" s="268"/>
      <c r="E578" s="295" t="s">
        <v>10803</v>
      </c>
      <c r="F578" s="296" t="s">
        <v>10804</v>
      </c>
    </row>
    <row r="579" spans="1:6" ht="14.15" customHeight="1" x14ac:dyDescent="0.35">
      <c r="A579" s="213" t="s">
        <v>3705</v>
      </c>
      <c r="B579" s="278" t="s">
        <v>10805</v>
      </c>
      <c r="C579" s="279" t="s">
        <v>10806</v>
      </c>
      <c r="D579" s="268"/>
      <c r="E579" s="295" t="s">
        <v>10805</v>
      </c>
      <c r="F579" s="296" t="s">
        <v>10806</v>
      </c>
    </row>
    <row r="580" spans="1:6" ht="14.15" customHeight="1" x14ac:dyDescent="0.35">
      <c r="A580" s="213" t="s">
        <v>3705</v>
      </c>
      <c r="B580" s="278" t="s">
        <v>10807</v>
      </c>
      <c r="C580" s="279" t="s">
        <v>10808</v>
      </c>
      <c r="D580" s="268"/>
      <c r="E580" s="295" t="s">
        <v>10807</v>
      </c>
      <c r="F580" s="296" t="s">
        <v>10808</v>
      </c>
    </row>
    <row r="581" spans="1:6" s="378" customFormat="1" ht="14.15" customHeight="1" x14ac:dyDescent="0.35">
      <c r="A581" s="352" t="s">
        <v>3705</v>
      </c>
      <c r="B581" s="379" t="s">
        <v>10809</v>
      </c>
      <c r="C581" s="380" t="s">
        <v>10810</v>
      </c>
      <c r="D581" s="376"/>
      <c r="E581" s="376"/>
      <c r="F581" s="377"/>
    </row>
    <row r="582" spans="1:6" ht="14.15" customHeight="1" x14ac:dyDescent="0.35">
      <c r="A582" s="213" t="s">
        <v>3705</v>
      </c>
      <c r="B582" s="278" t="s">
        <v>10811</v>
      </c>
      <c r="C582" s="279" t="s">
        <v>10812</v>
      </c>
      <c r="D582" s="268"/>
      <c r="E582" s="295" t="s">
        <v>10811</v>
      </c>
      <c r="F582" s="296" t="s">
        <v>10812</v>
      </c>
    </row>
    <row r="583" spans="1:6" ht="14.15" customHeight="1" x14ac:dyDescent="0.35">
      <c r="A583" s="213" t="s">
        <v>3705</v>
      </c>
      <c r="B583" s="278" t="s">
        <v>10813</v>
      </c>
      <c r="C583" s="279" t="s">
        <v>10814</v>
      </c>
      <c r="D583" s="268"/>
      <c r="E583" s="295" t="s">
        <v>10813</v>
      </c>
      <c r="F583" s="296" t="s">
        <v>10814</v>
      </c>
    </row>
    <row r="584" spans="1:6" ht="14.15" customHeight="1" x14ac:dyDescent="0.35">
      <c r="A584" s="213" t="s">
        <v>3705</v>
      </c>
      <c r="B584" s="278" t="s">
        <v>10815</v>
      </c>
      <c r="C584" s="279" t="s">
        <v>10816</v>
      </c>
      <c r="D584" s="268"/>
      <c r="E584" s="295" t="s">
        <v>10815</v>
      </c>
      <c r="F584" s="296" t="s">
        <v>10816</v>
      </c>
    </row>
    <row r="585" spans="1:6" ht="14.15" customHeight="1" x14ac:dyDescent="0.35">
      <c r="A585" s="213" t="s">
        <v>3705</v>
      </c>
      <c r="B585" s="278" t="s">
        <v>10817</v>
      </c>
      <c r="C585" s="279" t="s">
        <v>10818</v>
      </c>
      <c r="D585" s="268"/>
      <c r="E585" s="295" t="s">
        <v>10817</v>
      </c>
      <c r="F585" s="296" t="s">
        <v>10818</v>
      </c>
    </row>
    <row r="586" spans="1:6" ht="14.15" customHeight="1" x14ac:dyDescent="0.35">
      <c r="A586" s="213" t="s">
        <v>3705</v>
      </c>
      <c r="B586" s="278" t="s">
        <v>10819</v>
      </c>
      <c r="C586" s="279" t="s">
        <v>10820</v>
      </c>
      <c r="D586" s="268"/>
      <c r="E586" s="295" t="s">
        <v>10819</v>
      </c>
      <c r="F586" s="296" t="s">
        <v>10820</v>
      </c>
    </row>
    <row r="587" spans="1:6" ht="14.15" customHeight="1" x14ac:dyDescent="0.35">
      <c r="A587" s="213" t="s">
        <v>3705</v>
      </c>
      <c r="B587" s="278" t="s">
        <v>10821</v>
      </c>
      <c r="C587" s="279" t="s">
        <v>10822</v>
      </c>
      <c r="D587" s="268"/>
      <c r="E587" s="295" t="s">
        <v>10821</v>
      </c>
      <c r="F587" s="296" t="s">
        <v>10822</v>
      </c>
    </row>
    <row r="588" spans="1:6" ht="14.15" customHeight="1" x14ac:dyDescent="0.35">
      <c r="A588" s="213" t="s">
        <v>3705</v>
      </c>
      <c r="B588" s="278" t="s">
        <v>10823</v>
      </c>
      <c r="C588" s="279" t="s">
        <v>10824</v>
      </c>
      <c r="D588" s="268"/>
      <c r="E588" s="295" t="s">
        <v>10823</v>
      </c>
      <c r="F588" s="296" t="s">
        <v>10824</v>
      </c>
    </row>
    <row r="589" spans="1:6" ht="14.15" customHeight="1" x14ac:dyDescent="0.35">
      <c r="A589" s="213" t="s">
        <v>3705</v>
      </c>
      <c r="B589" s="278" t="s">
        <v>10825</v>
      </c>
      <c r="C589" s="279" t="s">
        <v>10826</v>
      </c>
      <c r="D589" s="268"/>
      <c r="E589" s="295" t="s">
        <v>10825</v>
      </c>
      <c r="F589" s="296" t="s">
        <v>10826</v>
      </c>
    </row>
    <row r="590" spans="1:6" ht="14.15" customHeight="1" x14ac:dyDescent="0.35">
      <c r="A590" s="213" t="s">
        <v>3705</v>
      </c>
      <c r="B590" s="278" t="s">
        <v>10827</v>
      </c>
      <c r="C590" s="279" t="s">
        <v>10828</v>
      </c>
      <c r="D590" s="268"/>
      <c r="E590" s="295" t="s">
        <v>10827</v>
      </c>
      <c r="F590" s="296" t="s">
        <v>10828</v>
      </c>
    </row>
    <row r="591" spans="1:6" ht="14.15" customHeight="1" x14ac:dyDescent="0.35">
      <c r="A591" s="213" t="s">
        <v>3705</v>
      </c>
      <c r="B591" s="278" t="s">
        <v>10829</v>
      </c>
      <c r="C591" s="279" t="s">
        <v>10830</v>
      </c>
      <c r="D591" s="268"/>
      <c r="E591" s="295" t="s">
        <v>10829</v>
      </c>
      <c r="F591" s="296" t="s">
        <v>10830</v>
      </c>
    </row>
    <row r="592" spans="1:6" ht="14.15" customHeight="1" x14ac:dyDescent="0.35">
      <c r="A592" s="213" t="s">
        <v>3705</v>
      </c>
      <c r="B592" s="278" t="s">
        <v>10831</v>
      </c>
      <c r="C592" s="279" t="s">
        <v>10832</v>
      </c>
      <c r="D592" s="268"/>
      <c r="E592" s="295" t="s">
        <v>10831</v>
      </c>
      <c r="F592" s="296" t="s">
        <v>10832</v>
      </c>
    </row>
    <row r="593" spans="1:6" ht="14.15" customHeight="1" x14ac:dyDescent="0.35">
      <c r="A593" s="213" t="s">
        <v>3705</v>
      </c>
      <c r="B593" s="278" t="s">
        <v>10833</v>
      </c>
      <c r="C593" s="279" t="s">
        <v>10834</v>
      </c>
      <c r="D593" s="268"/>
      <c r="E593" s="295" t="s">
        <v>10833</v>
      </c>
      <c r="F593" s="296" t="s">
        <v>10834</v>
      </c>
    </row>
    <row r="594" spans="1:6" ht="14.15" customHeight="1" x14ac:dyDescent="0.35">
      <c r="A594" s="286" t="s">
        <v>3705</v>
      </c>
      <c r="B594" s="278" t="s">
        <v>10835</v>
      </c>
      <c r="C594" s="283" t="s">
        <v>10836</v>
      </c>
      <c r="D594" s="268"/>
      <c r="E594" s="295" t="s">
        <v>10835</v>
      </c>
      <c r="F594" s="296" t="s">
        <v>10837</v>
      </c>
    </row>
    <row r="595" spans="1:6" ht="14.15" customHeight="1" x14ac:dyDescent="0.35">
      <c r="A595" s="213" t="s">
        <v>3705</v>
      </c>
      <c r="B595" s="278" t="s">
        <v>10838</v>
      </c>
      <c r="C595" s="279" t="s">
        <v>10839</v>
      </c>
      <c r="D595" s="268"/>
      <c r="E595" s="295" t="s">
        <v>10838</v>
      </c>
      <c r="F595" s="296" t="s">
        <v>10839</v>
      </c>
    </row>
    <row r="596" spans="1:6" ht="14.15" customHeight="1" x14ac:dyDescent="0.35">
      <c r="A596" s="213" t="s">
        <v>3705</v>
      </c>
      <c r="B596" s="278" t="s">
        <v>10840</v>
      </c>
      <c r="C596" s="279" t="s">
        <v>10841</v>
      </c>
      <c r="D596" s="268"/>
      <c r="E596" s="295" t="s">
        <v>10840</v>
      </c>
      <c r="F596" s="296" t="s">
        <v>10841</v>
      </c>
    </row>
    <row r="597" spans="1:6" ht="14.15" customHeight="1" x14ac:dyDescent="0.35">
      <c r="A597" s="213" t="s">
        <v>3705</v>
      </c>
      <c r="B597" s="278" t="s">
        <v>10842</v>
      </c>
      <c r="C597" s="279" t="s">
        <v>10843</v>
      </c>
      <c r="D597" s="268"/>
      <c r="E597" s="295" t="s">
        <v>10842</v>
      </c>
      <c r="F597" s="296" t="s">
        <v>10843</v>
      </c>
    </row>
    <row r="598" spans="1:6" ht="14.15" customHeight="1" x14ac:dyDescent="0.35">
      <c r="A598" s="213" t="s">
        <v>3705</v>
      </c>
      <c r="B598" s="278" t="s">
        <v>10844</v>
      </c>
      <c r="C598" s="279" t="s">
        <v>10845</v>
      </c>
      <c r="D598" s="268"/>
      <c r="E598" s="295" t="s">
        <v>10844</v>
      </c>
      <c r="F598" s="296" t="s">
        <v>10845</v>
      </c>
    </row>
    <row r="599" spans="1:6" ht="14.15" customHeight="1" x14ac:dyDescent="0.35">
      <c r="A599" s="213" t="s">
        <v>3705</v>
      </c>
      <c r="B599" s="278" t="s">
        <v>10846</v>
      </c>
      <c r="C599" s="279" t="s">
        <v>10847</v>
      </c>
      <c r="D599" s="268"/>
      <c r="E599" s="295" t="s">
        <v>10846</v>
      </c>
      <c r="F599" s="296" t="s">
        <v>10847</v>
      </c>
    </row>
    <row r="600" spans="1:6" ht="14.15" customHeight="1" x14ac:dyDescent="0.35">
      <c r="A600" s="286" t="s">
        <v>3705</v>
      </c>
      <c r="B600" s="278" t="s">
        <v>10848</v>
      </c>
      <c r="C600" s="283" t="s">
        <v>10849</v>
      </c>
      <c r="D600" s="268"/>
      <c r="E600" s="295" t="s">
        <v>10848</v>
      </c>
      <c r="F600" s="296" t="s">
        <v>10850</v>
      </c>
    </row>
    <row r="601" spans="1:6" ht="14.15" customHeight="1" x14ac:dyDescent="0.35">
      <c r="A601" s="213" t="s">
        <v>3705</v>
      </c>
      <c r="B601" s="278" t="s">
        <v>10851</v>
      </c>
      <c r="C601" s="279" t="s">
        <v>10852</v>
      </c>
      <c r="D601" s="268"/>
      <c r="E601" s="295" t="s">
        <v>10851</v>
      </c>
      <c r="F601" s="296" t="s">
        <v>10852</v>
      </c>
    </row>
    <row r="602" spans="1:6" ht="14.15" customHeight="1" x14ac:dyDescent="0.35">
      <c r="A602" s="213" t="s">
        <v>3705</v>
      </c>
      <c r="B602" s="278" t="s">
        <v>10853</v>
      </c>
      <c r="C602" s="279" t="s">
        <v>10854</v>
      </c>
      <c r="D602" s="268"/>
      <c r="E602" s="295" t="s">
        <v>10853</v>
      </c>
      <c r="F602" s="296" t="s">
        <v>10854</v>
      </c>
    </row>
    <row r="603" spans="1:6" ht="14.15" customHeight="1" x14ac:dyDescent="0.35">
      <c r="A603" s="286" t="s">
        <v>3705</v>
      </c>
      <c r="B603" s="278" t="s">
        <v>10855</v>
      </c>
      <c r="C603" s="283" t="s">
        <v>10856</v>
      </c>
      <c r="D603" s="268"/>
      <c r="E603" s="295" t="s">
        <v>10855</v>
      </c>
      <c r="F603" s="296" t="s">
        <v>10857</v>
      </c>
    </row>
    <row r="604" spans="1:6" ht="14.15" customHeight="1" x14ac:dyDescent="0.35">
      <c r="A604" s="286" t="s">
        <v>3705</v>
      </c>
      <c r="B604" s="278" t="s">
        <v>10858</v>
      </c>
      <c r="C604" s="283" t="s">
        <v>10859</v>
      </c>
      <c r="D604" s="268"/>
      <c r="E604" s="295" t="s">
        <v>10858</v>
      </c>
      <c r="F604" s="296" t="s">
        <v>10860</v>
      </c>
    </row>
    <row r="605" spans="1:6" ht="14.15" customHeight="1" x14ac:dyDescent="0.35">
      <c r="A605" s="286" t="s">
        <v>3705</v>
      </c>
      <c r="B605" s="278" t="s">
        <v>10861</v>
      </c>
      <c r="C605" s="283" t="s">
        <v>10862</v>
      </c>
      <c r="D605" s="268"/>
      <c r="E605" s="295" t="s">
        <v>10861</v>
      </c>
      <c r="F605" s="296" t="s">
        <v>10863</v>
      </c>
    </row>
    <row r="606" spans="1:6" ht="14.15" customHeight="1" x14ac:dyDescent="0.35">
      <c r="A606" s="286" t="s">
        <v>3705</v>
      </c>
      <c r="B606" s="278" t="s">
        <v>10864</v>
      </c>
      <c r="C606" s="283" t="s">
        <v>10865</v>
      </c>
      <c r="D606" s="268"/>
      <c r="E606" s="295" t="s">
        <v>10864</v>
      </c>
      <c r="F606" s="296" t="s">
        <v>10866</v>
      </c>
    </row>
    <row r="607" spans="1:6" ht="14.15" customHeight="1" x14ac:dyDescent="0.35">
      <c r="A607" s="286" t="s">
        <v>3705</v>
      </c>
      <c r="B607" s="278" t="s">
        <v>10867</v>
      </c>
      <c r="C607" s="283" t="s">
        <v>10868</v>
      </c>
      <c r="D607" s="268"/>
      <c r="E607" s="295" t="s">
        <v>10867</v>
      </c>
      <c r="F607" s="296" t="s">
        <v>10869</v>
      </c>
    </row>
    <row r="608" spans="1:6" ht="14.15" customHeight="1" x14ac:dyDescent="0.35">
      <c r="A608" s="286" t="s">
        <v>3705</v>
      </c>
      <c r="B608" s="278" t="s">
        <v>10870</v>
      </c>
      <c r="C608" s="283" t="s">
        <v>10871</v>
      </c>
      <c r="D608" s="268"/>
      <c r="E608" s="295" t="s">
        <v>10870</v>
      </c>
      <c r="F608" s="296" t="s">
        <v>10872</v>
      </c>
    </row>
    <row r="609" spans="1:6" ht="14.15" customHeight="1" x14ac:dyDescent="0.35">
      <c r="A609" s="213" t="s">
        <v>3705</v>
      </c>
      <c r="B609" s="278" t="s">
        <v>10873</v>
      </c>
      <c r="C609" s="279" t="s">
        <v>10874</v>
      </c>
      <c r="D609" s="268"/>
      <c r="E609" s="295" t="s">
        <v>10873</v>
      </c>
      <c r="F609" s="296" t="s">
        <v>10874</v>
      </c>
    </row>
    <row r="610" spans="1:6" ht="14.15" customHeight="1" x14ac:dyDescent="0.35">
      <c r="A610" s="213" t="s">
        <v>3705</v>
      </c>
      <c r="B610" s="278" t="s">
        <v>10875</v>
      </c>
      <c r="C610" s="279" t="s">
        <v>10876</v>
      </c>
      <c r="D610" s="268"/>
      <c r="E610" s="295" t="s">
        <v>10875</v>
      </c>
      <c r="F610" s="296" t="s">
        <v>10876</v>
      </c>
    </row>
    <row r="611" spans="1:6" ht="14.15" customHeight="1" x14ac:dyDescent="0.35">
      <c r="A611" s="286" t="s">
        <v>3705</v>
      </c>
      <c r="B611" s="278" t="s">
        <v>10877</v>
      </c>
      <c r="C611" s="283" t="s">
        <v>10878</v>
      </c>
      <c r="D611" s="268"/>
      <c r="E611" s="295">
        <v>900010</v>
      </c>
      <c r="F611" s="296" t="s">
        <v>10879</v>
      </c>
    </row>
    <row r="612" spans="1:6" ht="14.15" customHeight="1" x14ac:dyDescent="0.35">
      <c r="A612" s="286" t="s">
        <v>3705</v>
      </c>
      <c r="B612" s="278" t="s">
        <v>10880</v>
      </c>
      <c r="C612" s="283" t="s">
        <v>10881</v>
      </c>
      <c r="D612" s="268"/>
      <c r="E612" s="295">
        <v>900020</v>
      </c>
      <c r="F612" s="296" t="s">
        <v>10882</v>
      </c>
    </row>
    <row r="613" spans="1:6" ht="14.15" customHeight="1" x14ac:dyDescent="0.35">
      <c r="A613" s="286" t="s">
        <v>3705</v>
      </c>
      <c r="B613" s="278" t="s">
        <v>10883</v>
      </c>
      <c r="C613" s="283" t="s">
        <v>10884</v>
      </c>
      <c r="D613" s="268"/>
      <c r="E613" s="295">
        <v>900030</v>
      </c>
      <c r="F613" s="296" t="s">
        <v>10885</v>
      </c>
    </row>
    <row r="614" spans="1:6" ht="14.15" customHeight="1" x14ac:dyDescent="0.35">
      <c r="A614" s="286" t="s">
        <v>3705</v>
      </c>
      <c r="B614" s="278" t="s">
        <v>10886</v>
      </c>
      <c r="C614" s="283" t="s">
        <v>10887</v>
      </c>
      <c r="D614" s="268"/>
      <c r="E614" s="295">
        <v>900040</v>
      </c>
      <c r="F614" s="296" t="s">
        <v>10888</v>
      </c>
    </row>
    <row r="615" spans="1:6" ht="14.15" customHeight="1" x14ac:dyDescent="0.35">
      <c r="A615" s="286" t="s">
        <v>3705</v>
      </c>
      <c r="B615" s="278" t="s">
        <v>10889</v>
      </c>
      <c r="C615" s="283" t="s">
        <v>10890</v>
      </c>
      <c r="D615" s="268"/>
      <c r="E615" s="295">
        <v>900050</v>
      </c>
      <c r="F615" s="296" t="s">
        <v>10891</v>
      </c>
    </row>
    <row r="616" spans="1:6" ht="14.15" customHeight="1" x14ac:dyDescent="0.35">
      <c r="A616" s="286" t="s">
        <v>3705</v>
      </c>
      <c r="B616" s="278" t="s">
        <v>10892</v>
      </c>
      <c r="C616" s="283" t="s">
        <v>10893</v>
      </c>
      <c r="D616" s="268"/>
      <c r="E616" s="295">
        <v>900060</v>
      </c>
      <c r="F616" s="296" t="s">
        <v>10894</v>
      </c>
    </row>
    <row r="617" spans="1:6" ht="14.15" customHeight="1" x14ac:dyDescent="0.35">
      <c r="B617" s="287"/>
      <c r="C617" s="288"/>
    </row>
    <row r="618" spans="1:6" ht="14.15" customHeight="1" x14ac:dyDescent="0.35">
      <c r="B618" s="287"/>
      <c r="C618" s="288"/>
    </row>
    <row r="619" spans="1:6" ht="14.15" customHeight="1" x14ac:dyDescent="0.35">
      <c r="B619" s="287"/>
      <c r="C619" s="288"/>
    </row>
    <row r="620" spans="1:6" ht="14.15" customHeight="1" x14ac:dyDescent="0.35">
      <c r="B620" s="287"/>
      <c r="C620" s="288"/>
    </row>
    <row r="621" spans="1:6" ht="14.15" customHeight="1" x14ac:dyDescent="0.35">
      <c r="B621" s="287"/>
      <c r="C621" s="288"/>
    </row>
    <row r="622" spans="1:6" ht="14.15" customHeight="1" x14ac:dyDescent="0.35">
      <c r="B622" s="287"/>
      <c r="C622" s="288"/>
    </row>
    <row r="623" spans="1:6" ht="14.15" customHeight="1" x14ac:dyDescent="0.35">
      <c r="B623" s="290"/>
      <c r="C623" s="291"/>
    </row>
    <row r="624" spans="1:6" ht="14.15" customHeight="1" x14ac:dyDescent="0.35">
      <c r="B624" s="287"/>
      <c r="C624" s="288"/>
    </row>
    <row r="625" spans="2:3" ht="14.15" customHeight="1" x14ac:dyDescent="0.35">
      <c r="B625" s="290"/>
      <c r="C625" s="291"/>
    </row>
    <row r="626" spans="2:3" ht="14.15" customHeight="1" x14ac:dyDescent="0.35">
      <c r="B626" s="287"/>
      <c r="C626" s="288"/>
    </row>
    <row r="627" spans="2:3" ht="14.15" customHeight="1" x14ac:dyDescent="0.35">
      <c r="B627" s="287"/>
      <c r="C627" s="288"/>
    </row>
    <row r="628" spans="2:3" ht="14.15" customHeight="1" x14ac:dyDescent="0.35">
      <c r="B628" s="290"/>
      <c r="C628" s="291"/>
    </row>
    <row r="629" spans="2:3" ht="14.15" customHeight="1" x14ac:dyDescent="0.35">
      <c r="B629" s="287"/>
      <c r="C629" s="288"/>
    </row>
    <row r="630" spans="2:3" ht="14.15" customHeight="1" x14ac:dyDescent="0.35">
      <c r="B630" s="287"/>
      <c r="C630" s="288"/>
    </row>
    <row r="631" spans="2:3" ht="14.15" customHeight="1" x14ac:dyDescent="0.35">
      <c r="B631" s="287"/>
      <c r="C631" s="288"/>
    </row>
    <row r="632" spans="2:3" ht="14.15" customHeight="1" x14ac:dyDescent="0.35">
      <c r="B632" s="287"/>
      <c r="C632" s="288"/>
    </row>
    <row r="633" spans="2:3" ht="14.15" customHeight="1" x14ac:dyDescent="0.35">
      <c r="B633" s="290"/>
      <c r="C633" s="291"/>
    </row>
    <row r="634" spans="2:3" ht="14.15" customHeight="1" x14ac:dyDescent="0.35">
      <c r="B634" s="287"/>
      <c r="C634" s="288"/>
    </row>
    <row r="635" spans="2:3" ht="14.15" customHeight="1" x14ac:dyDescent="0.35">
      <c r="B635" s="287"/>
      <c r="C635" s="288"/>
    </row>
    <row r="636" spans="2:3" ht="14.15" customHeight="1" x14ac:dyDescent="0.35">
      <c r="B636" s="287"/>
      <c r="C636" s="288"/>
    </row>
    <row r="637" spans="2:3" ht="14.15" customHeight="1" x14ac:dyDescent="0.35">
      <c r="B637" s="287"/>
      <c r="C637" s="288"/>
    </row>
    <row r="638" spans="2:3" ht="14.15" customHeight="1" x14ac:dyDescent="0.35">
      <c r="B638" s="287"/>
      <c r="C638" s="288"/>
    </row>
    <row r="639" spans="2:3" ht="14.15" customHeight="1" x14ac:dyDescent="0.35">
      <c r="B639" s="287"/>
      <c r="C639" s="288"/>
    </row>
    <row r="640" spans="2:3" ht="14.15" customHeight="1" x14ac:dyDescent="0.35">
      <c r="B640" s="287"/>
      <c r="C640" s="288"/>
    </row>
    <row r="641" spans="2:3" ht="14.15" customHeight="1" x14ac:dyDescent="0.35">
      <c r="B641" s="287"/>
      <c r="C641" s="288"/>
    </row>
    <row r="642" spans="2:3" ht="14.15" customHeight="1" x14ac:dyDescent="0.35">
      <c r="B642" s="287"/>
      <c r="C642" s="288"/>
    </row>
    <row r="643" spans="2:3" ht="14.15" customHeight="1" x14ac:dyDescent="0.35">
      <c r="B643" s="287"/>
      <c r="C643" s="288"/>
    </row>
    <row r="644" spans="2:3" ht="14.15" customHeight="1" x14ac:dyDescent="0.35">
      <c r="B644" s="287"/>
      <c r="C644" s="288"/>
    </row>
    <row r="645" spans="2:3" ht="14.15" customHeight="1" x14ac:dyDescent="0.35">
      <c r="B645" s="287"/>
      <c r="C645" s="288"/>
    </row>
    <row r="646" spans="2:3" ht="14.15" customHeight="1" x14ac:dyDescent="0.35">
      <c r="B646" s="287"/>
      <c r="C646" s="288"/>
    </row>
    <row r="647" spans="2:3" ht="14.15" customHeight="1" x14ac:dyDescent="0.35">
      <c r="B647" s="287"/>
      <c r="C647" s="288"/>
    </row>
    <row r="648" spans="2:3" ht="14.15" customHeight="1" x14ac:dyDescent="0.35">
      <c r="B648" s="290"/>
      <c r="C648" s="291"/>
    </row>
    <row r="649" spans="2:3" ht="14.15" customHeight="1" x14ac:dyDescent="0.35">
      <c r="B649" s="287"/>
      <c r="C649" s="288"/>
    </row>
    <row r="650" spans="2:3" ht="14.15" customHeight="1" x14ac:dyDescent="0.35">
      <c r="B650" s="287"/>
      <c r="C650" s="288"/>
    </row>
    <row r="651" spans="2:3" ht="14.15" customHeight="1" x14ac:dyDescent="0.35">
      <c r="B651" s="290"/>
      <c r="C651" s="291"/>
    </row>
    <row r="652" spans="2:3" ht="14.15" customHeight="1" x14ac:dyDescent="0.35">
      <c r="B652" s="290"/>
      <c r="C652" s="291"/>
    </row>
    <row r="653" spans="2:3" ht="14.15" customHeight="1" x14ac:dyDescent="0.35">
      <c r="B653" s="290"/>
      <c r="C653" s="291"/>
    </row>
    <row r="654" spans="2:3" ht="14.15" customHeight="1" x14ac:dyDescent="0.35">
      <c r="B654" s="287"/>
      <c r="C654" s="288"/>
    </row>
    <row r="655" spans="2:3" ht="14.15" customHeight="1" x14ac:dyDescent="0.35">
      <c r="B655" s="290"/>
      <c r="C655" s="291"/>
    </row>
    <row r="656" spans="2:3" ht="14.15" customHeight="1" x14ac:dyDescent="0.35">
      <c r="B656" s="290"/>
      <c r="C656" s="291"/>
    </row>
    <row r="657" spans="2:3" ht="14.15" customHeight="1" x14ac:dyDescent="0.35">
      <c r="B657" s="287"/>
      <c r="C657" s="288"/>
    </row>
    <row r="658" spans="2:3" ht="14.15" customHeight="1" x14ac:dyDescent="0.35">
      <c r="B658" s="290"/>
      <c r="C658" s="291"/>
    </row>
    <row r="659" spans="2:3" ht="14.15" customHeight="1" x14ac:dyDescent="0.35">
      <c r="B659" s="290"/>
      <c r="C659" s="291"/>
    </row>
    <row r="660" spans="2:3" ht="14.15" customHeight="1" x14ac:dyDescent="0.35">
      <c r="B660" s="290"/>
      <c r="C660" s="291"/>
    </row>
    <row r="661" spans="2:3" ht="14.15" customHeight="1" x14ac:dyDescent="0.35">
      <c r="B661" s="290"/>
      <c r="C661" s="291"/>
    </row>
    <row r="662" spans="2:3" ht="14.15" customHeight="1" x14ac:dyDescent="0.35">
      <c r="B662" s="287"/>
      <c r="C662" s="288"/>
    </row>
    <row r="663" spans="2:3" ht="14.15" customHeight="1" x14ac:dyDescent="0.35">
      <c r="B663" s="287"/>
      <c r="C663" s="288"/>
    </row>
    <row r="664" spans="2:3" ht="14.15" customHeight="1" x14ac:dyDescent="0.35">
      <c r="B664" s="287"/>
      <c r="C664" s="288"/>
    </row>
    <row r="665" spans="2:3" ht="14.15" customHeight="1" x14ac:dyDescent="0.35">
      <c r="B665" s="287"/>
      <c r="C665" s="288"/>
    </row>
    <row r="666" spans="2:3" ht="14.15" customHeight="1" x14ac:dyDescent="0.35">
      <c r="B666" s="287"/>
      <c r="C666" s="288"/>
    </row>
    <row r="667" spans="2:3" ht="14.15" customHeight="1" x14ac:dyDescent="0.35">
      <c r="B667" s="287"/>
      <c r="C667" s="288"/>
    </row>
    <row r="668" spans="2:3" ht="14.15" customHeight="1" x14ac:dyDescent="0.35">
      <c r="B668" s="287"/>
      <c r="C668" s="288"/>
    </row>
    <row r="669" spans="2:3" ht="14.15" customHeight="1" x14ac:dyDescent="0.35">
      <c r="B669" s="287"/>
      <c r="C669" s="288"/>
    </row>
    <row r="670" spans="2:3" ht="14.15" customHeight="1" x14ac:dyDescent="0.35">
      <c r="B670" s="287"/>
      <c r="C670" s="288"/>
    </row>
    <row r="671" spans="2:3" ht="14.15" customHeight="1" x14ac:dyDescent="0.35">
      <c r="B671" s="287"/>
      <c r="C671" s="288"/>
    </row>
    <row r="672" spans="2:3" ht="14.15" customHeight="1" x14ac:dyDescent="0.35">
      <c r="B672" s="287"/>
      <c r="C672" s="288"/>
    </row>
    <row r="673" spans="2:3" ht="14.15" customHeight="1" x14ac:dyDescent="0.35">
      <c r="B673" s="287"/>
      <c r="C673" s="288"/>
    </row>
    <row r="674" spans="2:3" ht="14.15" customHeight="1" x14ac:dyDescent="0.35">
      <c r="B674" s="287"/>
      <c r="C674" s="288"/>
    </row>
    <row r="675" spans="2:3" ht="14.15" customHeight="1" x14ac:dyDescent="0.35">
      <c r="B675" s="287"/>
      <c r="C675" s="288"/>
    </row>
    <row r="676" spans="2:3" ht="14.15" customHeight="1" x14ac:dyDescent="0.35">
      <c r="B676" s="287"/>
      <c r="C676" s="288"/>
    </row>
    <row r="677" spans="2:3" ht="14.15" customHeight="1" x14ac:dyDescent="0.35">
      <c r="B677" s="287"/>
      <c r="C677" s="288"/>
    </row>
    <row r="678" spans="2:3" ht="14.15" customHeight="1" x14ac:dyDescent="0.35">
      <c r="B678" s="287"/>
      <c r="C678" s="288"/>
    </row>
    <row r="679" spans="2:3" ht="14.15" customHeight="1" x14ac:dyDescent="0.35">
      <c r="B679" s="287"/>
      <c r="C679" s="288"/>
    </row>
    <row r="680" spans="2:3" ht="14.15" customHeight="1" x14ac:dyDescent="0.35">
      <c r="B680" s="287"/>
      <c r="C680" s="288"/>
    </row>
    <row r="681" spans="2:3" ht="14.15" customHeight="1" x14ac:dyDescent="0.35">
      <c r="B681" s="287"/>
      <c r="C681" s="288"/>
    </row>
    <row r="682" spans="2:3" ht="14.15" customHeight="1" x14ac:dyDescent="0.35">
      <c r="B682" s="287"/>
      <c r="C682" s="288"/>
    </row>
    <row r="683" spans="2:3" ht="14.15" customHeight="1" x14ac:dyDescent="0.35">
      <c r="B683" s="287"/>
      <c r="C683" s="288"/>
    </row>
    <row r="684" spans="2:3" ht="14.15" customHeight="1" x14ac:dyDescent="0.35">
      <c r="B684" s="290"/>
      <c r="C684" s="291"/>
    </row>
    <row r="685" spans="2:3" ht="14.15" customHeight="1" x14ac:dyDescent="0.35">
      <c r="B685" s="290"/>
      <c r="C685" s="291"/>
    </row>
    <row r="686" spans="2:3" ht="14.15" customHeight="1" x14ac:dyDescent="0.35">
      <c r="B686" s="290"/>
      <c r="C686" s="291"/>
    </row>
    <row r="687" spans="2:3" ht="14.15" customHeight="1" x14ac:dyDescent="0.35">
      <c r="B687" s="290"/>
      <c r="C687" s="291"/>
    </row>
    <row r="688" spans="2:3" ht="14.15" customHeight="1" x14ac:dyDescent="0.35">
      <c r="B688" s="287"/>
      <c r="C688" s="288"/>
    </row>
    <row r="689" spans="2:3" ht="14.15" customHeight="1" x14ac:dyDescent="0.35">
      <c r="B689" s="287"/>
      <c r="C689" s="288"/>
    </row>
    <row r="690" spans="2:3" ht="14.15" customHeight="1" x14ac:dyDescent="0.35">
      <c r="B690" s="287"/>
      <c r="C690" s="288"/>
    </row>
    <row r="691" spans="2:3" ht="14.15" customHeight="1" x14ac:dyDescent="0.35">
      <c r="B691" s="287"/>
      <c r="C691" s="288"/>
    </row>
    <row r="692" spans="2:3" ht="14.15" customHeight="1" x14ac:dyDescent="0.35">
      <c r="B692" s="287"/>
      <c r="C692" s="288"/>
    </row>
    <row r="693" spans="2:3" ht="14.15" customHeight="1" x14ac:dyDescent="0.35">
      <c r="B693" s="287"/>
      <c r="C693" s="288"/>
    </row>
    <row r="694" spans="2:3" ht="14.15" customHeight="1" x14ac:dyDescent="0.35">
      <c r="B694" s="287"/>
      <c r="C694" s="288"/>
    </row>
    <row r="695" spans="2:3" ht="14.15" customHeight="1" x14ac:dyDescent="0.35">
      <c r="B695" s="287"/>
      <c r="C695" s="288"/>
    </row>
    <row r="696" spans="2:3" ht="14.15" customHeight="1" x14ac:dyDescent="0.35">
      <c r="B696" s="287"/>
      <c r="C696" s="288"/>
    </row>
    <row r="697" spans="2:3" ht="14.15" customHeight="1" x14ac:dyDescent="0.35">
      <c r="B697" s="287"/>
      <c r="C697" s="288"/>
    </row>
    <row r="698" spans="2:3" ht="14.15" customHeight="1" x14ac:dyDescent="0.35">
      <c r="B698" s="287"/>
      <c r="C698" s="288"/>
    </row>
    <row r="699" spans="2:3" ht="14.15" customHeight="1" x14ac:dyDescent="0.35">
      <c r="B699" s="287"/>
      <c r="C699" s="288"/>
    </row>
    <row r="700" spans="2:3" ht="14.15" customHeight="1" x14ac:dyDescent="0.35">
      <c r="B700" s="287"/>
      <c r="C700" s="288"/>
    </row>
    <row r="701" spans="2:3" ht="14.15" customHeight="1" x14ac:dyDescent="0.35">
      <c r="B701" s="287"/>
      <c r="C701" s="288"/>
    </row>
  </sheetData>
  <conditionalFormatting sqref="E26">
    <cfRule type="duplicateValues" priority="3" stopIfTrue="1"/>
  </conditionalFormatting>
  <conditionalFormatting sqref="D26">
    <cfRule type="duplicateValues" priority="1" stopIfTrue="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112"/>
  <sheetViews>
    <sheetView zoomScale="90" zoomScaleNormal="90" workbookViewId="0">
      <pane ySplit="1" topLeftCell="A2" activePane="bottomLeft" state="frozen"/>
      <selection pane="bottomLeft" sqref="A1:XFD1"/>
    </sheetView>
  </sheetViews>
  <sheetFormatPr defaultColWidth="11.7265625" defaultRowHeight="14.5" customHeight="1" x14ac:dyDescent="0.25"/>
  <cols>
    <col min="1" max="1" width="10.7265625" style="278" bestFit="1" customWidth="1"/>
    <col min="2" max="2" width="14.453125" style="278" bestFit="1" customWidth="1"/>
    <col min="3" max="3" width="10.1796875" style="111" bestFit="1" customWidth="1"/>
    <col min="4" max="4" width="53.54296875" style="301" customWidth="1"/>
    <col min="5" max="5" width="16.81640625" style="306" bestFit="1" customWidth="1"/>
    <col min="6" max="6" width="15.54296875" style="278" bestFit="1" customWidth="1"/>
    <col min="7" max="7" width="9.54296875" style="278" customWidth="1"/>
    <col min="8" max="8" width="13" style="306" customWidth="1"/>
    <col min="9" max="9" width="47" style="304" customWidth="1"/>
    <col min="10" max="10" width="27.54296875" style="306" bestFit="1" customWidth="1"/>
    <col min="11" max="16384" width="11.7265625" style="304"/>
  </cols>
  <sheetData>
    <row r="1" spans="1:10" s="300" customFormat="1" ht="15.65" customHeight="1" thickBot="1" x14ac:dyDescent="0.3">
      <c r="A1" s="29" t="s">
        <v>9628</v>
      </c>
      <c r="B1" s="29" t="s">
        <v>10895</v>
      </c>
      <c r="C1" s="29" t="s">
        <v>10896</v>
      </c>
      <c r="D1" s="28" t="s">
        <v>10897</v>
      </c>
      <c r="E1" s="28" t="s">
        <v>10898</v>
      </c>
      <c r="F1" s="28" t="s">
        <v>10899</v>
      </c>
      <c r="G1" s="28" t="s">
        <v>10900</v>
      </c>
      <c r="H1" s="28" t="s">
        <v>10901</v>
      </c>
      <c r="I1" s="28" t="s">
        <v>10902</v>
      </c>
      <c r="J1" s="28" t="s">
        <v>10903</v>
      </c>
    </row>
    <row r="2" spans="1:10" ht="14.5" customHeight="1" x14ac:dyDescent="0.25">
      <c r="A2" s="278" t="s">
        <v>9631</v>
      </c>
      <c r="B2" s="278" t="s">
        <v>10904</v>
      </c>
      <c r="C2" s="111" t="s">
        <v>9632</v>
      </c>
      <c r="D2" s="301" t="s">
        <v>10905</v>
      </c>
      <c r="E2" s="306" t="s">
        <v>10906</v>
      </c>
      <c r="F2" s="278" t="s">
        <v>4109</v>
      </c>
      <c r="G2" s="278" t="s">
        <v>4108</v>
      </c>
      <c r="H2" s="303" t="s">
        <v>10907</v>
      </c>
      <c r="I2" s="301" t="s">
        <v>10908</v>
      </c>
      <c r="J2" s="303" t="s">
        <v>10906</v>
      </c>
    </row>
    <row r="3" spans="1:10" ht="14.5" customHeight="1" x14ac:dyDescent="0.25">
      <c r="A3" s="278" t="s">
        <v>9631</v>
      </c>
      <c r="B3" s="278" t="s">
        <v>10904</v>
      </c>
      <c r="C3" s="111" t="s">
        <v>9632</v>
      </c>
      <c r="D3" s="301" t="s">
        <v>10905</v>
      </c>
      <c r="E3" s="306" t="s">
        <v>10906</v>
      </c>
      <c r="F3" s="278" t="s">
        <v>4109</v>
      </c>
      <c r="G3" s="278" t="s">
        <v>4108</v>
      </c>
      <c r="H3" s="303" t="s">
        <v>10909</v>
      </c>
      <c r="I3" s="301" t="s">
        <v>10910</v>
      </c>
      <c r="J3" s="303" t="s">
        <v>10911</v>
      </c>
    </row>
    <row r="4" spans="1:10" ht="14.5" customHeight="1" x14ac:dyDescent="0.25">
      <c r="A4" s="278" t="s">
        <v>9631</v>
      </c>
      <c r="B4" s="278" t="s">
        <v>10904</v>
      </c>
      <c r="C4" s="111" t="s">
        <v>9632</v>
      </c>
      <c r="D4" s="301" t="s">
        <v>10905</v>
      </c>
      <c r="E4" s="306" t="s">
        <v>10906</v>
      </c>
      <c r="F4" s="278" t="s">
        <v>4109</v>
      </c>
      <c r="G4" s="278" t="s">
        <v>4108</v>
      </c>
      <c r="H4" s="303" t="s">
        <v>10912</v>
      </c>
      <c r="I4" s="301" t="s">
        <v>10913</v>
      </c>
      <c r="J4" s="303" t="s">
        <v>10914</v>
      </c>
    </row>
    <row r="5" spans="1:10" ht="14.5" customHeight="1" x14ac:dyDescent="0.25">
      <c r="A5" s="278" t="s">
        <v>9631</v>
      </c>
      <c r="B5" s="278" t="s">
        <v>10904</v>
      </c>
      <c r="C5" s="111" t="s">
        <v>9635</v>
      </c>
      <c r="D5" s="301" t="s">
        <v>9636</v>
      </c>
      <c r="E5" s="306" t="s">
        <v>10915</v>
      </c>
      <c r="F5" s="278" t="s">
        <v>4109</v>
      </c>
      <c r="G5" s="278" t="s">
        <v>4108</v>
      </c>
      <c r="H5" s="303" t="s">
        <v>10916</v>
      </c>
      <c r="I5" s="301" t="s">
        <v>9636</v>
      </c>
      <c r="J5" s="303" t="s">
        <v>10915</v>
      </c>
    </row>
    <row r="6" spans="1:10" ht="14.5" customHeight="1" x14ac:dyDescent="0.25">
      <c r="A6" s="278" t="s">
        <v>9631</v>
      </c>
      <c r="B6" s="278" t="s">
        <v>10904</v>
      </c>
      <c r="C6" s="111" t="s">
        <v>9637</v>
      </c>
      <c r="D6" s="301" t="s">
        <v>9638</v>
      </c>
      <c r="E6" s="306" t="s">
        <v>10915</v>
      </c>
      <c r="F6" s="278" t="s">
        <v>4109</v>
      </c>
      <c r="G6" s="278" t="s">
        <v>4108</v>
      </c>
      <c r="H6" s="303" t="s">
        <v>10917</v>
      </c>
      <c r="I6" s="304" t="s">
        <v>9638</v>
      </c>
      <c r="J6" s="303" t="s">
        <v>10915</v>
      </c>
    </row>
    <row r="7" spans="1:10" ht="14.5" customHeight="1" x14ac:dyDescent="0.25">
      <c r="A7" s="278" t="s">
        <v>9631</v>
      </c>
      <c r="B7" s="278" t="s">
        <v>10904</v>
      </c>
      <c r="C7" s="111" t="s">
        <v>9639</v>
      </c>
      <c r="D7" s="301" t="s">
        <v>9640</v>
      </c>
      <c r="E7" s="306" t="s">
        <v>10915</v>
      </c>
      <c r="F7" s="278" t="s">
        <v>4109</v>
      </c>
      <c r="G7" s="278" t="s">
        <v>4108</v>
      </c>
      <c r="H7" s="303" t="s">
        <v>10907</v>
      </c>
      <c r="I7" s="301" t="s">
        <v>10908</v>
      </c>
      <c r="J7" s="303" t="s">
        <v>10906</v>
      </c>
    </row>
    <row r="8" spans="1:10" ht="14.5" customHeight="1" x14ac:dyDescent="0.25">
      <c r="A8" s="278" t="s">
        <v>9631</v>
      </c>
      <c r="B8" s="278" t="s">
        <v>10904</v>
      </c>
      <c r="C8" s="111" t="s">
        <v>9639</v>
      </c>
      <c r="D8" s="301" t="s">
        <v>9640</v>
      </c>
      <c r="E8" s="306" t="s">
        <v>10915</v>
      </c>
      <c r="F8" s="278" t="s">
        <v>4109</v>
      </c>
      <c r="G8" s="278" t="s">
        <v>4108</v>
      </c>
      <c r="H8" s="303" t="s">
        <v>10909</v>
      </c>
      <c r="I8" s="301" t="s">
        <v>10910</v>
      </c>
      <c r="J8" s="303" t="s">
        <v>10911</v>
      </c>
    </row>
    <row r="9" spans="1:10" ht="14.5" customHeight="1" x14ac:dyDescent="0.25">
      <c r="A9" s="278" t="s">
        <v>9631</v>
      </c>
      <c r="B9" s="278" t="s">
        <v>10904</v>
      </c>
      <c r="C9" s="111" t="s">
        <v>9639</v>
      </c>
      <c r="D9" s="301" t="s">
        <v>9640</v>
      </c>
      <c r="E9" s="306" t="s">
        <v>10915</v>
      </c>
      <c r="F9" s="278" t="s">
        <v>4109</v>
      </c>
      <c r="G9" s="278" t="s">
        <v>4108</v>
      </c>
      <c r="H9" s="303" t="s">
        <v>10912</v>
      </c>
      <c r="I9" s="301" t="s">
        <v>10913</v>
      </c>
      <c r="J9" s="303" t="s">
        <v>10914</v>
      </c>
    </row>
    <row r="10" spans="1:10" ht="14.5" customHeight="1" x14ac:dyDescent="0.25">
      <c r="A10" s="278" t="s">
        <v>9631</v>
      </c>
      <c r="B10" s="278" t="s">
        <v>10904</v>
      </c>
      <c r="C10" s="111" t="s">
        <v>9639</v>
      </c>
      <c r="D10" s="301" t="s">
        <v>9640</v>
      </c>
      <c r="E10" s="306" t="s">
        <v>10915</v>
      </c>
      <c r="F10" s="278" t="s">
        <v>4109</v>
      </c>
      <c r="G10" s="278" t="s">
        <v>4108</v>
      </c>
      <c r="H10" s="303" t="s">
        <v>10918</v>
      </c>
      <c r="I10" s="301" t="s">
        <v>9640</v>
      </c>
      <c r="J10" s="303" t="s">
        <v>10915</v>
      </c>
    </row>
    <row r="11" spans="1:10" ht="14.5" customHeight="1" x14ac:dyDescent="0.25">
      <c r="A11" s="278" t="s">
        <v>9631</v>
      </c>
      <c r="B11" s="278" t="s">
        <v>10904</v>
      </c>
      <c r="C11" s="111" t="s">
        <v>9639</v>
      </c>
      <c r="D11" s="301" t="s">
        <v>9640</v>
      </c>
      <c r="E11" s="306" t="s">
        <v>10915</v>
      </c>
      <c r="F11" s="278" t="s">
        <v>4109</v>
      </c>
      <c r="G11" s="278" t="s">
        <v>4108</v>
      </c>
      <c r="H11" s="303" t="s">
        <v>10919</v>
      </c>
      <c r="I11" s="301" t="s">
        <v>10920</v>
      </c>
      <c r="J11" s="303" t="s">
        <v>10915</v>
      </c>
    </row>
    <row r="12" spans="1:10" ht="14.5" customHeight="1" x14ac:dyDescent="0.25">
      <c r="A12" s="278" t="s">
        <v>9631</v>
      </c>
      <c r="B12" s="278" t="s">
        <v>10904</v>
      </c>
      <c r="C12" s="111" t="s">
        <v>9639</v>
      </c>
      <c r="D12" s="301" t="s">
        <v>9640</v>
      </c>
      <c r="E12" s="306" t="s">
        <v>10915</v>
      </c>
      <c r="F12" s="278" t="s">
        <v>4109</v>
      </c>
      <c r="G12" s="278" t="s">
        <v>4108</v>
      </c>
      <c r="H12" s="303" t="s">
        <v>10921</v>
      </c>
      <c r="I12" s="301" t="s">
        <v>10922</v>
      </c>
      <c r="J12" s="303" t="s">
        <v>10915</v>
      </c>
    </row>
    <row r="13" spans="1:10" ht="14.5" customHeight="1" x14ac:dyDescent="0.25">
      <c r="A13" s="278" t="s">
        <v>9631</v>
      </c>
      <c r="B13" s="278" t="s">
        <v>10904</v>
      </c>
      <c r="C13" s="111" t="s">
        <v>9639</v>
      </c>
      <c r="D13" s="301" t="s">
        <v>9640</v>
      </c>
      <c r="E13" s="306" t="s">
        <v>10915</v>
      </c>
      <c r="F13" s="278" t="s">
        <v>4109</v>
      </c>
      <c r="G13" s="278" t="s">
        <v>4108</v>
      </c>
      <c r="H13" s="303" t="s">
        <v>10923</v>
      </c>
      <c r="I13" s="301" t="s">
        <v>10924</v>
      </c>
      <c r="J13" s="303" t="s">
        <v>10915</v>
      </c>
    </row>
    <row r="14" spans="1:10" ht="14.5" customHeight="1" x14ac:dyDescent="0.25">
      <c r="A14" s="278" t="s">
        <v>9631</v>
      </c>
      <c r="B14" s="278" t="s">
        <v>10904</v>
      </c>
      <c r="C14" s="111" t="s">
        <v>9639</v>
      </c>
      <c r="D14" s="301" t="s">
        <v>9640</v>
      </c>
      <c r="E14" s="306" t="s">
        <v>10915</v>
      </c>
      <c r="F14" s="278" t="s">
        <v>4109</v>
      </c>
      <c r="G14" s="278" t="s">
        <v>4108</v>
      </c>
      <c r="H14" s="303" t="s">
        <v>10925</v>
      </c>
      <c r="I14" s="301" t="s">
        <v>10926</v>
      </c>
      <c r="J14" s="303" t="s">
        <v>10915</v>
      </c>
    </row>
    <row r="15" spans="1:10" ht="14.5" customHeight="1" x14ac:dyDescent="0.25">
      <c r="A15" s="278" t="s">
        <v>9631</v>
      </c>
      <c r="B15" s="278" t="s">
        <v>10904</v>
      </c>
      <c r="C15" s="111" t="s">
        <v>9639</v>
      </c>
      <c r="D15" s="301" t="s">
        <v>9640</v>
      </c>
      <c r="E15" s="306" t="s">
        <v>10915</v>
      </c>
      <c r="F15" s="278" t="s">
        <v>4109</v>
      </c>
      <c r="G15" s="278" t="s">
        <v>4108</v>
      </c>
      <c r="H15" s="303" t="s">
        <v>10927</v>
      </c>
      <c r="I15" s="301" t="s">
        <v>10928</v>
      </c>
      <c r="J15" s="303" t="s">
        <v>10915</v>
      </c>
    </row>
    <row r="16" spans="1:10" ht="14.5" customHeight="1" x14ac:dyDescent="0.25">
      <c r="A16" s="278" t="s">
        <v>9631</v>
      </c>
      <c r="B16" s="278" t="s">
        <v>10904</v>
      </c>
      <c r="C16" s="111" t="s">
        <v>9639</v>
      </c>
      <c r="D16" s="301" t="s">
        <v>9640</v>
      </c>
      <c r="E16" s="306" t="s">
        <v>10915</v>
      </c>
      <c r="F16" s="278" t="s">
        <v>4109</v>
      </c>
      <c r="G16" s="278" t="s">
        <v>4108</v>
      </c>
      <c r="H16" s="303" t="s">
        <v>10929</v>
      </c>
      <c r="I16" s="301" t="s">
        <v>10930</v>
      </c>
      <c r="J16" s="303" t="s">
        <v>10915</v>
      </c>
    </row>
    <row r="17" spans="1:10" ht="14.5" customHeight="1" x14ac:dyDescent="0.25">
      <c r="A17" s="278" t="s">
        <v>9631</v>
      </c>
      <c r="B17" s="278" t="s">
        <v>10904</v>
      </c>
      <c r="C17" s="111" t="s">
        <v>9639</v>
      </c>
      <c r="D17" s="301" t="s">
        <v>9640</v>
      </c>
      <c r="E17" s="306" t="s">
        <v>10915</v>
      </c>
      <c r="F17" s="278" t="s">
        <v>4109</v>
      </c>
      <c r="G17" s="278" t="s">
        <v>4108</v>
      </c>
      <c r="H17" s="303" t="s">
        <v>10931</v>
      </c>
      <c r="I17" s="301" t="s">
        <v>10932</v>
      </c>
      <c r="J17" s="303" t="s">
        <v>10915</v>
      </c>
    </row>
    <row r="18" spans="1:10" ht="14.5" customHeight="1" x14ac:dyDescent="0.25">
      <c r="A18" s="278" t="s">
        <v>9631</v>
      </c>
      <c r="B18" s="278" t="s">
        <v>10904</v>
      </c>
      <c r="C18" s="111" t="s">
        <v>9639</v>
      </c>
      <c r="D18" s="301" t="s">
        <v>9640</v>
      </c>
      <c r="E18" s="306" t="s">
        <v>10915</v>
      </c>
      <c r="F18" s="278" t="s">
        <v>4109</v>
      </c>
      <c r="G18" s="278" t="s">
        <v>4108</v>
      </c>
      <c r="H18" s="303" t="s">
        <v>10933</v>
      </c>
      <c r="I18" s="301" t="s">
        <v>10934</v>
      </c>
      <c r="J18" s="303" t="s">
        <v>10915</v>
      </c>
    </row>
    <row r="19" spans="1:10" ht="14.5" customHeight="1" x14ac:dyDescent="0.25">
      <c r="A19" s="278" t="s">
        <v>9631</v>
      </c>
      <c r="B19" s="278" t="s">
        <v>10904</v>
      </c>
      <c r="C19" s="111" t="s">
        <v>9639</v>
      </c>
      <c r="D19" s="301" t="s">
        <v>9640</v>
      </c>
      <c r="E19" s="306" t="s">
        <v>10915</v>
      </c>
      <c r="F19" s="278" t="s">
        <v>4109</v>
      </c>
      <c r="G19" s="278" t="s">
        <v>4108</v>
      </c>
      <c r="H19" s="303" t="s">
        <v>10935</v>
      </c>
      <c r="I19" s="301" t="s">
        <v>10936</v>
      </c>
      <c r="J19" s="303" t="s">
        <v>10915</v>
      </c>
    </row>
    <row r="20" spans="1:10" ht="14.5" customHeight="1" x14ac:dyDescent="0.25">
      <c r="A20" s="278" t="s">
        <v>9631</v>
      </c>
      <c r="B20" s="278" t="s">
        <v>10904</v>
      </c>
      <c r="C20" s="111" t="s">
        <v>9639</v>
      </c>
      <c r="D20" s="301" t="s">
        <v>9640</v>
      </c>
      <c r="E20" s="306" t="s">
        <v>10915</v>
      </c>
      <c r="F20" s="278" t="s">
        <v>4109</v>
      </c>
      <c r="G20" s="278" t="s">
        <v>4108</v>
      </c>
      <c r="H20" s="303" t="s">
        <v>10937</v>
      </c>
      <c r="I20" s="301" t="s">
        <v>10938</v>
      </c>
      <c r="J20" s="303" t="s">
        <v>10915</v>
      </c>
    </row>
    <row r="21" spans="1:10" ht="14.5" customHeight="1" x14ac:dyDescent="0.25">
      <c r="A21" s="278" t="s">
        <v>9631</v>
      </c>
      <c r="B21" s="278" t="s">
        <v>10904</v>
      </c>
      <c r="C21" s="111" t="s">
        <v>9639</v>
      </c>
      <c r="D21" s="301" t="s">
        <v>9640</v>
      </c>
      <c r="E21" s="306" t="s">
        <v>10915</v>
      </c>
      <c r="F21" s="278" t="s">
        <v>4109</v>
      </c>
      <c r="G21" s="278" t="s">
        <v>4108</v>
      </c>
      <c r="H21" s="303" t="s">
        <v>10939</v>
      </c>
      <c r="I21" s="301" t="s">
        <v>10940</v>
      </c>
      <c r="J21" s="303" t="s">
        <v>10915</v>
      </c>
    </row>
    <row r="22" spans="1:10" ht="14.5" customHeight="1" x14ac:dyDescent="0.25">
      <c r="A22" s="278" t="s">
        <v>9631</v>
      </c>
      <c r="B22" s="278" t="s">
        <v>10904</v>
      </c>
      <c r="C22" s="111" t="s">
        <v>9639</v>
      </c>
      <c r="D22" s="301" t="s">
        <v>9640</v>
      </c>
      <c r="E22" s="306" t="s">
        <v>10915</v>
      </c>
      <c r="F22" s="278" t="s">
        <v>4109</v>
      </c>
      <c r="G22" s="278" t="s">
        <v>4108</v>
      </c>
      <c r="H22" s="303" t="s">
        <v>10941</v>
      </c>
      <c r="I22" s="301" t="s">
        <v>10942</v>
      </c>
      <c r="J22" s="303" t="s">
        <v>10915</v>
      </c>
    </row>
    <row r="23" spans="1:10" ht="14.5" customHeight="1" x14ac:dyDescent="0.25">
      <c r="A23" s="278" t="s">
        <v>9631</v>
      </c>
      <c r="B23" s="278" t="s">
        <v>10904</v>
      </c>
      <c r="C23" s="111" t="s">
        <v>9639</v>
      </c>
      <c r="D23" s="301" t="s">
        <v>9640</v>
      </c>
      <c r="E23" s="306" t="s">
        <v>10915</v>
      </c>
      <c r="F23" s="278" t="s">
        <v>4109</v>
      </c>
      <c r="G23" s="278" t="s">
        <v>4108</v>
      </c>
      <c r="H23" s="303" t="s">
        <v>10943</v>
      </c>
      <c r="I23" s="301" t="s">
        <v>10944</v>
      </c>
      <c r="J23" s="303" t="s">
        <v>10915</v>
      </c>
    </row>
    <row r="24" spans="1:10" ht="14.5" customHeight="1" x14ac:dyDescent="0.25">
      <c r="A24" s="278" t="s">
        <v>9631</v>
      </c>
      <c r="B24" s="278" t="s">
        <v>10904</v>
      </c>
      <c r="C24" s="111" t="s">
        <v>9639</v>
      </c>
      <c r="D24" s="301" t="s">
        <v>9640</v>
      </c>
      <c r="E24" s="306" t="s">
        <v>10915</v>
      </c>
      <c r="F24" s="278" t="s">
        <v>4109</v>
      </c>
      <c r="G24" s="278" t="s">
        <v>4108</v>
      </c>
      <c r="H24" s="303" t="s">
        <v>10945</v>
      </c>
      <c r="I24" s="301" t="s">
        <v>10946</v>
      </c>
      <c r="J24" s="303" t="s">
        <v>10915</v>
      </c>
    </row>
    <row r="25" spans="1:10" ht="14.5" customHeight="1" x14ac:dyDescent="0.25">
      <c r="A25" s="278" t="s">
        <v>9631</v>
      </c>
      <c r="B25" s="278" t="s">
        <v>10904</v>
      </c>
      <c r="C25" s="111" t="s">
        <v>9639</v>
      </c>
      <c r="D25" s="301" t="s">
        <v>9640</v>
      </c>
      <c r="E25" s="306" t="s">
        <v>10915</v>
      </c>
      <c r="F25" s="278" t="s">
        <v>4109</v>
      </c>
      <c r="G25" s="278" t="s">
        <v>4108</v>
      </c>
      <c r="H25" s="303" t="s">
        <v>10947</v>
      </c>
      <c r="I25" s="301" t="s">
        <v>10948</v>
      </c>
      <c r="J25" s="303" t="s">
        <v>10915</v>
      </c>
    </row>
    <row r="26" spans="1:10" ht="14.5" customHeight="1" x14ac:dyDescent="0.25">
      <c r="A26" s="278" t="s">
        <v>9631</v>
      </c>
      <c r="B26" s="278" t="s">
        <v>10904</v>
      </c>
      <c r="C26" s="111" t="s">
        <v>9639</v>
      </c>
      <c r="D26" s="301" t="s">
        <v>9640</v>
      </c>
      <c r="E26" s="306" t="s">
        <v>10915</v>
      </c>
      <c r="F26" s="278" t="s">
        <v>4109</v>
      </c>
      <c r="G26" s="278" t="s">
        <v>4108</v>
      </c>
      <c r="H26" s="303" t="s">
        <v>10949</v>
      </c>
      <c r="I26" s="301" t="s">
        <v>10950</v>
      </c>
      <c r="J26" s="303" t="s">
        <v>10915</v>
      </c>
    </row>
    <row r="27" spans="1:10" ht="14.5" customHeight="1" x14ac:dyDescent="0.25">
      <c r="A27" s="278" t="s">
        <v>9631</v>
      </c>
      <c r="B27" s="278" t="s">
        <v>10904</v>
      </c>
      <c r="C27" s="111" t="s">
        <v>9641</v>
      </c>
      <c r="D27" s="301" t="s">
        <v>9642</v>
      </c>
      <c r="E27" s="306" t="s">
        <v>10915</v>
      </c>
      <c r="F27" s="278" t="s">
        <v>4109</v>
      </c>
      <c r="G27" s="278" t="s">
        <v>4108</v>
      </c>
      <c r="H27" s="303" t="s">
        <v>10907</v>
      </c>
      <c r="I27" s="301" t="s">
        <v>10908</v>
      </c>
      <c r="J27" s="303" t="s">
        <v>10906</v>
      </c>
    </row>
    <row r="28" spans="1:10" ht="14.5" customHeight="1" x14ac:dyDescent="0.25">
      <c r="A28" s="278" t="s">
        <v>9631</v>
      </c>
      <c r="B28" s="278" t="s">
        <v>10904</v>
      </c>
      <c r="C28" s="111" t="s">
        <v>9641</v>
      </c>
      <c r="D28" s="301" t="s">
        <v>9642</v>
      </c>
      <c r="E28" s="306" t="s">
        <v>10915</v>
      </c>
      <c r="F28" s="278" t="s">
        <v>4109</v>
      </c>
      <c r="G28" s="278" t="s">
        <v>4108</v>
      </c>
      <c r="H28" s="303" t="s">
        <v>10909</v>
      </c>
      <c r="I28" s="301" t="s">
        <v>10910</v>
      </c>
      <c r="J28" s="303" t="s">
        <v>10911</v>
      </c>
    </row>
    <row r="29" spans="1:10" ht="14.5" customHeight="1" x14ac:dyDescent="0.25">
      <c r="A29" s="278" t="s">
        <v>9631</v>
      </c>
      <c r="B29" s="278" t="s">
        <v>10904</v>
      </c>
      <c r="C29" s="111" t="s">
        <v>9641</v>
      </c>
      <c r="D29" s="301" t="s">
        <v>9642</v>
      </c>
      <c r="E29" s="306" t="s">
        <v>10915</v>
      </c>
      <c r="F29" s="278" t="s">
        <v>4109</v>
      </c>
      <c r="G29" s="278" t="s">
        <v>4108</v>
      </c>
      <c r="H29" s="303" t="s">
        <v>10912</v>
      </c>
      <c r="I29" s="301" t="s">
        <v>10913</v>
      </c>
      <c r="J29" s="303" t="s">
        <v>10914</v>
      </c>
    </row>
    <row r="30" spans="1:10" ht="14.5" customHeight="1" x14ac:dyDescent="0.25">
      <c r="A30" s="278" t="s">
        <v>9631</v>
      </c>
      <c r="B30" s="278" t="s">
        <v>10904</v>
      </c>
      <c r="C30" s="111" t="s">
        <v>9641</v>
      </c>
      <c r="D30" s="301" t="s">
        <v>9642</v>
      </c>
      <c r="E30" s="306" t="s">
        <v>10915</v>
      </c>
      <c r="F30" s="278" t="s">
        <v>4109</v>
      </c>
      <c r="G30" s="278" t="s">
        <v>4108</v>
      </c>
      <c r="H30" s="303" t="s">
        <v>10951</v>
      </c>
      <c r="I30" s="301" t="s">
        <v>9642</v>
      </c>
      <c r="J30" s="303" t="s">
        <v>10915</v>
      </c>
    </row>
    <row r="31" spans="1:10" ht="14.5" customHeight="1" x14ac:dyDescent="0.25">
      <c r="A31" s="278" t="s">
        <v>9631</v>
      </c>
      <c r="B31" s="278" t="s">
        <v>10904</v>
      </c>
      <c r="C31" s="111" t="s">
        <v>9643</v>
      </c>
      <c r="D31" s="301" t="s">
        <v>9644</v>
      </c>
      <c r="E31" s="306" t="s">
        <v>10915</v>
      </c>
      <c r="F31" s="278" t="s">
        <v>4109</v>
      </c>
      <c r="G31" s="278" t="s">
        <v>4108</v>
      </c>
      <c r="H31" s="303" t="s">
        <v>10907</v>
      </c>
      <c r="I31" s="301" t="s">
        <v>10908</v>
      </c>
      <c r="J31" s="303" t="s">
        <v>10906</v>
      </c>
    </row>
    <row r="32" spans="1:10" ht="14.5" customHeight="1" x14ac:dyDescent="0.25">
      <c r="A32" s="278" t="s">
        <v>9631</v>
      </c>
      <c r="B32" s="278" t="s">
        <v>10904</v>
      </c>
      <c r="C32" s="111" t="s">
        <v>9643</v>
      </c>
      <c r="D32" s="301" t="s">
        <v>9644</v>
      </c>
      <c r="E32" s="306" t="s">
        <v>10915</v>
      </c>
      <c r="F32" s="278" t="s">
        <v>4109</v>
      </c>
      <c r="G32" s="278" t="s">
        <v>4108</v>
      </c>
      <c r="H32" s="303" t="s">
        <v>10909</v>
      </c>
      <c r="I32" s="301" t="s">
        <v>10910</v>
      </c>
      <c r="J32" s="303" t="s">
        <v>10911</v>
      </c>
    </row>
    <row r="33" spans="1:10" ht="14.5" customHeight="1" x14ac:dyDescent="0.25">
      <c r="A33" s="278" t="s">
        <v>9631</v>
      </c>
      <c r="B33" s="278" t="s">
        <v>10904</v>
      </c>
      <c r="C33" s="111" t="s">
        <v>9643</v>
      </c>
      <c r="D33" s="301" t="s">
        <v>9644</v>
      </c>
      <c r="E33" s="306" t="s">
        <v>10915</v>
      </c>
      <c r="F33" s="278" t="s">
        <v>4109</v>
      </c>
      <c r="G33" s="278" t="s">
        <v>4108</v>
      </c>
      <c r="H33" s="303" t="s">
        <v>10912</v>
      </c>
      <c r="I33" s="301" t="s">
        <v>10913</v>
      </c>
      <c r="J33" s="303" t="s">
        <v>10914</v>
      </c>
    </row>
    <row r="34" spans="1:10" ht="14.5" customHeight="1" x14ac:dyDescent="0.25">
      <c r="A34" s="278" t="s">
        <v>9631</v>
      </c>
      <c r="B34" s="278" t="s">
        <v>10904</v>
      </c>
      <c r="C34" s="111" t="s">
        <v>9643</v>
      </c>
      <c r="D34" s="301" t="s">
        <v>9644</v>
      </c>
      <c r="E34" s="306" t="s">
        <v>10915</v>
      </c>
      <c r="F34" s="278" t="s">
        <v>4109</v>
      </c>
      <c r="G34" s="278" t="s">
        <v>4108</v>
      </c>
      <c r="H34" s="303" t="s">
        <v>10952</v>
      </c>
      <c r="I34" s="301" t="s">
        <v>9644</v>
      </c>
      <c r="J34" s="303" t="s">
        <v>10915</v>
      </c>
    </row>
    <row r="35" spans="1:10" ht="14.5" customHeight="1" x14ac:dyDescent="0.25">
      <c r="A35" s="278" t="s">
        <v>9631</v>
      </c>
      <c r="B35" s="278" t="s">
        <v>10904</v>
      </c>
      <c r="C35" s="111" t="s">
        <v>9645</v>
      </c>
      <c r="D35" s="301" t="s">
        <v>9646</v>
      </c>
      <c r="E35" s="306" t="s">
        <v>10915</v>
      </c>
      <c r="F35" s="278" t="s">
        <v>4109</v>
      </c>
      <c r="G35" s="278" t="s">
        <v>4108</v>
      </c>
      <c r="H35" s="303" t="s">
        <v>10907</v>
      </c>
      <c r="I35" s="301" t="s">
        <v>10908</v>
      </c>
      <c r="J35" s="303" t="s">
        <v>10906</v>
      </c>
    </row>
    <row r="36" spans="1:10" ht="14.5" customHeight="1" x14ac:dyDescent="0.25">
      <c r="A36" s="278" t="s">
        <v>9631</v>
      </c>
      <c r="B36" s="278" t="s">
        <v>10904</v>
      </c>
      <c r="C36" s="111" t="s">
        <v>9645</v>
      </c>
      <c r="D36" s="301" t="s">
        <v>9646</v>
      </c>
      <c r="E36" s="306" t="s">
        <v>10915</v>
      </c>
      <c r="F36" s="278" t="s">
        <v>4109</v>
      </c>
      <c r="G36" s="278" t="s">
        <v>4108</v>
      </c>
      <c r="H36" s="303" t="s">
        <v>10909</v>
      </c>
      <c r="I36" s="301" t="s">
        <v>10910</v>
      </c>
      <c r="J36" s="303" t="s">
        <v>10911</v>
      </c>
    </row>
    <row r="37" spans="1:10" ht="14.5" customHeight="1" x14ac:dyDescent="0.25">
      <c r="A37" s="278" t="s">
        <v>9631</v>
      </c>
      <c r="B37" s="278" t="s">
        <v>10904</v>
      </c>
      <c r="C37" s="111" t="s">
        <v>9645</v>
      </c>
      <c r="D37" s="301" t="s">
        <v>9646</v>
      </c>
      <c r="E37" s="306" t="s">
        <v>10915</v>
      </c>
      <c r="F37" s="278" t="s">
        <v>4109</v>
      </c>
      <c r="G37" s="278" t="s">
        <v>4108</v>
      </c>
      <c r="H37" s="303" t="s">
        <v>10912</v>
      </c>
      <c r="I37" s="301" t="s">
        <v>10913</v>
      </c>
      <c r="J37" s="303" t="s">
        <v>10914</v>
      </c>
    </row>
    <row r="38" spans="1:10" ht="14.5" customHeight="1" x14ac:dyDescent="0.25">
      <c r="A38" s="278" t="s">
        <v>9631</v>
      </c>
      <c r="B38" s="278" t="s">
        <v>10904</v>
      </c>
      <c r="C38" s="111" t="s">
        <v>9645</v>
      </c>
      <c r="D38" s="301" t="s">
        <v>9646</v>
      </c>
      <c r="E38" s="306" t="s">
        <v>10915</v>
      </c>
      <c r="F38" s="278" t="s">
        <v>4109</v>
      </c>
      <c r="G38" s="278" t="s">
        <v>4108</v>
      </c>
      <c r="H38" s="303" t="s">
        <v>10953</v>
      </c>
      <c r="I38" s="301" t="s">
        <v>10954</v>
      </c>
      <c r="J38" s="303" t="s">
        <v>10915</v>
      </c>
    </row>
    <row r="39" spans="1:10" ht="14.5" customHeight="1" x14ac:dyDescent="0.25">
      <c r="A39" s="278" t="s">
        <v>9631</v>
      </c>
      <c r="B39" s="278" t="s">
        <v>10904</v>
      </c>
      <c r="C39" s="111" t="s">
        <v>9647</v>
      </c>
      <c r="D39" s="301" t="s">
        <v>9648</v>
      </c>
      <c r="E39" s="306" t="s">
        <v>10915</v>
      </c>
      <c r="F39" s="278" t="s">
        <v>4109</v>
      </c>
      <c r="G39" s="278" t="s">
        <v>4108</v>
      </c>
      <c r="H39" s="303" t="s">
        <v>10907</v>
      </c>
      <c r="I39" s="301" t="s">
        <v>10908</v>
      </c>
      <c r="J39" s="303" t="s">
        <v>10906</v>
      </c>
    </row>
    <row r="40" spans="1:10" ht="14.5" customHeight="1" x14ac:dyDescent="0.25">
      <c r="A40" s="278" t="s">
        <v>9631</v>
      </c>
      <c r="B40" s="278" t="s">
        <v>10904</v>
      </c>
      <c r="C40" s="111" t="s">
        <v>9647</v>
      </c>
      <c r="D40" s="301" t="s">
        <v>9648</v>
      </c>
      <c r="E40" s="306" t="s">
        <v>10915</v>
      </c>
      <c r="F40" s="278" t="s">
        <v>4109</v>
      </c>
      <c r="G40" s="278" t="s">
        <v>4108</v>
      </c>
      <c r="H40" s="303" t="s">
        <v>10909</v>
      </c>
      <c r="I40" s="301" t="s">
        <v>10910</v>
      </c>
      <c r="J40" s="303" t="s">
        <v>10911</v>
      </c>
    </row>
    <row r="41" spans="1:10" ht="14.5" customHeight="1" x14ac:dyDescent="0.25">
      <c r="A41" s="278" t="s">
        <v>9631</v>
      </c>
      <c r="B41" s="278" t="s">
        <v>10904</v>
      </c>
      <c r="C41" s="111" t="s">
        <v>9647</v>
      </c>
      <c r="D41" s="301" t="s">
        <v>9648</v>
      </c>
      <c r="E41" s="306" t="s">
        <v>10915</v>
      </c>
      <c r="F41" s="278" t="s">
        <v>4109</v>
      </c>
      <c r="G41" s="278" t="s">
        <v>4108</v>
      </c>
      <c r="H41" s="303" t="s">
        <v>10912</v>
      </c>
      <c r="I41" s="301" t="s">
        <v>10913</v>
      </c>
      <c r="J41" s="303" t="s">
        <v>10914</v>
      </c>
    </row>
    <row r="42" spans="1:10" ht="14.5" customHeight="1" x14ac:dyDescent="0.25">
      <c r="A42" s="278" t="s">
        <v>9631</v>
      </c>
      <c r="B42" s="278" t="s">
        <v>10904</v>
      </c>
      <c r="C42" s="111" t="s">
        <v>9647</v>
      </c>
      <c r="D42" s="301" t="s">
        <v>9648</v>
      </c>
      <c r="E42" s="306" t="s">
        <v>10915</v>
      </c>
      <c r="F42" s="278" t="s">
        <v>4109</v>
      </c>
      <c r="G42" s="278" t="s">
        <v>4108</v>
      </c>
      <c r="H42" s="303" t="s">
        <v>10955</v>
      </c>
      <c r="I42" s="184" t="s">
        <v>10956</v>
      </c>
      <c r="J42" s="303" t="s">
        <v>10915</v>
      </c>
    </row>
    <row r="43" spans="1:10" ht="14.5" customHeight="1" x14ac:dyDescent="0.25">
      <c r="A43" s="278" t="s">
        <v>9631</v>
      </c>
      <c r="B43" s="278" t="s">
        <v>10904</v>
      </c>
      <c r="C43" s="111" t="s">
        <v>9649</v>
      </c>
      <c r="D43" s="301" t="s">
        <v>10957</v>
      </c>
      <c r="E43" s="306" t="s">
        <v>10906</v>
      </c>
      <c r="F43" s="278" t="s">
        <v>4109</v>
      </c>
      <c r="G43" s="278" t="s">
        <v>4108</v>
      </c>
      <c r="H43" s="303" t="s">
        <v>10907</v>
      </c>
      <c r="I43" s="184" t="s">
        <v>10908</v>
      </c>
      <c r="J43" s="303" t="s">
        <v>10906</v>
      </c>
    </row>
    <row r="44" spans="1:10" ht="14.5" customHeight="1" x14ac:dyDescent="0.25">
      <c r="A44" s="278" t="s">
        <v>9631</v>
      </c>
      <c r="B44" s="278" t="s">
        <v>10904</v>
      </c>
      <c r="C44" s="111" t="s">
        <v>9649</v>
      </c>
      <c r="D44" s="301" t="s">
        <v>10957</v>
      </c>
      <c r="E44" s="306" t="s">
        <v>10906</v>
      </c>
      <c r="F44" s="278" t="s">
        <v>4109</v>
      </c>
      <c r="G44" s="278" t="s">
        <v>4108</v>
      </c>
      <c r="H44" s="303" t="s">
        <v>10909</v>
      </c>
      <c r="I44" s="184" t="s">
        <v>10910</v>
      </c>
      <c r="J44" s="303" t="s">
        <v>10911</v>
      </c>
    </row>
    <row r="45" spans="1:10" ht="14.5" customHeight="1" x14ac:dyDescent="0.25">
      <c r="A45" s="278" t="s">
        <v>9631</v>
      </c>
      <c r="B45" s="278" t="s">
        <v>10904</v>
      </c>
      <c r="C45" s="111" t="s">
        <v>9649</v>
      </c>
      <c r="D45" s="301" t="s">
        <v>10957</v>
      </c>
      <c r="E45" s="306" t="s">
        <v>10906</v>
      </c>
      <c r="F45" s="278" t="s">
        <v>4109</v>
      </c>
      <c r="G45" s="278" t="s">
        <v>4108</v>
      </c>
      <c r="H45" s="303" t="s">
        <v>10958</v>
      </c>
      <c r="I45" s="184" t="s">
        <v>10959</v>
      </c>
      <c r="J45" s="303" t="s">
        <v>10915</v>
      </c>
    </row>
    <row r="46" spans="1:10" ht="14.5" customHeight="1" x14ac:dyDescent="0.25">
      <c r="A46" s="278" t="s">
        <v>9631</v>
      </c>
      <c r="B46" s="278" t="s">
        <v>10904</v>
      </c>
      <c r="C46" s="111" t="s">
        <v>9649</v>
      </c>
      <c r="D46" s="301" t="s">
        <v>10957</v>
      </c>
      <c r="E46" s="306" t="s">
        <v>10906</v>
      </c>
      <c r="F46" s="278" t="s">
        <v>4109</v>
      </c>
      <c r="G46" s="278" t="s">
        <v>4108</v>
      </c>
      <c r="H46" s="303" t="s">
        <v>10912</v>
      </c>
      <c r="I46" s="184" t="s">
        <v>10913</v>
      </c>
      <c r="J46" s="303" t="s">
        <v>10914</v>
      </c>
    </row>
    <row r="47" spans="1:10" ht="14.5" customHeight="1" x14ac:dyDescent="0.25">
      <c r="A47" s="278" t="s">
        <v>9631</v>
      </c>
      <c r="B47" s="278" t="s">
        <v>10904</v>
      </c>
      <c r="C47" s="111" t="s">
        <v>9652</v>
      </c>
      <c r="D47" s="301" t="s">
        <v>9653</v>
      </c>
      <c r="E47" s="306" t="s">
        <v>10906</v>
      </c>
      <c r="F47" s="278" t="s">
        <v>4109</v>
      </c>
      <c r="G47" s="278" t="s">
        <v>4108</v>
      </c>
      <c r="H47" s="303" t="s">
        <v>10960</v>
      </c>
      <c r="I47" s="301" t="s">
        <v>10961</v>
      </c>
      <c r="J47" s="303" t="s">
        <v>10915</v>
      </c>
    </row>
    <row r="48" spans="1:10" ht="14.5" customHeight="1" x14ac:dyDescent="0.25">
      <c r="A48" s="278" t="s">
        <v>9631</v>
      </c>
      <c r="B48" s="278" t="s">
        <v>10904</v>
      </c>
      <c r="C48" s="111" t="s">
        <v>9652</v>
      </c>
      <c r="D48" s="301" t="s">
        <v>9653</v>
      </c>
      <c r="E48" s="306" t="s">
        <v>10906</v>
      </c>
      <c r="F48" s="278" t="s">
        <v>4109</v>
      </c>
      <c r="G48" s="278" t="s">
        <v>4108</v>
      </c>
      <c r="H48" s="303" t="s">
        <v>10962</v>
      </c>
      <c r="I48" s="301" t="s">
        <v>10963</v>
      </c>
      <c r="J48" s="303" t="s">
        <v>10906</v>
      </c>
    </row>
    <row r="49" spans="1:10" ht="14.5" customHeight="1" x14ac:dyDescent="0.25">
      <c r="A49" s="278" t="s">
        <v>9631</v>
      </c>
      <c r="B49" s="278" t="s">
        <v>10904</v>
      </c>
      <c r="C49" s="111" t="s">
        <v>9654</v>
      </c>
      <c r="D49" s="301" t="s">
        <v>9655</v>
      </c>
      <c r="E49" s="306" t="s">
        <v>10911</v>
      </c>
      <c r="F49" s="278" t="s">
        <v>4109</v>
      </c>
      <c r="G49" s="278" t="s">
        <v>4108</v>
      </c>
      <c r="H49" s="303" t="s">
        <v>10909</v>
      </c>
      <c r="I49" s="301" t="s">
        <v>10910</v>
      </c>
      <c r="J49" s="303" t="s">
        <v>10911</v>
      </c>
    </row>
    <row r="50" spans="1:10" ht="14.5" customHeight="1" x14ac:dyDescent="0.25">
      <c r="A50" s="278" t="s">
        <v>9631</v>
      </c>
      <c r="B50" s="278" t="s">
        <v>10904</v>
      </c>
      <c r="C50" s="111" t="s">
        <v>9656</v>
      </c>
      <c r="D50" s="301" t="s">
        <v>9657</v>
      </c>
      <c r="E50" s="306" t="s">
        <v>1492</v>
      </c>
      <c r="F50" s="278" t="s">
        <v>4109</v>
      </c>
      <c r="G50" s="278" t="s">
        <v>4108</v>
      </c>
      <c r="H50" s="303" t="s">
        <v>10964</v>
      </c>
      <c r="I50" s="301" t="s">
        <v>10965</v>
      </c>
      <c r="J50" s="303" t="s">
        <v>10914</v>
      </c>
    </row>
    <row r="51" spans="1:10" ht="14.5" customHeight="1" x14ac:dyDescent="0.25">
      <c r="A51" s="278" t="s">
        <v>9631</v>
      </c>
      <c r="B51" s="278" t="s">
        <v>10904</v>
      </c>
      <c r="C51" s="111" t="s">
        <v>9656</v>
      </c>
      <c r="D51" s="301" t="s">
        <v>9657</v>
      </c>
      <c r="E51" s="306" t="s">
        <v>1492</v>
      </c>
      <c r="F51" s="278" t="s">
        <v>4109</v>
      </c>
      <c r="G51" s="278" t="s">
        <v>4108</v>
      </c>
      <c r="H51" s="303" t="s">
        <v>10912</v>
      </c>
      <c r="I51" s="301" t="s">
        <v>10913</v>
      </c>
      <c r="J51" s="303" t="s">
        <v>10914</v>
      </c>
    </row>
    <row r="52" spans="1:10" ht="14.5" customHeight="1" x14ac:dyDescent="0.25">
      <c r="A52" s="278" t="s">
        <v>9631</v>
      </c>
      <c r="B52" s="278" t="s">
        <v>10904</v>
      </c>
      <c r="C52" s="111" t="s">
        <v>9658</v>
      </c>
      <c r="D52" s="301" t="s">
        <v>9659</v>
      </c>
      <c r="E52" s="306" t="s">
        <v>10966</v>
      </c>
      <c r="F52" s="278" t="s">
        <v>4109</v>
      </c>
      <c r="G52" s="278" t="s">
        <v>4108</v>
      </c>
      <c r="H52" s="303" t="s">
        <v>10964</v>
      </c>
      <c r="I52" s="301" t="s">
        <v>10965</v>
      </c>
      <c r="J52" s="303" t="s">
        <v>10914</v>
      </c>
    </row>
    <row r="53" spans="1:10" ht="14.5" customHeight="1" x14ac:dyDescent="0.25">
      <c r="A53" s="278" t="s">
        <v>9631</v>
      </c>
      <c r="B53" s="278" t="s">
        <v>10904</v>
      </c>
      <c r="C53" s="111" t="s">
        <v>9658</v>
      </c>
      <c r="D53" s="301" t="s">
        <v>9659</v>
      </c>
      <c r="E53" s="306" t="s">
        <v>10966</v>
      </c>
      <c r="F53" s="278" t="s">
        <v>4109</v>
      </c>
      <c r="G53" s="278" t="s">
        <v>4108</v>
      </c>
      <c r="H53" s="303" t="s">
        <v>10960</v>
      </c>
      <c r="I53" s="301" t="s">
        <v>10961</v>
      </c>
      <c r="J53" s="303" t="s">
        <v>10915</v>
      </c>
    </row>
    <row r="54" spans="1:10" ht="14.5" customHeight="1" x14ac:dyDescent="0.25">
      <c r="A54" s="278" t="s">
        <v>9631</v>
      </c>
      <c r="B54" s="278" t="s">
        <v>10904</v>
      </c>
      <c r="C54" s="111" t="s">
        <v>9658</v>
      </c>
      <c r="D54" s="301" t="s">
        <v>9659</v>
      </c>
      <c r="E54" s="306" t="s">
        <v>10966</v>
      </c>
      <c r="F54" s="278" t="s">
        <v>4109</v>
      </c>
      <c r="G54" s="278" t="s">
        <v>4108</v>
      </c>
      <c r="H54" s="303" t="s">
        <v>10962</v>
      </c>
      <c r="I54" s="301" t="s">
        <v>10963</v>
      </c>
      <c r="J54" s="303" t="s">
        <v>10906</v>
      </c>
    </row>
    <row r="55" spans="1:10" ht="14.5" customHeight="1" x14ac:dyDescent="0.25">
      <c r="A55" s="278" t="s">
        <v>9631</v>
      </c>
      <c r="B55" s="278" t="s">
        <v>10904</v>
      </c>
      <c r="C55" s="111" t="s">
        <v>9658</v>
      </c>
      <c r="D55" s="301" t="s">
        <v>9659</v>
      </c>
      <c r="E55" s="306" t="s">
        <v>10966</v>
      </c>
      <c r="F55" s="278" t="s">
        <v>4109</v>
      </c>
      <c r="G55" s="278" t="s">
        <v>4108</v>
      </c>
      <c r="H55" s="303" t="s">
        <v>10912</v>
      </c>
      <c r="I55" s="301" t="s">
        <v>10913</v>
      </c>
      <c r="J55" s="303" t="s">
        <v>10914</v>
      </c>
    </row>
    <row r="56" spans="1:10" ht="14.5" customHeight="1" x14ac:dyDescent="0.25">
      <c r="A56" s="278" t="s">
        <v>9631</v>
      </c>
      <c r="B56" s="278" t="s">
        <v>10904</v>
      </c>
      <c r="C56" s="111" t="s">
        <v>9660</v>
      </c>
      <c r="D56" s="301" t="s">
        <v>9661</v>
      </c>
      <c r="E56" s="306" t="s">
        <v>10906</v>
      </c>
      <c r="F56" s="278" t="s">
        <v>4109</v>
      </c>
      <c r="G56" s="278" t="s">
        <v>4108</v>
      </c>
      <c r="H56" s="303" t="s">
        <v>10907</v>
      </c>
      <c r="I56" s="301" t="s">
        <v>10908</v>
      </c>
      <c r="J56" s="303" t="s">
        <v>10906</v>
      </c>
    </row>
    <row r="57" spans="1:10" ht="14.5" customHeight="1" x14ac:dyDescent="0.25">
      <c r="A57" s="278" t="s">
        <v>9631</v>
      </c>
      <c r="B57" s="278" t="s">
        <v>10904</v>
      </c>
      <c r="C57" s="111" t="s">
        <v>9660</v>
      </c>
      <c r="D57" s="301" t="s">
        <v>9661</v>
      </c>
      <c r="E57" s="306" t="s">
        <v>10906</v>
      </c>
      <c r="F57" s="278" t="s">
        <v>4109</v>
      </c>
      <c r="G57" s="278" t="s">
        <v>4108</v>
      </c>
      <c r="H57" s="303" t="s">
        <v>10909</v>
      </c>
      <c r="I57" s="301" t="s">
        <v>10910</v>
      </c>
      <c r="J57" s="303" t="s">
        <v>10911</v>
      </c>
    </row>
    <row r="58" spans="1:10" ht="14.5" customHeight="1" x14ac:dyDescent="0.25">
      <c r="A58" s="278" t="s">
        <v>9631</v>
      </c>
      <c r="B58" s="278" t="s">
        <v>10904</v>
      </c>
      <c r="C58" s="111" t="s">
        <v>9660</v>
      </c>
      <c r="D58" s="301" t="s">
        <v>9661</v>
      </c>
      <c r="E58" s="306" t="s">
        <v>10906</v>
      </c>
      <c r="F58" s="278" t="s">
        <v>4109</v>
      </c>
      <c r="G58" s="278" t="s">
        <v>4108</v>
      </c>
      <c r="H58" s="303" t="s">
        <v>10960</v>
      </c>
      <c r="I58" s="301" t="s">
        <v>10961</v>
      </c>
      <c r="J58" s="303" t="s">
        <v>10915</v>
      </c>
    </row>
    <row r="59" spans="1:10" ht="14.5" customHeight="1" x14ac:dyDescent="0.25">
      <c r="A59" s="278" t="s">
        <v>9631</v>
      </c>
      <c r="B59" s="278" t="s">
        <v>10904</v>
      </c>
      <c r="C59" s="111" t="s">
        <v>9660</v>
      </c>
      <c r="D59" s="301" t="s">
        <v>9661</v>
      </c>
      <c r="E59" s="306" t="s">
        <v>10906</v>
      </c>
      <c r="F59" s="278" t="s">
        <v>4109</v>
      </c>
      <c r="G59" s="278" t="s">
        <v>4108</v>
      </c>
      <c r="H59" s="303" t="s">
        <v>10962</v>
      </c>
      <c r="I59" s="301" t="s">
        <v>10963</v>
      </c>
      <c r="J59" s="303" t="s">
        <v>10906</v>
      </c>
    </row>
    <row r="60" spans="1:10" ht="14.5" customHeight="1" x14ac:dyDescent="0.25">
      <c r="A60" s="278" t="s">
        <v>9631</v>
      </c>
      <c r="B60" s="278" t="s">
        <v>10904</v>
      </c>
      <c r="C60" s="111" t="s">
        <v>9660</v>
      </c>
      <c r="D60" s="301" t="s">
        <v>9661</v>
      </c>
      <c r="E60" s="306" t="s">
        <v>10906</v>
      </c>
      <c r="F60" s="278" t="s">
        <v>4109</v>
      </c>
      <c r="G60" s="278" t="s">
        <v>4108</v>
      </c>
      <c r="H60" s="303" t="s">
        <v>10912</v>
      </c>
      <c r="I60" s="301" t="s">
        <v>10913</v>
      </c>
      <c r="J60" s="303" t="s">
        <v>10914</v>
      </c>
    </row>
    <row r="61" spans="1:10" ht="14.5" customHeight="1" x14ac:dyDescent="0.25">
      <c r="A61" s="278" t="s">
        <v>9631</v>
      </c>
      <c r="B61" s="278" t="s">
        <v>10904</v>
      </c>
      <c r="C61" s="111" t="s">
        <v>9663</v>
      </c>
      <c r="D61" s="301" t="s">
        <v>9664</v>
      </c>
      <c r="E61" s="302" t="s">
        <v>143</v>
      </c>
      <c r="F61" s="278" t="s">
        <v>4109</v>
      </c>
      <c r="G61" s="278" t="s">
        <v>4108</v>
      </c>
      <c r="H61" s="303" t="s">
        <v>10967</v>
      </c>
      <c r="I61" s="301" t="s">
        <v>10968</v>
      </c>
      <c r="J61" s="303" t="s">
        <v>10969</v>
      </c>
    </row>
    <row r="62" spans="1:10" ht="14.5" customHeight="1" x14ac:dyDescent="0.25">
      <c r="A62" s="278" t="s">
        <v>9631</v>
      </c>
      <c r="B62" s="278" t="s">
        <v>10904</v>
      </c>
      <c r="C62" s="111" t="s">
        <v>9663</v>
      </c>
      <c r="D62" s="301" t="s">
        <v>9664</v>
      </c>
      <c r="E62" s="302" t="s">
        <v>143</v>
      </c>
      <c r="F62" s="278" t="s">
        <v>4109</v>
      </c>
      <c r="G62" s="278" t="s">
        <v>4108</v>
      </c>
      <c r="H62" s="303" t="s">
        <v>10970</v>
      </c>
      <c r="I62" s="301" t="s">
        <v>10971</v>
      </c>
      <c r="J62" s="303" t="s">
        <v>10972</v>
      </c>
    </row>
    <row r="63" spans="1:10" ht="14.5" customHeight="1" x14ac:dyDescent="0.25">
      <c r="A63" s="278" t="s">
        <v>9631</v>
      </c>
      <c r="B63" s="278" t="s">
        <v>10904</v>
      </c>
      <c r="C63" s="111" t="s">
        <v>9666</v>
      </c>
      <c r="D63" s="301" t="s">
        <v>9667</v>
      </c>
      <c r="E63" s="302" t="s">
        <v>147</v>
      </c>
      <c r="F63" s="278" t="s">
        <v>4109</v>
      </c>
      <c r="G63" s="278" t="s">
        <v>4108</v>
      </c>
      <c r="H63" s="303" t="s">
        <v>10967</v>
      </c>
      <c r="I63" s="301" t="s">
        <v>10968</v>
      </c>
      <c r="J63" s="303" t="s">
        <v>10969</v>
      </c>
    </row>
    <row r="64" spans="1:10" ht="14.5" customHeight="1" x14ac:dyDescent="0.25">
      <c r="A64" s="278" t="s">
        <v>9631</v>
      </c>
      <c r="B64" s="278" t="s">
        <v>10904</v>
      </c>
      <c r="C64" s="111" t="s">
        <v>9669</v>
      </c>
      <c r="D64" s="301" t="s">
        <v>9670</v>
      </c>
      <c r="E64" s="302" t="s">
        <v>153</v>
      </c>
      <c r="F64" s="278" t="s">
        <v>4109</v>
      </c>
      <c r="G64" s="278" t="s">
        <v>4108</v>
      </c>
      <c r="H64" s="303" t="s">
        <v>10967</v>
      </c>
      <c r="I64" s="301" t="s">
        <v>10968</v>
      </c>
      <c r="J64" s="303" t="s">
        <v>10969</v>
      </c>
    </row>
    <row r="65" spans="1:10" ht="14.5" customHeight="1" x14ac:dyDescent="0.25">
      <c r="A65" s="278" t="s">
        <v>9631</v>
      </c>
      <c r="B65" s="278" t="s">
        <v>10904</v>
      </c>
      <c r="C65" s="111" t="s">
        <v>9672</v>
      </c>
      <c r="D65" s="301" t="s">
        <v>9673</v>
      </c>
      <c r="E65" s="302" t="s">
        <v>157</v>
      </c>
      <c r="F65" s="278" t="s">
        <v>4109</v>
      </c>
      <c r="G65" s="278" t="s">
        <v>4108</v>
      </c>
      <c r="H65" s="303" t="s">
        <v>10967</v>
      </c>
      <c r="I65" s="301" t="s">
        <v>10968</v>
      </c>
      <c r="J65" s="303" t="s">
        <v>10969</v>
      </c>
    </row>
    <row r="66" spans="1:10" ht="14.5" customHeight="1" x14ac:dyDescent="0.25">
      <c r="A66" s="278" t="s">
        <v>9631</v>
      </c>
      <c r="B66" s="278" t="s">
        <v>10904</v>
      </c>
      <c r="C66" s="111" t="s">
        <v>9675</v>
      </c>
      <c r="D66" s="301" t="s">
        <v>9676</v>
      </c>
      <c r="E66" s="302" t="s">
        <v>10973</v>
      </c>
      <c r="F66" s="278" t="s">
        <v>4109</v>
      </c>
      <c r="G66" s="278" t="s">
        <v>4108</v>
      </c>
      <c r="H66" s="303" t="s">
        <v>10967</v>
      </c>
      <c r="I66" s="301" t="s">
        <v>10968</v>
      </c>
      <c r="J66" s="303" t="s">
        <v>10969</v>
      </c>
    </row>
    <row r="67" spans="1:10" ht="14.5" customHeight="1" x14ac:dyDescent="0.25">
      <c r="A67" s="278" t="s">
        <v>9631</v>
      </c>
      <c r="B67" s="278" t="s">
        <v>10904</v>
      </c>
      <c r="C67" s="111" t="s">
        <v>9677</v>
      </c>
      <c r="D67" s="301" t="s">
        <v>9678</v>
      </c>
      <c r="E67" s="302" t="s">
        <v>10973</v>
      </c>
      <c r="F67" s="278" t="s">
        <v>4109</v>
      </c>
      <c r="G67" s="278" t="s">
        <v>4108</v>
      </c>
      <c r="H67" s="303" t="s">
        <v>10967</v>
      </c>
      <c r="I67" s="301" t="s">
        <v>10968</v>
      </c>
      <c r="J67" s="303" t="s">
        <v>10969</v>
      </c>
    </row>
    <row r="68" spans="1:10" ht="14.5" customHeight="1" x14ac:dyDescent="0.25">
      <c r="A68" s="278" t="s">
        <v>9631</v>
      </c>
      <c r="B68" s="278" t="s">
        <v>10904</v>
      </c>
      <c r="C68" s="111" t="s">
        <v>9679</v>
      </c>
      <c r="D68" s="301" t="s">
        <v>9680</v>
      </c>
      <c r="E68" s="302" t="s">
        <v>10973</v>
      </c>
      <c r="F68" s="278" t="s">
        <v>4109</v>
      </c>
      <c r="G68" s="278" t="s">
        <v>4108</v>
      </c>
      <c r="H68" s="303" t="s">
        <v>10967</v>
      </c>
      <c r="I68" s="301" t="s">
        <v>10968</v>
      </c>
      <c r="J68" s="303" t="s">
        <v>10969</v>
      </c>
    </row>
    <row r="69" spans="1:10" ht="14.5" customHeight="1" x14ac:dyDescent="0.25">
      <c r="A69" s="278" t="s">
        <v>9631</v>
      </c>
      <c r="B69" s="278" t="s">
        <v>10904</v>
      </c>
      <c r="C69" s="111" t="s">
        <v>9681</v>
      </c>
      <c r="D69" s="301" t="s">
        <v>9682</v>
      </c>
      <c r="E69" s="306" t="s">
        <v>10915</v>
      </c>
      <c r="F69" s="278" t="s">
        <v>4109</v>
      </c>
      <c r="G69" s="278" t="s">
        <v>4108</v>
      </c>
      <c r="H69" s="303" t="s">
        <v>10974</v>
      </c>
      <c r="I69" s="301" t="s">
        <v>9686</v>
      </c>
      <c r="J69" s="303" t="s">
        <v>10915</v>
      </c>
    </row>
    <row r="70" spans="1:10" ht="14.5" customHeight="1" x14ac:dyDescent="0.25">
      <c r="A70" s="278" t="s">
        <v>9631</v>
      </c>
      <c r="B70" s="278" t="s">
        <v>10904</v>
      </c>
      <c r="C70" s="111" t="s">
        <v>9681</v>
      </c>
      <c r="D70" s="301" t="s">
        <v>9682</v>
      </c>
      <c r="E70" s="306" t="s">
        <v>10915</v>
      </c>
      <c r="F70" s="278" t="s">
        <v>4109</v>
      </c>
      <c r="G70" s="278" t="s">
        <v>4108</v>
      </c>
      <c r="H70" s="303" t="s">
        <v>10975</v>
      </c>
      <c r="I70" s="301" t="s">
        <v>10976</v>
      </c>
      <c r="J70" s="303" t="s">
        <v>10915</v>
      </c>
    </row>
    <row r="71" spans="1:10" ht="14.5" customHeight="1" x14ac:dyDescent="0.25">
      <c r="A71" s="278" t="s">
        <v>9631</v>
      </c>
      <c r="B71" s="278" t="s">
        <v>10904</v>
      </c>
      <c r="C71" s="111" t="s">
        <v>9683</v>
      </c>
      <c r="D71" s="301" t="s">
        <v>9684</v>
      </c>
      <c r="E71" s="306" t="s">
        <v>10915</v>
      </c>
      <c r="F71" s="278" t="s">
        <v>4109</v>
      </c>
      <c r="G71" s="278" t="s">
        <v>4108</v>
      </c>
      <c r="H71" s="303" t="s">
        <v>10974</v>
      </c>
      <c r="I71" s="301" t="s">
        <v>9686</v>
      </c>
      <c r="J71" s="303" t="s">
        <v>10915</v>
      </c>
    </row>
    <row r="72" spans="1:10" ht="14.5" customHeight="1" x14ac:dyDescent="0.25">
      <c r="A72" s="278" t="s">
        <v>9631</v>
      </c>
      <c r="B72" s="278" t="s">
        <v>10904</v>
      </c>
      <c r="C72" s="111" t="s">
        <v>9683</v>
      </c>
      <c r="D72" s="301" t="s">
        <v>9684</v>
      </c>
      <c r="E72" s="306" t="s">
        <v>10915</v>
      </c>
      <c r="F72" s="278" t="s">
        <v>4109</v>
      </c>
      <c r="G72" s="278" t="s">
        <v>4108</v>
      </c>
      <c r="H72" s="303" t="s">
        <v>10975</v>
      </c>
      <c r="I72" s="301" t="s">
        <v>10976</v>
      </c>
      <c r="J72" s="303" t="s">
        <v>10915</v>
      </c>
    </row>
    <row r="73" spans="1:10" ht="14.5" customHeight="1" x14ac:dyDescent="0.25">
      <c r="A73" s="278" t="s">
        <v>9631</v>
      </c>
      <c r="B73" s="278" t="s">
        <v>10904</v>
      </c>
      <c r="C73" s="111" t="s">
        <v>9685</v>
      </c>
      <c r="D73" s="301" t="s">
        <v>9686</v>
      </c>
      <c r="E73" s="306" t="s">
        <v>10915</v>
      </c>
      <c r="F73" s="278" t="s">
        <v>4109</v>
      </c>
      <c r="G73" s="278" t="s">
        <v>4108</v>
      </c>
      <c r="H73" s="303" t="s">
        <v>10974</v>
      </c>
      <c r="I73" s="301" t="s">
        <v>9686</v>
      </c>
      <c r="J73" s="303" t="s">
        <v>10915</v>
      </c>
    </row>
    <row r="74" spans="1:10" ht="14.5" customHeight="1" x14ac:dyDescent="0.25">
      <c r="A74" s="278" t="s">
        <v>9631</v>
      </c>
      <c r="B74" s="278" t="s">
        <v>10904</v>
      </c>
      <c r="C74" s="111" t="s">
        <v>9687</v>
      </c>
      <c r="D74" s="301" t="s">
        <v>9688</v>
      </c>
      <c r="E74" s="306" t="s">
        <v>10915</v>
      </c>
      <c r="F74" s="278" t="s">
        <v>4109</v>
      </c>
      <c r="G74" s="278" t="s">
        <v>4108</v>
      </c>
      <c r="H74" s="303" t="s">
        <v>10974</v>
      </c>
      <c r="I74" s="301" t="s">
        <v>9686</v>
      </c>
      <c r="J74" s="303" t="s">
        <v>10915</v>
      </c>
    </row>
    <row r="75" spans="1:10" ht="14.5" customHeight="1" x14ac:dyDescent="0.25">
      <c r="A75" s="278" t="s">
        <v>9631</v>
      </c>
      <c r="B75" s="278" t="s">
        <v>10904</v>
      </c>
      <c r="C75" s="111" t="s">
        <v>9689</v>
      </c>
      <c r="D75" s="301" t="s">
        <v>9690</v>
      </c>
      <c r="E75" s="302" t="s">
        <v>10977</v>
      </c>
      <c r="F75" s="278" t="s">
        <v>4109</v>
      </c>
      <c r="G75" s="278" t="s">
        <v>4108</v>
      </c>
      <c r="H75" s="303" t="s">
        <v>10967</v>
      </c>
      <c r="I75" s="301" t="s">
        <v>10968</v>
      </c>
      <c r="J75" s="303" t="s">
        <v>10969</v>
      </c>
    </row>
    <row r="76" spans="1:10" ht="14.5" customHeight="1" x14ac:dyDescent="0.25">
      <c r="A76" s="278" t="s">
        <v>9631</v>
      </c>
      <c r="B76" s="278" t="s">
        <v>10904</v>
      </c>
      <c r="C76" s="111" t="s">
        <v>9689</v>
      </c>
      <c r="D76" s="301" t="s">
        <v>9690</v>
      </c>
      <c r="E76" s="302" t="s">
        <v>10977</v>
      </c>
      <c r="F76" s="278" t="s">
        <v>4109</v>
      </c>
      <c r="G76" s="278" t="s">
        <v>4108</v>
      </c>
      <c r="H76" s="303" t="s">
        <v>10970</v>
      </c>
      <c r="I76" s="301" t="s">
        <v>10971</v>
      </c>
      <c r="J76" s="303" t="s">
        <v>10972</v>
      </c>
    </row>
    <row r="77" spans="1:10" ht="14.5" customHeight="1" x14ac:dyDescent="0.25">
      <c r="A77" s="278" t="s">
        <v>9631</v>
      </c>
      <c r="B77" s="278" t="s">
        <v>10904</v>
      </c>
      <c r="C77" s="111" t="s">
        <v>9691</v>
      </c>
      <c r="D77" s="301" t="s">
        <v>9692</v>
      </c>
      <c r="E77" s="302" t="s">
        <v>10977</v>
      </c>
      <c r="F77" s="278" t="s">
        <v>4109</v>
      </c>
      <c r="G77" s="278" t="s">
        <v>4108</v>
      </c>
      <c r="H77" s="303" t="s">
        <v>10967</v>
      </c>
      <c r="I77" s="301" t="s">
        <v>10968</v>
      </c>
      <c r="J77" s="303" t="s">
        <v>10969</v>
      </c>
    </row>
    <row r="78" spans="1:10" ht="14.5" customHeight="1" x14ac:dyDescent="0.25">
      <c r="A78" s="278" t="s">
        <v>9631</v>
      </c>
      <c r="B78" s="278" t="s">
        <v>10904</v>
      </c>
      <c r="C78" s="111" t="s">
        <v>9691</v>
      </c>
      <c r="D78" s="301" t="s">
        <v>9692</v>
      </c>
      <c r="E78" s="302" t="s">
        <v>10977</v>
      </c>
      <c r="F78" s="278" t="s">
        <v>4109</v>
      </c>
      <c r="G78" s="278" t="s">
        <v>4108</v>
      </c>
      <c r="H78" s="303" t="s">
        <v>10970</v>
      </c>
      <c r="I78" s="301" t="s">
        <v>10971</v>
      </c>
      <c r="J78" s="303" t="s">
        <v>10972</v>
      </c>
    </row>
    <row r="79" spans="1:10" ht="14.5" customHeight="1" x14ac:dyDescent="0.25">
      <c r="A79" s="278" t="s">
        <v>9631</v>
      </c>
      <c r="B79" s="278" t="s">
        <v>10904</v>
      </c>
      <c r="C79" s="111" t="s">
        <v>9693</v>
      </c>
      <c r="D79" s="301" t="s">
        <v>9694</v>
      </c>
      <c r="E79" s="302" t="s">
        <v>10977</v>
      </c>
      <c r="F79" s="278" t="s">
        <v>4109</v>
      </c>
      <c r="G79" s="278" t="s">
        <v>4108</v>
      </c>
      <c r="H79" s="303" t="s">
        <v>10967</v>
      </c>
      <c r="I79" s="301" t="s">
        <v>10968</v>
      </c>
      <c r="J79" s="303" t="s">
        <v>10969</v>
      </c>
    </row>
    <row r="80" spans="1:10" ht="14.5" customHeight="1" x14ac:dyDescent="0.25">
      <c r="A80" s="278" t="s">
        <v>9631</v>
      </c>
      <c r="B80" s="278" t="s">
        <v>10904</v>
      </c>
      <c r="C80" s="111" t="s">
        <v>9693</v>
      </c>
      <c r="D80" s="301" t="s">
        <v>9694</v>
      </c>
      <c r="E80" s="302" t="s">
        <v>10977</v>
      </c>
      <c r="F80" s="278" t="s">
        <v>4109</v>
      </c>
      <c r="G80" s="278" t="s">
        <v>4108</v>
      </c>
      <c r="H80" s="303" t="s">
        <v>10978</v>
      </c>
      <c r="I80" s="301" t="s">
        <v>10979</v>
      </c>
      <c r="J80" s="303" t="s">
        <v>10969</v>
      </c>
    </row>
    <row r="81" spans="1:10" ht="14.5" customHeight="1" x14ac:dyDescent="0.25">
      <c r="A81" s="278" t="s">
        <v>9631</v>
      </c>
      <c r="B81" s="278" t="s">
        <v>10904</v>
      </c>
      <c r="C81" s="111" t="s">
        <v>9693</v>
      </c>
      <c r="D81" s="301" t="s">
        <v>9694</v>
      </c>
      <c r="E81" s="302" t="s">
        <v>10977</v>
      </c>
      <c r="F81" s="278" t="s">
        <v>4109</v>
      </c>
      <c r="G81" s="278" t="s">
        <v>4108</v>
      </c>
      <c r="H81" s="303" t="s">
        <v>10980</v>
      </c>
      <c r="I81" s="301" t="s">
        <v>10981</v>
      </c>
      <c r="J81" s="303" t="s">
        <v>10969</v>
      </c>
    </row>
    <row r="82" spans="1:10" ht="14.5" customHeight="1" x14ac:dyDescent="0.25">
      <c r="A82" s="278" t="s">
        <v>9631</v>
      </c>
      <c r="B82" s="278" t="s">
        <v>10904</v>
      </c>
      <c r="C82" s="111" t="s">
        <v>9693</v>
      </c>
      <c r="D82" s="301" t="s">
        <v>9694</v>
      </c>
      <c r="E82" s="302" t="s">
        <v>10977</v>
      </c>
      <c r="F82" s="278" t="s">
        <v>4109</v>
      </c>
      <c r="G82" s="278" t="s">
        <v>4108</v>
      </c>
      <c r="H82" s="303" t="s">
        <v>10970</v>
      </c>
      <c r="I82" s="301" t="s">
        <v>10971</v>
      </c>
      <c r="J82" s="303" t="s">
        <v>10972</v>
      </c>
    </row>
    <row r="83" spans="1:10" ht="14.5" customHeight="1" x14ac:dyDescent="0.25">
      <c r="A83" s="278" t="s">
        <v>9631</v>
      </c>
      <c r="B83" s="278" t="s">
        <v>10904</v>
      </c>
      <c r="C83" s="111" t="s">
        <v>9693</v>
      </c>
      <c r="D83" s="301" t="s">
        <v>9694</v>
      </c>
      <c r="E83" s="302" t="s">
        <v>10977</v>
      </c>
      <c r="F83" s="278" t="s">
        <v>4109</v>
      </c>
      <c r="G83" s="278" t="s">
        <v>4108</v>
      </c>
      <c r="H83" s="303" t="s">
        <v>10982</v>
      </c>
      <c r="I83" s="301" t="s">
        <v>10983</v>
      </c>
      <c r="J83" s="303" t="s">
        <v>10972</v>
      </c>
    </row>
    <row r="84" spans="1:10" ht="14.5" customHeight="1" x14ac:dyDescent="0.25">
      <c r="A84" s="278" t="s">
        <v>9631</v>
      </c>
      <c r="B84" s="278" t="s">
        <v>10904</v>
      </c>
      <c r="C84" s="111" t="s">
        <v>9693</v>
      </c>
      <c r="D84" s="301" t="s">
        <v>9694</v>
      </c>
      <c r="E84" s="302" t="s">
        <v>10977</v>
      </c>
      <c r="F84" s="278" t="s">
        <v>4109</v>
      </c>
      <c r="G84" s="278" t="s">
        <v>4108</v>
      </c>
      <c r="H84" s="303" t="s">
        <v>10984</v>
      </c>
      <c r="I84" s="301" t="s">
        <v>10985</v>
      </c>
      <c r="J84" s="303" t="s">
        <v>10972</v>
      </c>
    </row>
    <row r="85" spans="1:10" ht="14.5" customHeight="1" x14ac:dyDescent="0.25">
      <c r="A85" s="278" t="s">
        <v>9631</v>
      </c>
      <c r="B85" s="278" t="s">
        <v>10904</v>
      </c>
      <c r="C85" s="111" t="s">
        <v>9695</v>
      </c>
      <c r="D85" s="301" t="s">
        <v>9696</v>
      </c>
      <c r="E85" s="302" t="s">
        <v>10977</v>
      </c>
      <c r="F85" s="278" t="s">
        <v>4109</v>
      </c>
      <c r="G85" s="278" t="s">
        <v>4108</v>
      </c>
      <c r="H85" s="303" t="s">
        <v>10967</v>
      </c>
      <c r="I85" s="301" t="s">
        <v>10968</v>
      </c>
      <c r="J85" s="303" t="s">
        <v>10969</v>
      </c>
    </row>
    <row r="86" spans="1:10" ht="14.5" customHeight="1" x14ac:dyDescent="0.25">
      <c r="A86" s="278" t="s">
        <v>9631</v>
      </c>
      <c r="B86" s="278" t="s">
        <v>10904</v>
      </c>
      <c r="C86" s="111" t="s">
        <v>9695</v>
      </c>
      <c r="D86" s="301" t="s">
        <v>9696</v>
      </c>
      <c r="E86" s="302" t="s">
        <v>10977</v>
      </c>
      <c r="F86" s="278" t="s">
        <v>4109</v>
      </c>
      <c r="G86" s="278" t="s">
        <v>4108</v>
      </c>
      <c r="H86" s="303" t="s">
        <v>10980</v>
      </c>
      <c r="I86" s="301" t="s">
        <v>10981</v>
      </c>
      <c r="J86" s="303" t="s">
        <v>10969</v>
      </c>
    </row>
    <row r="87" spans="1:10" ht="14.5" customHeight="1" x14ac:dyDescent="0.25">
      <c r="A87" s="278" t="s">
        <v>9631</v>
      </c>
      <c r="B87" s="278" t="s">
        <v>10904</v>
      </c>
      <c r="C87" s="111" t="s">
        <v>9695</v>
      </c>
      <c r="D87" s="301" t="s">
        <v>9696</v>
      </c>
      <c r="E87" s="302" t="s">
        <v>10977</v>
      </c>
      <c r="F87" s="278" t="s">
        <v>4109</v>
      </c>
      <c r="G87" s="278" t="s">
        <v>4108</v>
      </c>
      <c r="H87" s="303" t="s">
        <v>10970</v>
      </c>
      <c r="I87" s="301" t="s">
        <v>10971</v>
      </c>
      <c r="J87" s="303" t="s">
        <v>10972</v>
      </c>
    </row>
    <row r="88" spans="1:10" ht="14.5" customHeight="1" x14ac:dyDescent="0.25">
      <c r="A88" s="278" t="s">
        <v>9631</v>
      </c>
      <c r="B88" s="278" t="s">
        <v>10904</v>
      </c>
      <c r="C88" s="111" t="s">
        <v>9695</v>
      </c>
      <c r="D88" s="301" t="s">
        <v>9696</v>
      </c>
      <c r="E88" s="302" t="s">
        <v>10977</v>
      </c>
      <c r="F88" s="278" t="s">
        <v>4109</v>
      </c>
      <c r="G88" s="278" t="s">
        <v>4108</v>
      </c>
      <c r="H88" s="303" t="s">
        <v>10984</v>
      </c>
      <c r="I88" s="301" t="s">
        <v>10985</v>
      </c>
      <c r="J88" s="303" t="s">
        <v>10972</v>
      </c>
    </row>
    <row r="89" spans="1:10" ht="14.5" customHeight="1" x14ac:dyDescent="0.25">
      <c r="A89" s="278" t="s">
        <v>9631</v>
      </c>
      <c r="B89" s="278" t="s">
        <v>10904</v>
      </c>
      <c r="C89" s="111" t="s">
        <v>9697</v>
      </c>
      <c r="D89" s="301" t="s">
        <v>9698</v>
      </c>
      <c r="E89" s="302" t="s">
        <v>10986</v>
      </c>
      <c r="F89" s="278" t="s">
        <v>4109</v>
      </c>
      <c r="G89" s="278" t="s">
        <v>4108</v>
      </c>
      <c r="H89" s="303" t="s">
        <v>10907</v>
      </c>
      <c r="I89" s="301" t="s">
        <v>10908</v>
      </c>
      <c r="J89" s="303" t="s">
        <v>10906</v>
      </c>
    </row>
    <row r="90" spans="1:10" ht="14.5" customHeight="1" x14ac:dyDescent="0.25">
      <c r="A90" s="278" t="s">
        <v>9631</v>
      </c>
      <c r="B90" s="278" t="s">
        <v>10904</v>
      </c>
      <c r="C90" s="111" t="s">
        <v>9697</v>
      </c>
      <c r="D90" s="301" t="s">
        <v>9698</v>
      </c>
      <c r="E90" s="302" t="s">
        <v>10986</v>
      </c>
      <c r="F90" s="278" t="s">
        <v>4109</v>
      </c>
      <c r="G90" s="278" t="s">
        <v>4108</v>
      </c>
      <c r="H90" s="303" t="s">
        <v>10987</v>
      </c>
      <c r="I90" s="301" t="s">
        <v>10988</v>
      </c>
      <c r="J90" s="303" t="s">
        <v>10969</v>
      </c>
    </row>
    <row r="91" spans="1:10" ht="14.5" customHeight="1" x14ac:dyDescent="0.25">
      <c r="A91" s="278" t="s">
        <v>9631</v>
      </c>
      <c r="B91" s="278" t="s">
        <v>10904</v>
      </c>
      <c r="C91" s="111" t="s">
        <v>9697</v>
      </c>
      <c r="D91" s="301" t="s">
        <v>9698</v>
      </c>
      <c r="E91" s="302" t="s">
        <v>10986</v>
      </c>
      <c r="F91" s="278" t="s">
        <v>4109</v>
      </c>
      <c r="G91" s="278" t="s">
        <v>4108</v>
      </c>
      <c r="H91" s="303" t="s">
        <v>10989</v>
      </c>
      <c r="I91" s="304" t="s">
        <v>10990</v>
      </c>
      <c r="J91" s="303" t="s">
        <v>10972</v>
      </c>
    </row>
    <row r="92" spans="1:10" ht="14.5" customHeight="1" x14ac:dyDescent="0.25">
      <c r="A92" s="278" t="s">
        <v>9631</v>
      </c>
      <c r="B92" s="278" t="s">
        <v>10904</v>
      </c>
      <c r="C92" s="111" t="s">
        <v>9699</v>
      </c>
      <c r="D92" s="301" t="s">
        <v>9700</v>
      </c>
      <c r="E92" s="302" t="s">
        <v>10977</v>
      </c>
      <c r="F92" s="278" t="s">
        <v>4109</v>
      </c>
      <c r="G92" s="278" t="s">
        <v>4108</v>
      </c>
      <c r="H92" s="303" t="s">
        <v>10987</v>
      </c>
      <c r="I92" s="301" t="s">
        <v>10988</v>
      </c>
      <c r="J92" s="303" t="s">
        <v>10969</v>
      </c>
    </row>
    <row r="93" spans="1:10" ht="14.5" customHeight="1" x14ac:dyDescent="0.25">
      <c r="A93" s="278" t="s">
        <v>9631</v>
      </c>
      <c r="B93" s="278" t="s">
        <v>10904</v>
      </c>
      <c r="C93" s="111" t="s">
        <v>9699</v>
      </c>
      <c r="D93" s="301" t="s">
        <v>9700</v>
      </c>
      <c r="E93" s="302" t="s">
        <v>10977</v>
      </c>
      <c r="F93" s="278" t="s">
        <v>4109</v>
      </c>
      <c r="G93" s="278" t="s">
        <v>4108</v>
      </c>
      <c r="H93" s="303" t="s">
        <v>10989</v>
      </c>
      <c r="I93" s="304" t="s">
        <v>10990</v>
      </c>
      <c r="J93" s="303" t="s">
        <v>10972</v>
      </c>
    </row>
    <row r="94" spans="1:10" ht="14.5" customHeight="1" x14ac:dyDescent="0.25">
      <c r="A94" s="278" t="s">
        <v>9631</v>
      </c>
      <c r="B94" s="278" t="s">
        <v>10904</v>
      </c>
      <c r="C94" s="111" t="s">
        <v>9701</v>
      </c>
      <c r="D94" s="301" t="s">
        <v>9702</v>
      </c>
      <c r="E94" s="302" t="s">
        <v>10977</v>
      </c>
      <c r="F94" s="278" t="s">
        <v>4109</v>
      </c>
      <c r="G94" s="278" t="s">
        <v>4108</v>
      </c>
      <c r="H94" s="303" t="s">
        <v>10987</v>
      </c>
      <c r="I94" s="301" t="s">
        <v>10988</v>
      </c>
      <c r="J94" s="303" t="s">
        <v>10969</v>
      </c>
    </row>
    <row r="95" spans="1:10" ht="14.5" customHeight="1" x14ac:dyDescent="0.25">
      <c r="A95" s="278" t="s">
        <v>9631</v>
      </c>
      <c r="B95" s="278" t="s">
        <v>10904</v>
      </c>
      <c r="C95" s="111" t="s">
        <v>9703</v>
      </c>
      <c r="D95" s="301" t="s">
        <v>9704</v>
      </c>
      <c r="E95" s="302" t="s">
        <v>10977</v>
      </c>
      <c r="F95" s="278" t="s">
        <v>4109</v>
      </c>
      <c r="G95" s="278" t="s">
        <v>4108</v>
      </c>
      <c r="H95" s="303" t="s">
        <v>10987</v>
      </c>
      <c r="I95" s="301" t="s">
        <v>10988</v>
      </c>
      <c r="J95" s="303" t="s">
        <v>10969</v>
      </c>
    </row>
    <row r="96" spans="1:10" ht="14.5" customHeight="1" x14ac:dyDescent="0.25">
      <c r="A96" s="278" t="s">
        <v>9631</v>
      </c>
      <c r="B96" s="278" t="s">
        <v>10904</v>
      </c>
      <c r="C96" s="111" t="s">
        <v>9703</v>
      </c>
      <c r="D96" s="301" t="s">
        <v>9704</v>
      </c>
      <c r="E96" s="302" t="s">
        <v>10977</v>
      </c>
      <c r="F96" s="278" t="s">
        <v>4109</v>
      </c>
      <c r="G96" s="278" t="s">
        <v>4108</v>
      </c>
      <c r="H96" s="303" t="s">
        <v>10989</v>
      </c>
      <c r="I96" s="304" t="s">
        <v>10990</v>
      </c>
      <c r="J96" s="303" t="s">
        <v>10972</v>
      </c>
    </row>
    <row r="97" spans="1:10" ht="14.5" customHeight="1" x14ac:dyDescent="0.25">
      <c r="A97" s="278" t="s">
        <v>9631</v>
      </c>
      <c r="B97" s="278" t="s">
        <v>10904</v>
      </c>
      <c r="C97" s="111" t="s">
        <v>9705</v>
      </c>
      <c r="D97" s="301" t="s">
        <v>9706</v>
      </c>
      <c r="E97" s="302" t="s">
        <v>10977</v>
      </c>
      <c r="F97" s="278" t="s">
        <v>4109</v>
      </c>
      <c r="G97" s="278" t="s">
        <v>4108</v>
      </c>
      <c r="H97" s="303" t="s">
        <v>10987</v>
      </c>
      <c r="I97" s="301" t="s">
        <v>10988</v>
      </c>
      <c r="J97" s="303" t="s">
        <v>10969</v>
      </c>
    </row>
    <row r="98" spans="1:10" ht="14.5" customHeight="1" x14ac:dyDescent="0.25">
      <c r="A98" s="278" t="s">
        <v>9631</v>
      </c>
      <c r="B98" s="278" t="s">
        <v>10904</v>
      </c>
      <c r="C98" s="111" t="s">
        <v>9705</v>
      </c>
      <c r="D98" s="301" t="s">
        <v>9706</v>
      </c>
      <c r="E98" s="302" t="s">
        <v>10977</v>
      </c>
      <c r="F98" s="278" t="s">
        <v>4109</v>
      </c>
      <c r="G98" s="278" t="s">
        <v>4108</v>
      </c>
      <c r="H98" s="303" t="s">
        <v>10989</v>
      </c>
      <c r="I98" s="304" t="s">
        <v>10990</v>
      </c>
      <c r="J98" s="303" t="s">
        <v>10972</v>
      </c>
    </row>
    <row r="99" spans="1:10" ht="14.5" customHeight="1" x14ac:dyDescent="0.25">
      <c r="A99" s="278" t="s">
        <v>9631</v>
      </c>
      <c r="B99" s="278" t="s">
        <v>10904</v>
      </c>
      <c r="C99" s="111" t="s">
        <v>9707</v>
      </c>
      <c r="D99" s="301" t="s">
        <v>9708</v>
      </c>
      <c r="E99" s="302" t="s">
        <v>10977</v>
      </c>
      <c r="F99" s="278" t="s">
        <v>4109</v>
      </c>
      <c r="G99" s="278" t="s">
        <v>4108</v>
      </c>
      <c r="H99" s="303" t="s">
        <v>10987</v>
      </c>
      <c r="I99" s="301" t="s">
        <v>10988</v>
      </c>
      <c r="J99" s="303" t="s">
        <v>10969</v>
      </c>
    </row>
    <row r="100" spans="1:10" ht="14.5" customHeight="1" x14ac:dyDescent="0.25">
      <c r="A100" s="278" t="s">
        <v>9631</v>
      </c>
      <c r="B100" s="278" t="s">
        <v>10904</v>
      </c>
      <c r="C100" s="111" t="s">
        <v>9709</v>
      </c>
      <c r="D100" s="301" t="s">
        <v>9710</v>
      </c>
      <c r="E100" s="302" t="s">
        <v>10977</v>
      </c>
      <c r="F100" s="278" t="s">
        <v>4109</v>
      </c>
      <c r="G100" s="278" t="s">
        <v>4108</v>
      </c>
      <c r="H100" s="303" t="s">
        <v>10987</v>
      </c>
      <c r="I100" s="301" t="s">
        <v>10988</v>
      </c>
      <c r="J100" s="303" t="s">
        <v>10969</v>
      </c>
    </row>
    <row r="101" spans="1:10" ht="14.5" customHeight="1" x14ac:dyDescent="0.25">
      <c r="A101" s="278" t="s">
        <v>9631</v>
      </c>
      <c r="B101" s="278" t="s">
        <v>10904</v>
      </c>
      <c r="C101" s="111" t="s">
        <v>9709</v>
      </c>
      <c r="D101" s="301" t="s">
        <v>9710</v>
      </c>
      <c r="E101" s="302" t="s">
        <v>10977</v>
      </c>
      <c r="F101" s="278" t="s">
        <v>4109</v>
      </c>
      <c r="G101" s="278" t="s">
        <v>4108</v>
      </c>
      <c r="H101" s="303" t="s">
        <v>10989</v>
      </c>
      <c r="I101" s="304" t="s">
        <v>10990</v>
      </c>
      <c r="J101" s="303" t="s">
        <v>10972</v>
      </c>
    </row>
    <row r="102" spans="1:10" ht="14.5" customHeight="1" x14ac:dyDescent="0.25">
      <c r="A102" s="278" t="s">
        <v>9631</v>
      </c>
      <c r="B102" s="278" t="s">
        <v>10904</v>
      </c>
      <c r="C102" s="111" t="s">
        <v>9711</v>
      </c>
      <c r="D102" s="301" t="s">
        <v>9712</v>
      </c>
      <c r="E102" s="302" t="s">
        <v>10977</v>
      </c>
      <c r="F102" s="278" t="s">
        <v>4109</v>
      </c>
      <c r="G102" s="278" t="s">
        <v>4108</v>
      </c>
      <c r="H102" s="303" t="s">
        <v>10987</v>
      </c>
      <c r="I102" s="301" t="s">
        <v>10988</v>
      </c>
      <c r="J102" s="303" t="s">
        <v>10969</v>
      </c>
    </row>
    <row r="103" spans="1:10" ht="14.5" customHeight="1" x14ac:dyDescent="0.25">
      <c r="A103" s="278" t="s">
        <v>9631</v>
      </c>
      <c r="B103" s="278" t="s">
        <v>10904</v>
      </c>
      <c r="C103" s="111" t="s">
        <v>9713</v>
      </c>
      <c r="D103" s="301" t="s">
        <v>9714</v>
      </c>
      <c r="E103" s="302" t="s">
        <v>10977</v>
      </c>
      <c r="F103" s="278" t="s">
        <v>4109</v>
      </c>
      <c r="G103" s="278" t="s">
        <v>4108</v>
      </c>
      <c r="H103" s="303" t="s">
        <v>10987</v>
      </c>
      <c r="I103" s="301" t="s">
        <v>10988</v>
      </c>
      <c r="J103" s="303" t="s">
        <v>10969</v>
      </c>
    </row>
    <row r="104" spans="1:10" ht="14.5" customHeight="1" x14ac:dyDescent="0.25">
      <c r="A104" s="278" t="s">
        <v>9631</v>
      </c>
      <c r="B104" s="278" t="s">
        <v>10904</v>
      </c>
      <c r="C104" s="111" t="s">
        <v>9715</v>
      </c>
      <c r="D104" s="301" t="s">
        <v>9716</v>
      </c>
      <c r="E104" s="302" t="s">
        <v>10977</v>
      </c>
      <c r="F104" s="278" t="s">
        <v>4109</v>
      </c>
      <c r="G104" s="278" t="s">
        <v>4108</v>
      </c>
      <c r="H104" s="303" t="s">
        <v>10987</v>
      </c>
      <c r="I104" s="301" t="s">
        <v>10988</v>
      </c>
      <c r="J104" s="303" t="s">
        <v>10969</v>
      </c>
    </row>
    <row r="105" spans="1:10" ht="14.5" customHeight="1" x14ac:dyDescent="0.25">
      <c r="A105" s="278" t="s">
        <v>9631</v>
      </c>
      <c r="B105" s="278" t="s">
        <v>10904</v>
      </c>
      <c r="C105" s="111" t="s">
        <v>9717</v>
      </c>
      <c r="D105" s="301" t="s">
        <v>9718</v>
      </c>
      <c r="E105" s="302" t="s">
        <v>10977</v>
      </c>
      <c r="F105" s="278" t="s">
        <v>4109</v>
      </c>
      <c r="G105" s="278" t="s">
        <v>4108</v>
      </c>
      <c r="H105" s="303" t="s">
        <v>10987</v>
      </c>
      <c r="I105" s="301" t="s">
        <v>10988</v>
      </c>
      <c r="J105" s="303" t="s">
        <v>10969</v>
      </c>
    </row>
    <row r="106" spans="1:10" ht="14.5" customHeight="1" x14ac:dyDescent="0.25">
      <c r="A106" s="278" t="s">
        <v>9631</v>
      </c>
      <c r="B106" s="278" t="s">
        <v>10904</v>
      </c>
      <c r="C106" s="111" t="s">
        <v>9719</v>
      </c>
      <c r="D106" s="301" t="s">
        <v>9720</v>
      </c>
      <c r="E106" s="302" t="s">
        <v>10973</v>
      </c>
      <c r="F106" s="278" t="s">
        <v>4109</v>
      </c>
      <c r="G106" s="278" t="s">
        <v>4108</v>
      </c>
      <c r="H106" s="303" t="s">
        <v>10987</v>
      </c>
      <c r="I106" s="301" t="s">
        <v>10988</v>
      </c>
      <c r="J106" s="303" t="s">
        <v>10969</v>
      </c>
    </row>
    <row r="107" spans="1:10" ht="14.5" customHeight="1" x14ac:dyDescent="0.25">
      <c r="A107" s="278" t="s">
        <v>9631</v>
      </c>
      <c r="B107" s="278" t="s">
        <v>10904</v>
      </c>
      <c r="C107" s="111" t="s">
        <v>9721</v>
      </c>
      <c r="D107" s="301" t="s">
        <v>9722</v>
      </c>
      <c r="E107" s="302" t="s">
        <v>10973</v>
      </c>
      <c r="F107" s="278" t="s">
        <v>4109</v>
      </c>
      <c r="G107" s="278" t="s">
        <v>4108</v>
      </c>
      <c r="H107" s="303" t="s">
        <v>10987</v>
      </c>
      <c r="I107" s="301" t="s">
        <v>10988</v>
      </c>
      <c r="J107" s="303" t="s">
        <v>10969</v>
      </c>
    </row>
    <row r="108" spans="1:10" ht="14.5" customHeight="1" x14ac:dyDescent="0.25">
      <c r="A108" s="278" t="s">
        <v>9631</v>
      </c>
      <c r="B108" s="278" t="s">
        <v>10904</v>
      </c>
      <c r="C108" s="111" t="s">
        <v>9723</v>
      </c>
      <c r="D108" s="301" t="s">
        <v>9724</v>
      </c>
      <c r="E108" s="302" t="s">
        <v>10973</v>
      </c>
      <c r="F108" s="278" t="s">
        <v>4109</v>
      </c>
      <c r="G108" s="278" t="s">
        <v>4108</v>
      </c>
      <c r="H108" s="303" t="s">
        <v>10987</v>
      </c>
      <c r="I108" s="301" t="s">
        <v>10988</v>
      </c>
      <c r="J108" s="303" t="s">
        <v>10969</v>
      </c>
    </row>
    <row r="109" spans="1:10" ht="14.5" customHeight="1" x14ac:dyDescent="0.25">
      <c r="A109" s="278" t="s">
        <v>9631</v>
      </c>
      <c r="B109" s="278" t="s">
        <v>10904</v>
      </c>
      <c r="C109" s="111" t="s">
        <v>9725</v>
      </c>
      <c r="D109" s="301" t="s">
        <v>9726</v>
      </c>
      <c r="E109" s="302" t="s">
        <v>10973</v>
      </c>
      <c r="F109" s="278" t="s">
        <v>4109</v>
      </c>
      <c r="G109" s="278" t="s">
        <v>4108</v>
      </c>
      <c r="H109" s="303" t="s">
        <v>10987</v>
      </c>
      <c r="I109" s="301" t="s">
        <v>10988</v>
      </c>
      <c r="J109" s="303" t="s">
        <v>10969</v>
      </c>
    </row>
    <row r="110" spans="1:10" ht="14.5" customHeight="1" x14ac:dyDescent="0.25">
      <c r="A110" s="278" t="s">
        <v>9631</v>
      </c>
      <c r="B110" s="278" t="s">
        <v>10904</v>
      </c>
      <c r="C110" s="111" t="s">
        <v>9727</v>
      </c>
      <c r="D110" s="301" t="s">
        <v>9728</v>
      </c>
      <c r="E110" s="302" t="s">
        <v>10973</v>
      </c>
      <c r="F110" s="278" t="s">
        <v>4109</v>
      </c>
      <c r="G110" s="278" t="s">
        <v>4108</v>
      </c>
      <c r="H110" s="303" t="s">
        <v>10987</v>
      </c>
      <c r="I110" s="301" t="s">
        <v>10988</v>
      </c>
      <c r="J110" s="303" t="s">
        <v>10969</v>
      </c>
    </row>
    <row r="111" spans="1:10" ht="14.5" customHeight="1" x14ac:dyDescent="0.25">
      <c r="A111" s="278" t="s">
        <v>9631</v>
      </c>
      <c r="B111" s="278" t="s">
        <v>10904</v>
      </c>
      <c r="C111" s="111" t="s">
        <v>9729</v>
      </c>
      <c r="D111" s="301" t="s">
        <v>9730</v>
      </c>
      <c r="E111" s="302" t="s">
        <v>10977</v>
      </c>
      <c r="F111" s="278" t="s">
        <v>4109</v>
      </c>
      <c r="G111" s="278" t="s">
        <v>4108</v>
      </c>
      <c r="H111" s="303" t="s">
        <v>10987</v>
      </c>
      <c r="I111" s="301" t="s">
        <v>10988</v>
      </c>
      <c r="J111" s="303" t="s">
        <v>10969</v>
      </c>
    </row>
    <row r="112" spans="1:10" s="305" customFormat="1" ht="14.5" customHeight="1" x14ac:dyDescent="0.25">
      <c r="A112" s="278" t="s">
        <v>9631</v>
      </c>
      <c r="B112" s="278" t="s">
        <v>10904</v>
      </c>
      <c r="C112" s="111" t="s">
        <v>9729</v>
      </c>
      <c r="D112" s="301" t="s">
        <v>9730</v>
      </c>
      <c r="E112" s="302" t="s">
        <v>10977</v>
      </c>
      <c r="F112" s="278" t="s">
        <v>4109</v>
      </c>
      <c r="G112" s="278" t="s">
        <v>4108</v>
      </c>
      <c r="H112" s="303" t="s">
        <v>10989</v>
      </c>
      <c r="I112" s="304" t="s">
        <v>10990</v>
      </c>
      <c r="J112" s="303" t="s">
        <v>10972</v>
      </c>
    </row>
    <row r="113" spans="1:10" s="305" customFormat="1" ht="14.5" customHeight="1" x14ac:dyDescent="0.25">
      <c r="A113" s="278" t="s">
        <v>9631</v>
      </c>
      <c r="B113" s="278" t="s">
        <v>10904</v>
      </c>
      <c r="C113" s="111" t="s">
        <v>9731</v>
      </c>
      <c r="D113" s="301" t="s">
        <v>9732</v>
      </c>
      <c r="E113" s="302" t="s">
        <v>10977</v>
      </c>
      <c r="F113" s="278" t="s">
        <v>4109</v>
      </c>
      <c r="G113" s="278" t="s">
        <v>4108</v>
      </c>
      <c r="H113" s="303" t="s">
        <v>10987</v>
      </c>
      <c r="I113" s="301" t="s">
        <v>10988</v>
      </c>
      <c r="J113" s="303" t="s">
        <v>10969</v>
      </c>
    </row>
    <row r="114" spans="1:10" ht="14.5" customHeight="1" x14ac:dyDescent="0.25">
      <c r="A114" s="278" t="s">
        <v>9631</v>
      </c>
      <c r="B114" s="278" t="s">
        <v>10904</v>
      </c>
      <c r="C114" s="111" t="s">
        <v>9733</v>
      </c>
      <c r="D114" s="301" t="s">
        <v>9734</v>
      </c>
      <c r="E114" s="302" t="s">
        <v>10973</v>
      </c>
      <c r="F114" s="278" t="s">
        <v>4109</v>
      </c>
      <c r="G114" s="278" t="s">
        <v>4108</v>
      </c>
      <c r="H114" s="303" t="s">
        <v>10987</v>
      </c>
      <c r="I114" s="301" t="s">
        <v>10988</v>
      </c>
      <c r="J114" s="303" t="s">
        <v>10969</v>
      </c>
    </row>
    <row r="115" spans="1:10" ht="14.5" customHeight="1" x14ac:dyDescent="0.25">
      <c r="A115" s="278" t="s">
        <v>9631</v>
      </c>
      <c r="B115" s="278" t="s">
        <v>10904</v>
      </c>
      <c r="C115" s="111" t="s">
        <v>9735</v>
      </c>
      <c r="D115" s="301" t="s">
        <v>9736</v>
      </c>
      <c r="E115" s="302" t="s">
        <v>10973</v>
      </c>
      <c r="F115" s="278" t="s">
        <v>4109</v>
      </c>
      <c r="G115" s="278" t="s">
        <v>4108</v>
      </c>
      <c r="H115" s="303" t="s">
        <v>10987</v>
      </c>
      <c r="I115" s="301" t="s">
        <v>10988</v>
      </c>
      <c r="J115" s="303" t="s">
        <v>10969</v>
      </c>
    </row>
    <row r="116" spans="1:10" ht="14.5" customHeight="1" x14ac:dyDescent="0.25">
      <c r="A116" s="278" t="s">
        <v>9631</v>
      </c>
      <c r="B116" s="278" t="s">
        <v>10904</v>
      </c>
      <c r="C116" s="111" t="s">
        <v>9735</v>
      </c>
      <c r="D116" s="301" t="s">
        <v>9736</v>
      </c>
      <c r="E116" s="302" t="s">
        <v>10973</v>
      </c>
      <c r="F116" s="278" t="s">
        <v>4109</v>
      </c>
      <c r="G116" s="278" t="s">
        <v>4108</v>
      </c>
      <c r="H116" s="303" t="s">
        <v>10991</v>
      </c>
      <c r="I116" s="301" t="s">
        <v>10992</v>
      </c>
      <c r="J116" s="303" t="s">
        <v>10969</v>
      </c>
    </row>
    <row r="117" spans="1:10" ht="14.5" customHeight="1" x14ac:dyDescent="0.25">
      <c r="A117" s="278" t="s">
        <v>9631</v>
      </c>
      <c r="B117" s="278" t="s">
        <v>10904</v>
      </c>
      <c r="C117" s="111" t="s">
        <v>9737</v>
      </c>
      <c r="D117" s="301" t="s">
        <v>10993</v>
      </c>
      <c r="E117" s="302" t="s">
        <v>10973</v>
      </c>
      <c r="F117" s="278" t="s">
        <v>4109</v>
      </c>
      <c r="G117" s="278" t="s">
        <v>4108</v>
      </c>
      <c r="H117" s="303" t="s">
        <v>10987</v>
      </c>
      <c r="I117" s="301" t="s">
        <v>10988</v>
      </c>
      <c r="J117" s="303" t="s">
        <v>10969</v>
      </c>
    </row>
    <row r="118" spans="1:10" ht="14.5" customHeight="1" x14ac:dyDescent="0.25">
      <c r="A118" s="278" t="s">
        <v>9631</v>
      </c>
      <c r="B118" s="278" t="s">
        <v>10904</v>
      </c>
      <c r="C118" s="111" t="s">
        <v>9737</v>
      </c>
      <c r="D118" s="301" t="s">
        <v>10993</v>
      </c>
      <c r="E118" s="302" t="s">
        <v>10973</v>
      </c>
      <c r="F118" s="278" t="s">
        <v>4109</v>
      </c>
      <c r="G118" s="278" t="s">
        <v>4108</v>
      </c>
      <c r="H118" s="303" t="s">
        <v>10994</v>
      </c>
      <c r="I118" s="301" t="s">
        <v>10995</v>
      </c>
      <c r="J118" s="303" t="s">
        <v>10969</v>
      </c>
    </row>
    <row r="119" spans="1:10" ht="14.5" customHeight="1" x14ac:dyDescent="0.25">
      <c r="A119" s="278" t="s">
        <v>9631</v>
      </c>
      <c r="B119" s="278" t="s">
        <v>10904</v>
      </c>
      <c r="C119" s="111" t="s">
        <v>9739</v>
      </c>
      <c r="D119" s="301" t="s">
        <v>9740</v>
      </c>
      <c r="E119" s="302" t="s">
        <v>10977</v>
      </c>
      <c r="F119" s="278" t="s">
        <v>4109</v>
      </c>
      <c r="G119" s="278" t="s">
        <v>4108</v>
      </c>
      <c r="H119" s="303" t="s">
        <v>10996</v>
      </c>
      <c r="I119" s="301" t="s">
        <v>10997</v>
      </c>
      <c r="J119" s="303" t="s">
        <v>10969</v>
      </c>
    </row>
    <row r="120" spans="1:10" ht="14.5" customHeight="1" x14ac:dyDescent="0.25">
      <c r="A120" s="278" t="s">
        <v>9631</v>
      </c>
      <c r="B120" s="278" t="s">
        <v>10904</v>
      </c>
      <c r="C120" s="111" t="s">
        <v>9739</v>
      </c>
      <c r="D120" s="301" t="s">
        <v>9740</v>
      </c>
      <c r="E120" s="302" t="s">
        <v>10977</v>
      </c>
      <c r="F120" s="278" t="s">
        <v>4109</v>
      </c>
      <c r="G120" s="278" t="s">
        <v>4108</v>
      </c>
      <c r="H120" s="303" t="s">
        <v>10998</v>
      </c>
      <c r="I120" s="301" t="s">
        <v>10999</v>
      </c>
      <c r="J120" s="303" t="s">
        <v>10969</v>
      </c>
    </row>
    <row r="121" spans="1:10" ht="14.5" customHeight="1" x14ac:dyDescent="0.25">
      <c r="A121" s="278" t="s">
        <v>9631</v>
      </c>
      <c r="B121" s="278" t="s">
        <v>10904</v>
      </c>
      <c r="C121" s="111" t="s">
        <v>9739</v>
      </c>
      <c r="D121" s="301" t="s">
        <v>9740</v>
      </c>
      <c r="E121" s="302" t="s">
        <v>10977</v>
      </c>
      <c r="F121" s="278" t="s">
        <v>4109</v>
      </c>
      <c r="G121" s="278" t="s">
        <v>4108</v>
      </c>
      <c r="H121" s="303" t="s">
        <v>11000</v>
      </c>
      <c r="I121" s="301" t="s">
        <v>11001</v>
      </c>
      <c r="J121" s="303" t="s">
        <v>10969</v>
      </c>
    </row>
    <row r="122" spans="1:10" ht="14.5" customHeight="1" x14ac:dyDescent="0.25">
      <c r="A122" s="278" t="s">
        <v>9631</v>
      </c>
      <c r="B122" s="278" t="s">
        <v>10904</v>
      </c>
      <c r="C122" s="111" t="s">
        <v>9739</v>
      </c>
      <c r="D122" s="301" t="s">
        <v>9740</v>
      </c>
      <c r="E122" s="302" t="s">
        <v>10977</v>
      </c>
      <c r="F122" s="278" t="s">
        <v>4109</v>
      </c>
      <c r="G122" s="278" t="s">
        <v>4108</v>
      </c>
      <c r="H122" s="303" t="s">
        <v>11002</v>
      </c>
      <c r="I122" s="301" t="s">
        <v>11003</v>
      </c>
      <c r="J122" s="303" t="s">
        <v>10972</v>
      </c>
    </row>
    <row r="123" spans="1:10" ht="14.5" customHeight="1" x14ac:dyDescent="0.25">
      <c r="A123" s="278" t="s">
        <v>9631</v>
      </c>
      <c r="B123" s="278" t="s">
        <v>10904</v>
      </c>
      <c r="C123" s="111" t="s">
        <v>9739</v>
      </c>
      <c r="D123" s="301" t="s">
        <v>9740</v>
      </c>
      <c r="E123" s="302" t="s">
        <v>10977</v>
      </c>
      <c r="F123" s="278" t="s">
        <v>4109</v>
      </c>
      <c r="G123" s="278" t="s">
        <v>4108</v>
      </c>
      <c r="H123" s="303" t="s">
        <v>11004</v>
      </c>
      <c r="I123" s="301" t="s">
        <v>11005</v>
      </c>
      <c r="J123" s="303" t="s">
        <v>10972</v>
      </c>
    </row>
    <row r="124" spans="1:10" s="305" customFormat="1" ht="14.5" customHeight="1" x14ac:dyDescent="0.25">
      <c r="A124" s="278" t="s">
        <v>9631</v>
      </c>
      <c r="B124" s="278" t="s">
        <v>10904</v>
      </c>
      <c r="C124" s="111" t="s">
        <v>9739</v>
      </c>
      <c r="D124" s="301" t="s">
        <v>9740</v>
      </c>
      <c r="E124" s="302" t="s">
        <v>10977</v>
      </c>
      <c r="F124" s="278" t="s">
        <v>4109</v>
      </c>
      <c r="G124" s="278" t="s">
        <v>4108</v>
      </c>
      <c r="H124" s="303" t="s">
        <v>11006</v>
      </c>
      <c r="I124" s="301" t="s">
        <v>11007</v>
      </c>
      <c r="J124" s="303" t="s">
        <v>10972</v>
      </c>
    </row>
    <row r="125" spans="1:10" s="305" customFormat="1" ht="14.5" customHeight="1" x14ac:dyDescent="0.25">
      <c r="A125" s="282" t="s">
        <v>9631</v>
      </c>
      <c r="B125" s="284" t="s">
        <v>10904</v>
      </c>
      <c r="C125" s="270" t="s">
        <v>9739</v>
      </c>
      <c r="D125" s="381" t="s">
        <v>9740</v>
      </c>
      <c r="E125" s="382" t="s">
        <v>10977</v>
      </c>
      <c r="F125" s="284" t="s">
        <v>4109</v>
      </c>
      <c r="G125" s="284" t="s">
        <v>4108</v>
      </c>
      <c r="H125" s="383" t="s">
        <v>11008</v>
      </c>
      <c r="I125" s="381" t="s">
        <v>11009</v>
      </c>
      <c r="J125" s="383" t="s">
        <v>10972</v>
      </c>
    </row>
    <row r="126" spans="1:10" s="305" customFormat="1" ht="14.5" customHeight="1" x14ac:dyDescent="0.25">
      <c r="A126" s="278" t="s">
        <v>9631</v>
      </c>
      <c r="B126" s="278" t="s">
        <v>10904</v>
      </c>
      <c r="C126" s="111" t="s">
        <v>9741</v>
      </c>
      <c r="D126" s="301" t="s">
        <v>9742</v>
      </c>
      <c r="E126" s="302" t="s">
        <v>10977</v>
      </c>
      <c r="F126" s="278" t="s">
        <v>4109</v>
      </c>
      <c r="G126" s="278" t="s">
        <v>4108</v>
      </c>
      <c r="H126" s="303" t="s">
        <v>10996</v>
      </c>
      <c r="I126" s="301" t="s">
        <v>10997</v>
      </c>
      <c r="J126" s="303" t="s">
        <v>10969</v>
      </c>
    </row>
    <row r="127" spans="1:10" s="305" customFormat="1" ht="14.5" customHeight="1" x14ac:dyDescent="0.25">
      <c r="A127" s="278" t="s">
        <v>9631</v>
      </c>
      <c r="B127" s="278" t="s">
        <v>10904</v>
      </c>
      <c r="C127" s="111" t="s">
        <v>9741</v>
      </c>
      <c r="D127" s="301" t="s">
        <v>9742</v>
      </c>
      <c r="E127" s="302" t="s">
        <v>10977</v>
      </c>
      <c r="F127" s="278" t="s">
        <v>4109</v>
      </c>
      <c r="G127" s="278" t="s">
        <v>4108</v>
      </c>
      <c r="H127" s="303" t="s">
        <v>10998</v>
      </c>
      <c r="I127" s="301" t="s">
        <v>10999</v>
      </c>
      <c r="J127" s="303" t="s">
        <v>10969</v>
      </c>
    </row>
    <row r="128" spans="1:10" s="305" customFormat="1" ht="14.5" customHeight="1" x14ac:dyDescent="0.25">
      <c r="A128" s="278" t="s">
        <v>9631</v>
      </c>
      <c r="B128" s="278" t="s">
        <v>10904</v>
      </c>
      <c r="C128" s="111" t="s">
        <v>9741</v>
      </c>
      <c r="D128" s="301" t="s">
        <v>9742</v>
      </c>
      <c r="E128" s="302" t="s">
        <v>10977</v>
      </c>
      <c r="F128" s="278" t="s">
        <v>4109</v>
      </c>
      <c r="G128" s="278" t="s">
        <v>4108</v>
      </c>
      <c r="H128" s="303" t="s">
        <v>11000</v>
      </c>
      <c r="I128" s="301" t="s">
        <v>11001</v>
      </c>
      <c r="J128" s="303" t="s">
        <v>10969</v>
      </c>
    </row>
    <row r="129" spans="1:10" s="305" customFormat="1" ht="14.5" customHeight="1" x14ac:dyDescent="0.25">
      <c r="A129" s="278" t="s">
        <v>9631</v>
      </c>
      <c r="B129" s="278" t="s">
        <v>10904</v>
      </c>
      <c r="C129" s="111" t="s">
        <v>9741</v>
      </c>
      <c r="D129" s="301" t="s">
        <v>9742</v>
      </c>
      <c r="E129" s="302" t="s">
        <v>10977</v>
      </c>
      <c r="F129" s="278" t="s">
        <v>4109</v>
      </c>
      <c r="G129" s="278" t="s">
        <v>4108</v>
      </c>
      <c r="H129" s="303" t="s">
        <v>11002</v>
      </c>
      <c r="I129" s="301" t="s">
        <v>11003</v>
      </c>
      <c r="J129" s="303" t="s">
        <v>10972</v>
      </c>
    </row>
    <row r="130" spans="1:10" s="305" customFormat="1" ht="14.5" customHeight="1" x14ac:dyDescent="0.25">
      <c r="A130" s="278" t="s">
        <v>9631</v>
      </c>
      <c r="B130" s="278" t="s">
        <v>10904</v>
      </c>
      <c r="C130" s="111" t="s">
        <v>9741</v>
      </c>
      <c r="D130" s="301" t="s">
        <v>9742</v>
      </c>
      <c r="E130" s="302" t="s">
        <v>10977</v>
      </c>
      <c r="F130" s="278" t="s">
        <v>4109</v>
      </c>
      <c r="G130" s="278" t="s">
        <v>4108</v>
      </c>
      <c r="H130" s="303" t="s">
        <v>11004</v>
      </c>
      <c r="I130" s="301" t="s">
        <v>11005</v>
      </c>
      <c r="J130" s="303" t="s">
        <v>10972</v>
      </c>
    </row>
    <row r="131" spans="1:10" ht="14.5" customHeight="1" x14ac:dyDescent="0.25">
      <c r="A131" s="278" t="s">
        <v>9631</v>
      </c>
      <c r="B131" s="278" t="s">
        <v>10904</v>
      </c>
      <c r="C131" s="111" t="s">
        <v>9741</v>
      </c>
      <c r="D131" s="301" t="s">
        <v>9742</v>
      </c>
      <c r="E131" s="302" t="s">
        <v>10977</v>
      </c>
      <c r="F131" s="278" t="s">
        <v>4109</v>
      </c>
      <c r="G131" s="278" t="s">
        <v>4108</v>
      </c>
      <c r="H131" s="303" t="s">
        <v>11006</v>
      </c>
      <c r="I131" s="301" t="s">
        <v>11007</v>
      </c>
      <c r="J131" s="303" t="s">
        <v>10972</v>
      </c>
    </row>
    <row r="132" spans="1:10" s="305" customFormat="1" ht="14.5" customHeight="1" x14ac:dyDescent="0.25">
      <c r="A132" s="282" t="s">
        <v>9631</v>
      </c>
      <c r="B132" s="284" t="s">
        <v>10904</v>
      </c>
      <c r="C132" s="270" t="s">
        <v>9741</v>
      </c>
      <c r="D132" s="381" t="s">
        <v>9742</v>
      </c>
      <c r="E132" s="382" t="s">
        <v>10977</v>
      </c>
      <c r="F132" s="284" t="s">
        <v>4109</v>
      </c>
      <c r="G132" s="284" t="s">
        <v>4108</v>
      </c>
      <c r="H132" s="383" t="s">
        <v>11008</v>
      </c>
      <c r="I132" s="381" t="s">
        <v>11009</v>
      </c>
      <c r="J132" s="383" t="s">
        <v>10972</v>
      </c>
    </row>
    <row r="133" spans="1:10" ht="14.5" customHeight="1" x14ac:dyDescent="0.25">
      <c r="A133" s="278" t="s">
        <v>9631</v>
      </c>
      <c r="B133" s="278" t="s">
        <v>10904</v>
      </c>
      <c r="C133" s="111" t="s">
        <v>9743</v>
      </c>
      <c r="D133" s="301" t="s">
        <v>9744</v>
      </c>
      <c r="E133" s="302" t="s">
        <v>10977</v>
      </c>
      <c r="F133" s="278" t="s">
        <v>4109</v>
      </c>
      <c r="G133" s="278" t="s">
        <v>4108</v>
      </c>
      <c r="H133" s="303" t="s">
        <v>10996</v>
      </c>
      <c r="I133" s="301" t="s">
        <v>10997</v>
      </c>
      <c r="J133" s="303" t="s">
        <v>10969</v>
      </c>
    </row>
    <row r="134" spans="1:10" ht="14.5" customHeight="1" x14ac:dyDescent="0.25">
      <c r="A134" s="278" t="s">
        <v>9631</v>
      </c>
      <c r="B134" s="278" t="s">
        <v>10904</v>
      </c>
      <c r="C134" s="111" t="s">
        <v>9743</v>
      </c>
      <c r="D134" s="301" t="s">
        <v>9744</v>
      </c>
      <c r="E134" s="302" t="s">
        <v>10977</v>
      </c>
      <c r="F134" s="278" t="s">
        <v>4109</v>
      </c>
      <c r="G134" s="278" t="s">
        <v>4108</v>
      </c>
      <c r="H134" s="303" t="s">
        <v>11010</v>
      </c>
      <c r="I134" s="301" t="s">
        <v>11011</v>
      </c>
      <c r="J134" s="303" t="s">
        <v>10969</v>
      </c>
    </row>
    <row r="135" spans="1:10" ht="14.5" customHeight="1" x14ac:dyDescent="0.25">
      <c r="A135" s="278" t="s">
        <v>9631</v>
      </c>
      <c r="B135" s="278" t="s">
        <v>10904</v>
      </c>
      <c r="C135" s="111" t="s">
        <v>9743</v>
      </c>
      <c r="D135" s="301" t="s">
        <v>9744</v>
      </c>
      <c r="E135" s="302" t="s">
        <v>10977</v>
      </c>
      <c r="F135" s="278" t="s">
        <v>4109</v>
      </c>
      <c r="G135" s="278" t="s">
        <v>4108</v>
      </c>
      <c r="H135" s="303" t="s">
        <v>11002</v>
      </c>
      <c r="I135" s="301" t="s">
        <v>11003</v>
      </c>
      <c r="J135" s="303" t="s">
        <v>10972</v>
      </c>
    </row>
    <row r="136" spans="1:10" ht="14.5" customHeight="1" x14ac:dyDescent="0.25">
      <c r="A136" s="278" t="s">
        <v>9631</v>
      </c>
      <c r="B136" s="278" t="s">
        <v>10904</v>
      </c>
      <c r="C136" s="111" t="s">
        <v>9743</v>
      </c>
      <c r="D136" s="301" t="s">
        <v>9744</v>
      </c>
      <c r="E136" s="302" t="s">
        <v>10977</v>
      </c>
      <c r="F136" s="278" t="s">
        <v>4109</v>
      </c>
      <c r="G136" s="278" t="s">
        <v>4108</v>
      </c>
      <c r="H136" s="303" t="s">
        <v>11012</v>
      </c>
      <c r="I136" s="301" t="s">
        <v>11013</v>
      </c>
      <c r="J136" s="303" t="s">
        <v>10972</v>
      </c>
    </row>
    <row r="137" spans="1:10" s="305" customFormat="1" ht="14.5" customHeight="1" x14ac:dyDescent="0.25">
      <c r="A137" s="282" t="s">
        <v>9631</v>
      </c>
      <c r="B137" s="284" t="s">
        <v>10904</v>
      </c>
      <c r="C137" s="270" t="s">
        <v>9743</v>
      </c>
      <c r="D137" s="381" t="s">
        <v>9744</v>
      </c>
      <c r="E137" s="382" t="s">
        <v>10977</v>
      </c>
      <c r="F137" s="284" t="s">
        <v>4109</v>
      </c>
      <c r="G137" s="284" t="s">
        <v>4108</v>
      </c>
      <c r="H137" s="383" t="s">
        <v>11008</v>
      </c>
      <c r="I137" s="381" t="s">
        <v>11009</v>
      </c>
      <c r="J137" s="383" t="s">
        <v>10972</v>
      </c>
    </row>
    <row r="138" spans="1:10" ht="14.5" customHeight="1" x14ac:dyDescent="0.25">
      <c r="A138" s="278" t="s">
        <v>9631</v>
      </c>
      <c r="B138" s="278" t="s">
        <v>10904</v>
      </c>
      <c r="C138" s="111" t="s">
        <v>9745</v>
      </c>
      <c r="D138" s="301" t="s">
        <v>9746</v>
      </c>
      <c r="E138" s="302" t="s">
        <v>10973</v>
      </c>
      <c r="F138" s="278" t="s">
        <v>4109</v>
      </c>
      <c r="G138" s="278" t="s">
        <v>4108</v>
      </c>
      <c r="H138" s="303" t="s">
        <v>10996</v>
      </c>
      <c r="I138" s="301" t="s">
        <v>10997</v>
      </c>
      <c r="J138" s="303" t="s">
        <v>10969</v>
      </c>
    </row>
    <row r="139" spans="1:10" ht="14.5" customHeight="1" x14ac:dyDescent="0.25">
      <c r="A139" s="278" t="s">
        <v>9631</v>
      </c>
      <c r="B139" s="278" t="s">
        <v>10904</v>
      </c>
      <c r="C139" s="111" t="s">
        <v>9745</v>
      </c>
      <c r="D139" s="301" t="s">
        <v>9746</v>
      </c>
      <c r="E139" s="302" t="s">
        <v>10973</v>
      </c>
      <c r="F139" s="278" t="s">
        <v>4109</v>
      </c>
      <c r="G139" s="278" t="s">
        <v>4108</v>
      </c>
      <c r="H139" s="303" t="s">
        <v>11010</v>
      </c>
      <c r="I139" s="301" t="s">
        <v>11011</v>
      </c>
      <c r="J139" s="303" t="s">
        <v>10969</v>
      </c>
    </row>
    <row r="140" spans="1:10" ht="14.5" customHeight="1" x14ac:dyDescent="0.25">
      <c r="A140" s="278" t="s">
        <v>9631</v>
      </c>
      <c r="B140" s="278" t="s">
        <v>10904</v>
      </c>
      <c r="C140" s="111" t="s">
        <v>9747</v>
      </c>
      <c r="D140" s="301" t="s">
        <v>9748</v>
      </c>
      <c r="E140" s="302" t="s">
        <v>10973</v>
      </c>
      <c r="F140" s="278" t="s">
        <v>4109</v>
      </c>
      <c r="G140" s="278" t="s">
        <v>4108</v>
      </c>
      <c r="H140" s="303" t="s">
        <v>10996</v>
      </c>
      <c r="I140" s="301" t="s">
        <v>10997</v>
      </c>
      <c r="J140" s="303" t="s">
        <v>10969</v>
      </c>
    </row>
    <row r="141" spans="1:10" ht="14.5" customHeight="1" x14ac:dyDescent="0.25">
      <c r="A141" s="278" t="s">
        <v>9631</v>
      </c>
      <c r="B141" s="278" t="s">
        <v>10904</v>
      </c>
      <c r="C141" s="111" t="s">
        <v>9747</v>
      </c>
      <c r="D141" s="301" t="s">
        <v>9748</v>
      </c>
      <c r="E141" s="302" t="s">
        <v>10973</v>
      </c>
      <c r="F141" s="278" t="s">
        <v>4109</v>
      </c>
      <c r="G141" s="278" t="s">
        <v>4108</v>
      </c>
      <c r="H141" s="303" t="s">
        <v>11010</v>
      </c>
      <c r="I141" s="301" t="s">
        <v>11011</v>
      </c>
      <c r="J141" s="303" t="s">
        <v>10969</v>
      </c>
    </row>
    <row r="142" spans="1:10" ht="14.5" customHeight="1" x14ac:dyDescent="0.25">
      <c r="A142" s="278" t="s">
        <v>9631</v>
      </c>
      <c r="B142" s="278" t="s">
        <v>10904</v>
      </c>
      <c r="C142" s="111" t="s">
        <v>9749</v>
      </c>
      <c r="D142" s="301" t="s">
        <v>9750</v>
      </c>
      <c r="E142" s="302" t="s">
        <v>10977</v>
      </c>
      <c r="F142" s="278" t="s">
        <v>4109</v>
      </c>
      <c r="G142" s="278" t="s">
        <v>4108</v>
      </c>
      <c r="H142" s="303" t="s">
        <v>10996</v>
      </c>
      <c r="I142" s="301" t="s">
        <v>10997</v>
      </c>
      <c r="J142" s="303" t="s">
        <v>10969</v>
      </c>
    </row>
    <row r="143" spans="1:10" ht="14.5" customHeight="1" x14ac:dyDescent="0.25">
      <c r="A143" s="278" t="s">
        <v>9631</v>
      </c>
      <c r="B143" s="278" t="s">
        <v>10904</v>
      </c>
      <c r="C143" s="111" t="s">
        <v>9749</v>
      </c>
      <c r="D143" s="301" t="s">
        <v>9750</v>
      </c>
      <c r="E143" s="302" t="s">
        <v>10977</v>
      </c>
      <c r="F143" s="278" t="s">
        <v>4109</v>
      </c>
      <c r="G143" s="278" t="s">
        <v>4108</v>
      </c>
      <c r="H143" s="303" t="s">
        <v>11014</v>
      </c>
      <c r="I143" s="301" t="s">
        <v>11015</v>
      </c>
      <c r="J143" s="303" t="s">
        <v>10969</v>
      </c>
    </row>
    <row r="144" spans="1:10" ht="14.5" customHeight="1" x14ac:dyDescent="0.25">
      <c r="A144" s="278" t="s">
        <v>9631</v>
      </c>
      <c r="B144" s="278" t="s">
        <v>10904</v>
      </c>
      <c r="C144" s="111" t="s">
        <v>9749</v>
      </c>
      <c r="D144" s="301" t="s">
        <v>9750</v>
      </c>
      <c r="E144" s="302" t="s">
        <v>10977</v>
      </c>
      <c r="F144" s="278" t="s">
        <v>4109</v>
      </c>
      <c r="G144" s="278" t="s">
        <v>4108</v>
      </c>
      <c r="H144" s="303" t="s">
        <v>11016</v>
      </c>
      <c r="I144" s="301" t="s">
        <v>11017</v>
      </c>
      <c r="J144" s="303" t="s">
        <v>10969</v>
      </c>
    </row>
    <row r="145" spans="1:10" ht="14.5" customHeight="1" x14ac:dyDescent="0.25">
      <c r="A145" s="278" t="s">
        <v>9631</v>
      </c>
      <c r="B145" s="278" t="s">
        <v>10904</v>
      </c>
      <c r="C145" s="111" t="s">
        <v>9749</v>
      </c>
      <c r="D145" s="301" t="s">
        <v>9750</v>
      </c>
      <c r="E145" s="302" t="s">
        <v>10977</v>
      </c>
      <c r="F145" s="278" t="s">
        <v>4109</v>
      </c>
      <c r="G145" s="278" t="s">
        <v>4108</v>
      </c>
      <c r="H145" s="303" t="s">
        <v>11002</v>
      </c>
      <c r="I145" s="301" t="s">
        <v>11003</v>
      </c>
      <c r="J145" s="303" t="s">
        <v>10972</v>
      </c>
    </row>
    <row r="146" spans="1:10" ht="14.5" customHeight="1" x14ac:dyDescent="0.25">
      <c r="A146" s="278" t="s">
        <v>9631</v>
      </c>
      <c r="B146" s="278" t="s">
        <v>10904</v>
      </c>
      <c r="C146" s="111" t="s">
        <v>9749</v>
      </c>
      <c r="D146" s="301" t="s">
        <v>9750</v>
      </c>
      <c r="E146" s="302" t="s">
        <v>10977</v>
      </c>
      <c r="F146" s="278" t="s">
        <v>4109</v>
      </c>
      <c r="G146" s="278" t="s">
        <v>4108</v>
      </c>
      <c r="H146" s="303" t="s">
        <v>11018</v>
      </c>
      <c r="I146" s="301" t="s">
        <v>11019</v>
      </c>
      <c r="J146" s="303" t="s">
        <v>10972</v>
      </c>
    </row>
    <row r="147" spans="1:10" ht="14.5" customHeight="1" x14ac:dyDescent="0.25">
      <c r="A147" s="278" t="s">
        <v>9631</v>
      </c>
      <c r="B147" s="278" t="s">
        <v>10904</v>
      </c>
      <c r="C147" s="111" t="s">
        <v>9749</v>
      </c>
      <c r="D147" s="301" t="s">
        <v>9750</v>
      </c>
      <c r="E147" s="302" t="s">
        <v>10977</v>
      </c>
      <c r="F147" s="278" t="s">
        <v>4109</v>
      </c>
      <c r="G147" s="278" t="s">
        <v>4108</v>
      </c>
      <c r="H147" s="303" t="s">
        <v>11020</v>
      </c>
      <c r="I147" s="301" t="s">
        <v>11021</v>
      </c>
      <c r="J147" s="303" t="s">
        <v>10972</v>
      </c>
    </row>
    <row r="148" spans="1:10" ht="14.5" customHeight="1" x14ac:dyDescent="0.25">
      <c r="A148" s="278" t="s">
        <v>9631</v>
      </c>
      <c r="B148" s="278" t="s">
        <v>10904</v>
      </c>
      <c r="C148" s="111" t="s">
        <v>9751</v>
      </c>
      <c r="D148" s="301" t="s">
        <v>9752</v>
      </c>
      <c r="E148" s="302" t="s">
        <v>10973</v>
      </c>
      <c r="F148" s="278" t="s">
        <v>4109</v>
      </c>
      <c r="G148" s="278" t="s">
        <v>4108</v>
      </c>
      <c r="H148" s="303" t="s">
        <v>10996</v>
      </c>
      <c r="I148" s="301" t="s">
        <v>10997</v>
      </c>
      <c r="J148" s="303" t="s">
        <v>10969</v>
      </c>
    </row>
    <row r="149" spans="1:10" ht="14.5" customHeight="1" x14ac:dyDescent="0.25">
      <c r="A149" s="278" t="s">
        <v>9631</v>
      </c>
      <c r="B149" s="278" t="s">
        <v>10904</v>
      </c>
      <c r="C149" s="111" t="s">
        <v>9751</v>
      </c>
      <c r="D149" s="301" t="s">
        <v>9752</v>
      </c>
      <c r="E149" s="302" t="s">
        <v>10973</v>
      </c>
      <c r="F149" s="278" t="s">
        <v>4109</v>
      </c>
      <c r="G149" s="278" t="s">
        <v>4108</v>
      </c>
      <c r="H149" s="303" t="s">
        <v>11014</v>
      </c>
      <c r="I149" s="301" t="s">
        <v>11015</v>
      </c>
      <c r="J149" s="303" t="s">
        <v>10969</v>
      </c>
    </row>
    <row r="150" spans="1:10" ht="14.5" customHeight="1" x14ac:dyDescent="0.25">
      <c r="A150" s="278" t="s">
        <v>9631</v>
      </c>
      <c r="B150" s="278" t="s">
        <v>10904</v>
      </c>
      <c r="C150" s="111" t="s">
        <v>9751</v>
      </c>
      <c r="D150" s="301" t="s">
        <v>9752</v>
      </c>
      <c r="E150" s="302" t="s">
        <v>10973</v>
      </c>
      <c r="F150" s="278" t="s">
        <v>4109</v>
      </c>
      <c r="G150" s="278" t="s">
        <v>4108</v>
      </c>
      <c r="H150" s="303" t="s">
        <v>11016</v>
      </c>
      <c r="I150" s="301" t="s">
        <v>11017</v>
      </c>
      <c r="J150" s="303" t="s">
        <v>10969</v>
      </c>
    </row>
    <row r="151" spans="1:10" ht="14.5" customHeight="1" x14ac:dyDescent="0.25">
      <c r="A151" s="278" t="s">
        <v>9631</v>
      </c>
      <c r="B151" s="278" t="s">
        <v>10904</v>
      </c>
      <c r="C151" s="111" t="s">
        <v>9753</v>
      </c>
      <c r="D151" s="301" t="s">
        <v>9754</v>
      </c>
      <c r="E151" s="302" t="s">
        <v>10973</v>
      </c>
      <c r="F151" s="278" t="s">
        <v>4109</v>
      </c>
      <c r="G151" s="278" t="s">
        <v>4108</v>
      </c>
      <c r="H151" s="303" t="s">
        <v>10996</v>
      </c>
      <c r="I151" s="301" t="s">
        <v>10997</v>
      </c>
      <c r="J151" s="303" t="s">
        <v>10969</v>
      </c>
    </row>
    <row r="152" spans="1:10" ht="14.5" customHeight="1" x14ac:dyDescent="0.25">
      <c r="A152" s="278" t="s">
        <v>9631</v>
      </c>
      <c r="B152" s="278" t="s">
        <v>10904</v>
      </c>
      <c r="C152" s="111" t="s">
        <v>9753</v>
      </c>
      <c r="D152" s="301" t="s">
        <v>9754</v>
      </c>
      <c r="E152" s="302" t="s">
        <v>10973</v>
      </c>
      <c r="F152" s="278" t="s">
        <v>4109</v>
      </c>
      <c r="G152" s="278" t="s">
        <v>4108</v>
      </c>
      <c r="H152" s="303" t="s">
        <v>11014</v>
      </c>
      <c r="I152" s="301" t="s">
        <v>11015</v>
      </c>
      <c r="J152" s="303" t="s">
        <v>10969</v>
      </c>
    </row>
    <row r="153" spans="1:10" ht="14.5" customHeight="1" x14ac:dyDescent="0.25">
      <c r="A153" s="278" t="s">
        <v>9631</v>
      </c>
      <c r="B153" s="278" t="s">
        <v>10904</v>
      </c>
      <c r="C153" s="111" t="s">
        <v>9753</v>
      </c>
      <c r="D153" s="301" t="s">
        <v>9754</v>
      </c>
      <c r="E153" s="302" t="s">
        <v>10973</v>
      </c>
      <c r="F153" s="278" t="s">
        <v>4109</v>
      </c>
      <c r="G153" s="278" t="s">
        <v>4108</v>
      </c>
      <c r="H153" s="303" t="s">
        <v>11016</v>
      </c>
      <c r="I153" s="301" t="s">
        <v>11017</v>
      </c>
      <c r="J153" s="303" t="s">
        <v>10969</v>
      </c>
    </row>
    <row r="154" spans="1:10" ht="14.5" customHeight="1" x14ac:dyDescent="0.25">
      <c r="A154" s="278" t="s">
        <v>9631</v>
      </c>
      <c r="B154" s="278" t="s">
        <v>10904</v>
      </c>
      <c r="C154" s="111" t="s">
        <v>9755</v>
      </c>
      <c r="D154" s="301" t="s">
        <v>9756</v>
      </c>
      <c r="E154" s="302" t="s">
        <v>10977</v>
      </c>
      <c r="F154" s="278" t="s">
        <v>4109</v>
      </c>
      <c r="G154" s="278" t="s">
        <v>4108</v>
      </c>
      <c r="H154" s="303" t="s">
        <v>10996</v>
      </c>
      <c r="I154" s="301" t="s">
        <v>10997</v>
      </c>
      <c r="J154" s="303" t="s">
        <v>10969</v>
      </c>
    </row>
    <row r="155" spans="1:10" ht="14.5" customHeight="1" x14ac:dyDescent="0.25">
      <c r="A155" s="278" t="s">
        <v>9631</v>
      </c>
      <c r="B155" s="278" t="s">
        <v>10904</v>
      </c>
      <c r="C155" s="111" t="s">
        <v>9755</v>
      </c>
      <c r="D155" s="301" t="s">
        <v>9756</v>
      </c>
      <c r="E155" s="302" t="s">
        <v>10977</v>
      </c>
      <c r="F155" s="278" t="s">
        <v>4109</v>
      </c>
      <c r="G155" s="278" t="s">
        <v>4108</v>
      </c>
      <c r="H155" s="303" t="s">
        <v>11014</v>
      </c>
      <c r="I155" s="301" t="s">
        <v>11015</v>
      </c>
      <c r="J155" s="303" t="s">
        <v>10969</v>
      </c>
    </row>
    <row r="156" spans="1:10" ht="14.5" customHeight="1" x14ac:dyDescent="0.25">
      <c r="A156" s="278" t="s">
        <v>9631</v>
      </c>
      <c r="B156" s="278" t="s">
        <v>10904</v>
      </c>
      <c r="C156" s="111" t="s">
        <v>9755</v>
      </c>
      <c r="D156" s="301" t="s">
        <v>9756</v>
      </c>
      <c r="E156" s="302" t="s">
        <v>10977</v>
      </c>
      <c r="F156" s="278" t="s">
        <v>4109</v>
      </c>
      <c r="G156" s="278" t="s">
        <v>4108</v>
      </c>
      <c r="H156" s="303" t="s">
        <v>11022</v>
      </c>
      <c r="I156" s="301" t="s">
        <v>11023</v>
      </c>
      <c r="J156" s="303" t="s">
        <v>10969</v>
      </c>
    </row>
    <row r="157" spans="1:10" ht="14.5" customHeight="1" x14ac:dyDescent="0.25">
      <c r="A157" s="278" t="s">
        <v>9631</v>
      </c>
      <c r="B157" s="278" t="s">
        <v>10904</v>
      </c>
      <c r="C157" s="111" t="s">
        <v>9755</v>
      </c>
      <c r="D157" s="301" t="s">
        <v>9756</v>
      </c>
      <c r="E157" s="302" t="s">
        <v>10977</v>
      </c>
      <c r="F157" s="278" t="s">
        <v>4109</v>
      </c>
      <c r="G157" s="278" t="s">
        <v>4108</v>
      </c>
      <c r="H157" s="303" t="s">
        <v>11002</v>
      </c>
      <c r="I157" s="301" t="s">
        <v>11003</v>
      </c>
      <c r="J157" s="303" t="s">
        <v>10972</v>
      </c>
    </row>
    <row r="158" spans="1:10" ht="14.5" customHeight="1" x14ac:dyDescent="0.25">
      <c r="A158" s="278" t="s">
        <v>9631</v>
      </c>
      <c r="B158" s="278" t="s">
        <v>10904</v>
      </c>
      <c r="C158" s="111" t="s">
        <v>9755</v>
      </c>
      <c r="D158" s="301" t="s">
        <v>9756</v>
      </c>
      <c r="E158" s="302" t="s">
        <v>10977</v>
      </c>
      <c r="F158" s="278" t="s">
        <v>4109</v>
      </c>
      <c r="G158" s="278" t="s">
        <v>4108</v>
      </c>
      <c r="H158" s="303" t="s">
        <v>11018</v>
      </c>
      <c r="I158" s="301" t="s">
        <v>11019</v>
      </c>
      <c r="J158" s="303" t="s">
        <v>10972</v>
      </c>
    </row>
    <row r="159" spans="1:10" ht="14.5" customHeight="1" x14ac:dyDescent="0.25">
      <c r="A159" s="278" t="s">
        <v>9631</v>
      </c>
      <c r="B159" s="278" t="s">
        <v>10904</v>
      </c>
      <c r="C159" s="111" t="s">
        <v>9755</v>
      </c>
      <c r="D159" s="301" t="s">
        <v>9756</v>
      </c>
      <c r="E159" s="302" t="s">
        <v>10977</v>
      </c>
      <c r="F159" s="278" t="s">
        <v>4109</v>
      </c>
      <c r="G159" s="278" t="s">
        <v>4108</v>
      </c>
      <c r="H159" s="303" t="s">
        <v>11024</v>
      </c>
      <c r="I159" s="301" t="s">
        <v>11025</v>
      </c>
      <c r="J159" s="303" t="s">
        <v>10972</v>
      </c>
    </row>
    <row r="160" spans="1:10" ht="14.5" customHeight="1" x14ac:dyDescent="0.25">
      <c r="A160" s="278" t="s">
        <v>9631</v>
      </c>
      <c r="B160" s="278" t="s">
        <v>10904</v>
      </c>
      <c r="C160" s="111" t="s">
        <v>9757</v>
      </c>
      <c r="D160" s="301" t="s">
        <v>9758</v>
      </c>
      <c r="E160" s="302" t="s">
        <v>10973</v>
      </c>
      <c r="F160" s="278" t="s">
        <v>4109</v>
      </c>
      <c r="G160" s="278" t="s">
        <v>4108</v>
      </c>
      <c r="H160" s="303" t="s">
        <v>10996</v>
      </c>
      <c r="I160" s="301" t="s">
        <v>10997</v>
      </c>
      <c r="J160" s="303" t="s">
        <v>10969</v>
      </c>
    </row>
    <row r="161" spans="1:10" ht="14.5" customHeight="1" x14ac:dyDescent="0.25">
      <c r="A161" s="278" t="s">
        <v>9631</v>
      </c>
      <c r="B161" s="278" t="s">
        <v>10904</v>
      </c>
      <c r="C161" s="111" t="s">
        <v>9757</v>
      </c>
      <c r="D161" s="301" t="s">
        <v>9758</v>
      </c>
      <c r="E161" s="302" t="s">
        <v>10973</v>
      </c>
      <c r="F161" s="278" t="s">
        <v>4109</v>
      </c>
      <c r="G161" s="278" t="s">
        <v>4108</v>
      </c>
      <c r="H161" s="303" t="s">
        <v>11014</v>
      </c>
      <c r="I161" s="301" t="s">
        <v>11015</v>
      </c>
      <c r="J161" s="303" t="s">
        <v>10969</v>
      </c>
    </row>
    <row r="162" spans="1:10" ht="14.5" customHeight="1" x14ac:dyDescent="0.25">
      <c r="A162" s="278" t="s">
        <v>9631</v>
      </c>
      <c r="B162" s="278" t="s">
        <v>10904</v>
      </c>
      <c r="C162" s="111" t="s">
        <v>9757</v>
      </c>
      <c r="D162" s="301" t="s">
        <v>9758</v>
      </c>
      <c r="E162" s="302" t="s">
        <v>10973</v>
      </c>
      <c r="F162" s="278" t="s">
        <v>4109</v>
      </c>
      <c r="G162" s="278" t="s">
        <v>4108</v>
      </c>
      <c r="H162" s="303" t="s">
        <v>11022</v>
      </c>
      <c r="I162" s="301" t="s">
        <v>11023</v>
      </c>
      <c r="J162" s="303" t="s">
        <v>10969</v>
      </c>
    </row>
    <row r="163" spans="1:10" ht="14.5" customHeight="1" x14ac:dyDescent="0.25">
      <c r="A163" s="278" t="s">
        <v>9631</v>
      </c>
      <c r="B163" s="278" t="s">
        <v>10904</v>
      </c>
      <c r="C163" s="111" t="s">
        <v>9759</v>
      </c>
      <c r="D163" s="301" t="s">
        <v>9760</v>
      </c>
      <c r="E163" s="302" t="s">
        <v>10977</v>
      </c>
      <c r="F163" s="278" t="s">
        <v>4109</v>
      </c>
      <c r="G163" s="278" t="s">
        <v>4108</v>
      </c>
      <c r="H163" s="303" t="s">
        <v>10996</v>
      </c>
      <c r="I163" s="301" t="s">
        <v>10997</v>
      </c>
      <c r="J163" s="303" t="s">
        <v>10969</v>
      </c>
    </row>
    <row r="164" spans="1:10" ht="14.5" customHeight="1" x14ac:dyDescent="0.25">
      <c r="A164" s="278" t="s">
        <v>9631</v>
      </c>
      <c r="B164" s="278" t="s">
        <v>10904</v>
      </c>
      <c r="C164" s="111" t="s">
        <v>9759</v>
      </c>
      <c r="D164" s="301" t="s">
        <v>9760</v>
      </c>
      <c r="E164" s="302" t="s">
        <v>10977</v>
      </c>
      <c r="F164" s="278" t="s">
        <v>4109</v>
      </c>
      <c r="G164" s="278" t="s">
        <v>4108</v>
      </c>
      <c r="H164" s="303" t="s">
        <v>11014</v>
      </c>
      <c r="I164" s="301" t="s">
        <v>11015</v>
      </c>
      <c r="J164" s="303" t="s">
        <v>10969</v>
      </c>
    </row>
    <row r="165" spans="1:10" ht="14.5" customHeight="1" x14ac:dyDescent="0.25">
      <c r="A165" s="278" t="s">
        <v>9631</v>
      </c>
      <c r="B165" s="278" t="s">
        <v>10904</v>
      </c>
      <c r="C165" s="111" t="s">
        <v>9759</v>
      </c>
      <c r="D165" s="301" t="s">
        <v>9760</v>
      </c>
      <c r="E165" s="302" t="s">
        <v>10977</v>
      </c>
      <c r="F165" s="278" t="s">
        <v>4109</v>
      </c>
      <c r="G165" s="278" t="s">
        <v>4108</v>
      </c>
      <c r="H165" s="303" t="s">
        <v>11016</v>
      </c>
      <c r="I165" s="301" t="s">
        <v>11017</v>
      </c>
      <c r="J165" s="303" t="s">
        <v>10969</v>
      </c>
    </row>
    <row r="166" spans="1:10" ht="14.5" customHeight="1" x14ac:dyDescent="0.25">
      <c r="A166" s="278" t="s">
        <v>9631</v>
      </c>
      <c r="B166" s="278" t="s">
        <v>10904</v>
      </c>
      <c r="C166" s="111" t="s">
        <v>9759</v>
      </c>
      <c r="D166" s="301" t="s">
        <v>9760</v>
      </c>
      <c r="E166" s="302" t="s">
        <v>10977</v>
      </c>
      <c r="F166" s="278" t="s">
        <v>4109</v>
      </c>
      <c r="G166" s="278" t="s">
        <v>4108</v>
      </c>
      <c r="H166" s="303" t="s">
        <v>11022</v>
      </c>
      <c r="I166" s="301" t="s">
        <v>11023</v>
      </c>
      <c r="J166" s="303" t="s">
        <v>10969</v>
      </c>
    </row>
    <row r="167" spans="1:10" ht="14.5" customHeight="1" x14ac:dyDescent="0.25">
      <c r="A167" s="278" t="s">
        <v>9631</v>
      </c>
      <c r="B167" s="278" t="s">
        <v>10904</v>
      </c>
      <c r="C167" s="111" t="s">
        <v>9759</v>
      </c>
      <c r="D167" s="301" t="s">
        <v>9760</v>
      </c>
      <c r="E167" s="302" t="s">
        <v>10977</v>
      </c>
      <c r="F167" s="278" t="s">
        <v>4109</v>
      </c>
      <c r="G167" s="278" t="s">
        <v>4108</v>
      </c>
      <c r="H167" s="303" t="s">
        <v>11002</v>
      </c>
      <c r="I167" s="301" t="s">
        <v>11003</v>
      </c>
      <c r="J167" s="303" t="s">
        <v>10972</v>
      </c>
    </row>
    <row r="168" spans="1:10" ht="14.5" customHeight="1" x14ac:dyDescent="0.25">
      <c r="A168" s="278" t="s">
        <v>9631</v>
      </c>
      <c r="B168" s="278" t="s">
        <v>10904</v>
      </c>
      <c r="C168" s="111" t="s">
        <v>9759</v>
      </c>
      <c r="D168" s="301" t="s">
        <v>9760</v>
      </c>
      <c r="E168" s="302" t="s">
        <v>10977</v>
      </c>
      <c r="F168" s="278" t="s">
        <v>4109</v>
      </c>
      <c r="G168" s="278" t="s">
        <v>4108</v>
      </c>
      <c r="H168" s="303" t="s">
        <v>11018</v>
      </c>
      <c r="I168" s="301" t="s">
        <v>11019</v>
      </c>
      <c r="J168" s="303" t="s">
        <v>10972</v>
      </c>
    </row>
    <row r="169" spans="1:10" ht="14.5" customHeight="1" x14ac:dyDescent="0.25">
      <c r="A169" s="278" t="s">
        <v>9631</v>
      </c>
      <c r="B169" s="278" t="s">
        <v>10904</v>
      </c>
      <c r="C169" s="111" t="s">
        <v>9759</v>
      </c>
      <c r="D169" s="301" t="s">
        <v>9760</v>
      </c>
      <c r="E169" s="302" t="s">
        <v>10977</v>
      </c>
      <c r="F169" s="278" t="s">
        <v>4109</v>
      </c>
      <c r="G169" s="278" t="s">
        <v>4108</v>
      </c>
      <c r="H169" s="303" t="s">
        <v>11020</v>
      </c>
      <c r="I169" s="301" t="s">
        <v>11021</v>
      </c>
      <c r="J169" s="303" t="s">
        <v>10972</v>
      </c>
    </row>
    <row r="170" spans="1:10" ht="14.5" customHeight="1" x14ac:dyDescent="0.25">
      <c r="A170" s="278" t="s">
        <v>9631</v>
      </c>
      <c r="B170" s="278" t="s">
        <v>10904</v>
      </c>
      <c r="C170" s="111" t="s">
        <v>9759</v>
      </c>
      <c r="D170" s="301" t="s">
        <v>9760</v>
      </c>
      <c r="E170" s="302" t="s">
        <v>10977</v>
      </c>
      <c r="F170" s="278" t="s">
        <v>4109</v>
      </c>
      <c r="G170" s="278" t="s">
        <v>4108</v>
      </c>
      <c r="H170" s="303" t="s">
        <v>11024</v>
      </c>
      <c r="I170" s="301" t="s">
        <v>11025</v>
      </c>
      <c r="J170" s="303" t="s">
        <v>10972</v>
      </c>
    </row>
    <row r="171" spans="1:10" s="305" customFormat="1" ht="14.5" customHeight="1" x14ac:dyDescent="0.25">
      <c r="A171" s="282" t="s">
        <v>9631</v>
      </c>
      <c r="B171" s="284" t="s">
        <v>10904</v>
      </c>
      <c r="C171" s="270" t="s">
        <v>9759</v>
      </c>
      <c r="D171" s="381" t="s">
        <v>9760</v>
      </c>
      <c r="E171" s="382" t="s">
        <v>10977</v>
      </c>
      <c r="F171" s="284" t="s">
        <v>4109</v>
      </c>
      <c r="G171" s="284" t="s">
        <v>4108</v>
      </c>
      <c r="H171" s="383" t="s">
        <v>11008</v>
      </c>
      <c r="I171" s="381" t="s">
        <v>11009</v>
      </c>
      <c r="J171" s="383" t="s">
        <v>10972</v>
      </c>
    </row>
    <row r="172" spans="1:10" ht="14.5" customHeight="1" x14ac:dyDescent="0.25">
      <c r="A172" s="278" t="s">
        <v>9631</v>
      </c>
      <c r="B172" s="278" t="s">
        <v>10904</v>
      </c>
      <c r="C172" s="111" t="s">
        <v>9761</v>
      </c>
      <c r="D172" s="301" t="s">
        <v>9762</v>
      </c>
      <c r="E172" s="302" t="s">
        <v>10973</v>
      </c>
      <c r="F172" s="278" t="s">
        <v>4109</v>
      </c>
      <c r="G172" s="278" t="s">
        <v>4108</v>
      </c>
      <c r="H172" s="303" t="s">
        <v>10996</v>
      </c>
      <c r="I172" s="301" t="s">
        <v>10997</v>
      </c>
      <c r="J172" s="303" t="s">
        <v>10969</v>
      </c>
    </row>
    <row r="173" spans="1:10" ht="14.5" customHeight="1" x14ac:dyDescent="0.25">
      <c r="A173" s="278" t="s">
        <v>9631</v>
      </c>
      <c r="B173" s="278" t="s">
        <v>10904</v>
      </c>
      <c r="C173" s="111" t="s">
        <v>9761</v>
      </c>
      <c r="D173" s="301" t="s">
        <v>9762</v>
      </c>
      <c r="E173" s="302" t="s">
        <v>10973</v>
      </c>
      <c r="F173" s="278" t="s">
        <v>4109</v>
      </c>
      <c r="G173" s="278" t="s">
        <v>4108</v>
      </c>
      <c r="H173" s="303" t="s">
        <v>11014</v>
      </c>
      <c r="I173" s="301" t="s">
        <v>11015</v>
      </c>
      <c r="J173" s="303" t="s">
        <v>10969</v>
      </c>
    </row>
    <row r="174" spans="1:10" ht="14.5" customHeight="1" x14ac:dyDescent="0.25">
      <c r="A174" s="278" t="s">
        <v>9631</v>
      </c>
      <c r="B174" s="278" t="s">
        <v>10904</v>
      </c>
      <c r="C174" s="111" t="s">
        <v>9761</v>
      </c>
      <c r="D174" s="301" t="s">
        <v>9762</v>
      </c>
      <c r="E174" s="302" t="s">
        <v>10973</v>
      </c>
      <c r="F174" s="278" t="s">
        <v>4109</v>
      </c>
      <c r="G174" s="278" t="s">
        <v>4108</v>
      </c>
      <c r="H174" s="303" t="s">
        <v>11022</v>
      </c>
      <c r="I174" s="301" t="s">
        <v>11023</v>
      </c>
      <c r="J174" s="303" t="s">
        <v>10969</v>
      </c>
    </row>
    <row r="175" spans="1:10" ht="14.5" customHeight="1" x14ac:dyDescent="0.25">
      <c r="A175" s="278" t="s">
        <v>9631</v>
      </c>
      <c r="B175" s="278" t="s">
        <v>10904</v>
      </c>
      <c r="C175" s="111" t="s">
        <v>9763</v>
      </c>
      <c r="D175" s="301" t="s">
        <v>9764</v>
      </c>
      <c r="E175" s="302" t="s">
        <v>10973</v>
      </c>
      <c r="F175" s="278" t="s">
        <v>4109</v>
      </c>
      <c r="G175" s="278" t="s">
        <v>4108</v>
      </c>
      <c r="H175" s="303" t="s">
        <v>10996</v>
      </c>
      <c r="I175" s="301" t="s">
        <v>10997</v>
      </c>
      <c r="J175" s="303" t="s">
        <v>10969</v>
      </c>
    </row>
    <row r="176" spans="1:10" ht="14.5" customHeight="1" x14ac:dyDescent="0.25">
      <c r="A176" s="278" t="s">
        <v>9631</v>
      </c>
      <c r="B176" s="278" t="s">
        <v>10904</v>
      </c>
      <c r="C176" s="111" t="s">
        <v>9763</v>
      </c>
      <c r="D176" s="301" t="s">
        <v>9764</v>
      </c>
      <c r="E176" s="302" t="s">
        <v>10973</v>
      </c>
      <c r="F176" s="278" t="s">
        <v>4109</v>
      </c>
      <c r="G176" s="278" t="s">
        <v>4108</v>
      </c>
      <c r="H176" s="303" t="s">
        <v>11014</v>
      </c>
      <c r="I176" s="301" t="s">
        <v>11015</v>
      </c>
      <c r="J176" s="303" t="s">
        <v>10969</v>
      </c>
    </row>
    <row r="177" spans="1:10" ht="14.5" customHeight="1" x14ac:dyDescent="0.25">
      <c r="A177" s="278" t="s">
        <v>9631</v>
      </c>
      <c r="B177" s="278" t="s">
        <v>10904</v>
      </c>
      <c r="C177" s="111" t="s">
        <v>9763</v>
      </c>
      <c r="D177" s="301" t="s">
        <v>9764</v>
      </c>
      <c r="E177" s="302" t="s">
        <v>10973</v>
      </c>
      <c r="F177" s="278" t="s">
        <v>4109</v>
      </c>
      <c r="G177" s="278" t="s">
        <v>4108</v>
      </c>
      <c r="H177" s="303" t="s">
        <v>11022</v>
      </c>
      <c r="I177" s="301" t="s">
        <v>11023</v>
      </c>
      <c r="J177" s="303" t="s">
        <v>10969</v>
      </c>
    </row>
    <row r="178" spans="1:10" ht="14.5" customHeight="1" x14ac:dyDescent="0.25">
      <c r="A178" s="278" t="s">
        <v>9631</v>
      </c>
      <c r="B178" s="278" t="s">
        <v>10904</v>
      </c>
      <c r="C178" s="111" t="s">
        <v>9765</v>
      </c>
      <c r="D178" s="301" t="s">
        <v>9766</v>
      </c>
      <c r="E178" s="302" t="s">
        <v>10973</v>
      </c>
      <c r="F178" s="278" t="s">
        <v>4109</v>
      </c>
      <c r="G178" s="278" t="s">
        <v>4108</v>
      </c>
      <c r="H178" s="303" t="s">
        <v>10996</v>
      </c>
      <c r="I178" s="301" t="s">
        <v>10997</v>
      </c>
      <c r="J178" s="303" t="s">
        <v>10969</v>
      </c>
    </row>
    <row r="179" spans="1:10" ht="14.5" customHeight="1" x14ac:dyDescent="0.25">
      <c r="A179" s="278" t="s">
        <v>9631</v>
      </c>
      <c r="B179" s="278" t="s">
        <v>10904</v>
      </c>
      <c r="C179" s="111" t="s">
        <v>9765</v>
      </c>
      <c r="D179" s="301" t="s">
        <v>9766</v>
      </c>
      <c r="E179" s="302" t="s">
        <v>10973</v>
      </c>
      <c r="F179" s="278" t="s">
        <v>4109</v>
      </c>
      <c r="G179" s="278" t="s">
        <v>4108</v>
      </c>
      <c r="H179" s="303" t="s">
        <v>10998</v>
      </c>
      <c r="I179" s="301" t="s">
        <v>10999</v>
      </c>
      <c r="J179" s="303" t="s">
        <v>10969</v>
      </c>
    </row>
    <row r="180" spans="1:10" ht="14.5" customHeight="1" x14ac:dyDescent="0.25">
      <c r="A180" s="278" t="s">
        <v>9631</v>
      </c>
      <c r="B180" s="278" t="s">
        <v>10904</v>
      </c>
      <c r="C180" s="111" t="s">
        <v>9767</v>
      </c>
      <c r="D180" s="301" t="s">
        <v>9768</v>
      </c>
      <c r="E180" s="302" t="s">
        <v>10973</v>
      </c>
      <c r="F180" s="278" t="s">
        <v>4109</v>
      </c>
      <c r="G180" s="278" t="s">
        <v>4108</v>
      </c>
      <c r="H180" s="303" t="s">
        <v>10996</v>
      </c>
      <c r="I180" s="301" t="s">
        <v>10997</v>
      </c>
      <c r="J180" s="303" t="s">
        <v>10969</v>
      </c>
    </row>
    <row r="181" spans="1:10" ht="14.5" customHeight="1" x14ac:dyDescent="0.25">
      <c r="A181" s="278" t="s">
        <v>9631</v>
      </c>
      <c r="B181" s="278" t="s">
        <v>10904</v>
      </c>
      <c r="C181" s="111" t="s">
        <v>9767</v>
      </c>
      <c r="D181" s="301" t="s">
        <v>9768</v>
      </c>
      <c r="E181" s="302" t="s">
        <v>10973</v>
      </c>
      <c r="F181" s="278" t="s">
        <v>4109</v>
      </c>
      <c r="G181" s="278" t="s">
        <v>4108</v>
      </c>
      <c r="H181" s="303" t="s">
        <v>10998</v>
      </c>
      <c r="I181" s="301" t="s">
        <v>10999</v>
      </c>
      <c r="J181" s="303" t="s">
        <v>10969</v>
      </c>
    </row>
    <row r="182" spans="1:10" ht="14.5" customHeight="1" x14ac:dyDescent="0.25">
      <c r="A182" s="278" t="s">
        <v>9631</v>
      </c>
      <c r="B182" s="278" t="s">
        <v>10904</v>
      </c>
      <c r="C182" s="111" t="s">
        <v>9769</v>
      </c>
      <c r="D182" s="301" t="s">
        <v>9770</v>
      </c>
      <c r="E182" s="302" t="s">
        <v>10973</v>
      </c>
      <c r="F182" s="278" t="s">
        <v>4109</v>
      </c>
      <c r="G182" s="278" t="s">
        <v>4108</v>
      </c>
      <c r="H182" s="303" t="s">
        <v>10991</v>
      </c>
      <c r="I182" s="301" t="s">
        <v>10992</v>
      </c>
      <c r="J182" s="303" t="s">
        <v>10969</v>
      </c>
    </row>
    <row r="183" spans="1:10" ht="14.5" customHeight="1" x14ac:dyDescent="0.25">
      <c r="A183" s="278" t="s">
        <v>9631</v>
      </c>
      <c r="B183" s="278" t="s">
        <v>10904</v>
      </c>
      <c r="C183" s="111" t="s">
        <v>9769</v>
      </c>
      <c r="D183" s="301" t="s">
        <v>9770</v>
      </c>
      <c r="E183" s="302" t="s">
        <v>10973</v>
      </c>
      <c r="F183" s="278" t="s">
        <v>4109</v>
      </c>
      <c r="G183" s="278" t="s">
        <v>4108</v>
      </c>
      <c r="H183" s="303" t="s">
        <v>10996</v>
      </c>
      <c r="I183" s="301" t="s">
        <v>10997</v>
      </c>
      <c r="J183" s="303" t="s">
        <v>10969</v>
      </c>
    </row>
    <row r="184" spans="1:10" ht="14.5" customHeight="1" x14ac:dyDescent="0.25">
      <c r="A184" s="278" t="s">
        <v>9631</v>
      </c>
      <c r="B184" s="278" t="s">
        <v>10904</v>
      </c>
      <c r="C184" s="111" t="s">
        <v>9769</v>
      </c>
      <c r="D184" s="301" t="s">
        <v>9770</v>
      </c>
      <c r="E184" s="302" t="s">
        <v>10973</v>
      </c>
      <c r="F184" s="278" t="s">
        <v>4109</v>
      </c>
      <c r="G184" s="278" t="s">
        <v>4108</v>
      </c>
      <c r="H184" s="303" t="s">
        <v>11010</v>
      </c>
      <c r="I184" s="301" t="s">
        <v>11011</v>
      </c>
      <c r="J184" s="303" t="s">
        <v>10969</v>
      </c>
    </row>
    <row r="185" spans="1:10" ht="14.5" customHeight="1" x14ac:dyDescent="0.25">
      <c r="A185" s="278" t="s">
        <v>9631</v>
      </c>
      <c r="B185" s="278" t="s">
        <v>10904</v>
      </c>
      <c r="C185" s="111" t="s">
        <v>9769</v>
      </c>
      <c r="D185" s="301" t="s">
        <v>9770</v>
      </c>
      <c r="E185" s="302" t="s">
        <v>10973</v>
      </c>
      <c r="F185" s="278" t="s">
        <v>4109</v>
      </c>
      <c r="G185" s="278" t="s">
        <v>4108</v>
      </c>
      <c r="H185" s="303" t="s">
        <v>11014</v>
      </c>
      <c r="I185" s="301" t="s">
        <v>11015</v>
      </c>
      <c r="J185" s="303" t="s">
        <v>10969</v>
      </c>
    </row>
    <row r="186" spans="1:10" ht="14.5" customHeight="1" x14ac:dyDescent="0.25">
      <c r="A186" s="278" t="s">
        <v>9631</v>
      </c>
      <c r="B186" s="278" t="s">
        <v>10904</v>
      </c>
      <c r="C186" s="111" t="s">
        <v>9769</v>
      </c>
      <c r="D186" s="301" t="s">
        <v>9770</v>
      </c>
      <c r="E186" s="302" t="s">
        <v>10973</v>
      </c>
      <c r="F186" s="278" t="s">
        <v>4109</v>
      </c>
      <c r="G186" s="278" t="s">
        <v>4108</v>
      </c>
      <c r="H186" s="303" t="s">
        <v>11016</v>
      </c>
      <c r="I186" s="301" t="s">
        <v>11017</v>
      </c>
      <c r="J186" s="303" t="s">
        <v>10969</v>
      </c>
    </row>
    <row r="187" spans="1:10" ht="14.5" customHeight="1" x14ac:dyDescent="0.25">
      <c r="A187" s="278" t="s">
        <v>9631</v>
      </c>
      <c r="B187" s="278" t="s">
        <v>10904</v>
      </c>
      <c r="C187" s="111" t="s">
        <v>9769</v>
      </c>
      <c r="D187" s="301" t="s">
        <v>9770</v>
      </c>
      <c r="E187" s="302" t="s">
        <v>10973</v>
      </c>
      <c r="F187" s="278" t="s">
        <v>4109</v>
      </c>
      <c r="G187" s="278" t="s">
        <v>4108</v>
      </c>
      <c r="H187" s="303" t="s">
        <v>11022</v>
      </c>
      <c r="I187" s="301" t="s">
        <v>11023</v>
      </c>
      <c r="J187" s="303" t="s">
        <v>10969</v>
      </c>
    </row>
    <row r="188" spans="1:10" ht="14.5" customHeight="1" x14ac:dyDescent="0.25">
      <c r="A188" s="278" t="s">
        <v>9631</v>
      </c>
      <c r="B188" s="278" t="s">
        <v>10904</v>
      </c>
      <c r="C188" s="111" t="s">
        <v>9769</v>
      </c>
      <c r="D188" s="301" t="s">
        <v>9770</v>
      </c>
      <c r="E188" s="302" t="s">
        <v>10973</v>
      </c>
      <c r="F188" s="278" t="s">
        <v>4109</v>
      </c>
      <c r="G188" s="278" t="s">
        <v>4108</v>
      </c>
      <c r="H188" s="303" t="s">
        <v>10998</v>
      </c>
      <c r="I188" s="301" t="s">
        <v>10999</v>
      </c>
      <c r="J188" s="303" t="s">
        <v>10969</v>
      </c>
    </row>
    <row r="189" spans="1:10" ht="14.5" customHeight="1" x14ac:dyDescent="0.25">
      <c r="A189" s="278" t="s">
        <v>9631</v>
      </c>
      <c r="B189" s="278" t="s">
        <v>10904</v>
      </c>
      <c r="C189" s="111" t="s">
        <v>9769</v>
      </c>
      <c r="D189" s="301" t="s">
        <v>9770</v>
      </c>
      <c r="E189" s="302" t="s">
        <v>10973</v>
      </c>
      <c r="F189" s="278" t="s">
        <v>4109</v>
      </c>
      <c r="G189" s="278" t="s">
        <v>4108</v>
      </c>
      <c r="H189" s="303" t="s">
        <v>11000</v>
      </c>
      <c r="I189" s="301" t="s">
        <v>11001</v>
      </c>
      <c r="J189" s="303" t="s">
        <v>10969</v>
      </c>
    </row>
    <row r="190" spans="1:10" ht="14.5" customHeight="1" x14ac:dyDescent="0.25">
      <c r="A190" s="278" t="s">
        <v>9631</v>
      </c>
      <c r="B190" s="278" t="s">
        <v>10904</v>
      </c>
      <c r="C190" s="111" t="s">
        <v>9771</v>
      </c>
      <c r="D190" s="301" t="s">
        <v>9772</v>
      </c>
      <c r="E190" s="302" t="s">
        <v>10973</v>
      </c>
      <c r="F190" s="278" t="s">
        <v>4109</v>
      </c>
      <c r="G190" s="278" t="s">
        <v>4108</v>
      </c>
      <c r="H190" s="303" t="s">
        <v>10996</v>
      </c>
      <c r="I190" s="301" t="s">
        <v>10997</v>
      </c>
      <c r="J190" s="303" t="s">
        <v>10969</v>
      </c>
    </row>
    <row r="191" spans="1:10" ht="14.5" customHeight="1" x14ac:dyDescent="0.25">
      <c r="A191" s="278" t="s">
        <v>9631</v>
      </c>
      <c r="B191" s="278" t="s">
        <v>10904</v>
      </c>
      <c r="C191" s="111" t="s">
        <v>9771</v>
      </c>
      <c r="D191" s="301" t="s">
        <v>9772</v>
      </c>
      <c r="E191" s="302" t="s">
        <v>10973</v>
      </c>
      <c r="F191" s="278" t="s">
        <v>4109</v>
      </c>
      <c r="G191" s="278" t="s">
        <v>4108</v>
      </c>
      <c r="H191" s="303" t="s">
        <v>11010</v>
      </c>
      <c r="I191" s="301" t="s">
        <v>11011</v>
      </c>
      <c r="J191" s="303" t="s">
        <v>10969</v>
      </c>
    </row>
    <row r="192" spans="1:10" ht="14.5" customHeight="1" x14ac:dyDescent="0.25">
      <c r="A192" s="278" t="s">
        <v>9631</v>
      </c>
      <c r="B192" s="278" t="s">
        <v>10904</v>
      </c>
      <c r="C192" s="111" t="s">
        <v>9771</v>
      </c>
      <c r="D192" s="301" t="s">
        <v>9772</v>
      </c>
      <c r="E192" s="302" t="s">
        <v>10973</v>
      </c>
      <c r="F192" s="278" t="s">
        <v>4109</v>
      </c>
      <c r="G192" s="278" t="s">
        <v>4108</v>
      </c>
      <c r="H192" s="303" t="s">
        <v>11014</v>
      </c>
      <c r="I192" s="301" t="s">
        <v>11015</v>
      </c>
      <c r="J192" s="303" t="s">
        <v>10969</v>
      </c>
    </row>
    <row r="193" spans="1:10" ht="14.5" customHeight="1" x14ac:dyDescent="0.25">
      <c r="A193" s="278" t="s">
        <v>9631</v>
      </c>
      <c r="B193" s="278" t="s">
        <v>10904</v>
      </c>
      <c r="C193" s="111" t="s">
        <v>9771</v>
      </c>
      <c r="D193" s="301" t="s">
        <v>9772</v>
      </c>
      <c r="E193" s="302" t="s">
        <v>10973</v>
      </c>
      <c r="F193" s="278" t="s">
        <v>4109</v>
      </c>
      <c r="G193" s="278" t="s">
        <v>4108</v>
      </c>
      <c r="H193" s="303" t="s">
        <v>11016</v>
      </c>
      <c r="I193" s="301" t="s">
        <v>11017</v>
      </c>
      <c r="J193" s="303" t="s">
        <v>10969</v>
      </c>
    </row>
    <row r="194" spans="1:10" ht="14.5" customHeight="1" x14ac:dyDescent="0.25">
      <c r="A194" s="278" t="s">
        <v>9631</v>
      </c>
      <c r="B194" s="278" t="s">
        <v>10904</v>
      </c>
      <c r="C194" s="111" t="s">
        <v>9771</v>
      </c>
      <c r="D194" s="301" t="s">
        <v>9772</v>
      </c>
      <c r="E194" s="302" t="s">
        <v>10973</v>
      </c>
      <c r="F194" s="278" t="s">
        <v>4109</v>
      </c>
      <c r="G194" s="278" t="s">
        <v>4108</v>
      </c>
      <c r="H194" s="303" t="s">
        <v>11022</v>
      </c>
      <c r="I194" s="301" t="s">
        <v>11023</v>
      </c>
      <c r="J194" s="303" t="s">
        <v>10969</v>
      </c>
    </row>
    <row r="195" spans="1:10" ht="14.5" customHeight="1" x14ac:dyDescent="0.25">
      <c r="A195" s="278" t="s">
        <v>9631</v>
      </c>
      <c r="B195" s="278" t="s">
        <v>10904</v>
      </c>
      <c r="C195" s="111" t="s">
        <v>9771</v>
      </c>
      <c r="D195" s="301" t="s">
        <v>9772</v>
      </c>
      <c r="E195" s="302" t="s">
        <v>10973</v>
      </c>
      <c r="F195" s="278" t="s">
        <v>4109</v>
      </c>
      <c r="G195" s="278" t="s">
        <v>4108</v>
      </c>
      <c r="H195" s="303" t="s">
        <v>10998</v>
      </c>
      <c r="I195" s="301" t="s">
        <v>10999</v>
      </c>
      <c r="J195" s="303" t="s">
        <v>10969</v>
      </c>
    </row>
    <row r="196" spans="1:10" ht="14.5" customHeight="1" x14ac:dyDescent="0.25">
      <c r="A196" s="278" t="s">
        <v>9631</v>
      </c>
      <c r="B196" s="278" t="s">
        <v>10904</v>
      </c>
      <c r="C196" s="111" t="s">
        <v>9771</v>
      </c>
      <c r="D196" s="301" t="s">
        <v>9772</v>
      </c>
      <c r="E196" s="302" t="s">
        <v>10973</v>
      </c>
      <c r="F196" s="278" t="s">
        <v>4109</v>
      </c>
      <c r="G196" s="278" t="s">
        <v>4108</v>
      </c>
      <c r="H196" s="303" t="s">
        <v>11000</v>
      </c>
      <c r="I196" s="301" t="s">
        <v>11001</v>
      </c>
      <c r="J196" s="303" t="s">
        <v>10969</v>
      </c>
    </row>
    <row r="197" spans="1:10" ht="14.5" customHeight="1" x14ac:dyDescent="0.25">
      <c r="A197" s="278" t="s">
        <v>9631</v>
      </c>
      <c r="B197" s="278" t="s">
        <v>10904</v>
      </c>
      <c r="C197" s="111" t="s">
        <v>9771</v>
      </c>
      <c r="D197" s="301" t="s">
        <v>9772</v>
      </c>
      <c r="E197" s="302" t="s">
        <v>10973</v>
      </c>
      <c r="F197" s="278" t="s">
        <v>4109</v>
      </c>
      <c r="G197" s="278" t="s">
        <v>4108</v>
      </c>
      <c r="H197" s="303" t="s">
        <v>10994</v>
      </c>
      <c r="I197" s="301" t="s">
        <v>10995</v>
      </c>
      <c r="J197" s="303" t="s">
        <v>10969</v>
      </c>
    </row>
    <row r="198" spans="1:10" ht="14.5" customHeight="1" x14ac:dyDescent="0.25">
      <c r="A198" s="278" t="s">
        <v>9631</v>
      </c>
      <c r="B198" s="278" t="s">
        <v>10904</v>
      </c>
      <c r="C198" s="111" t="s">
        <v>9773</v>
      </c>
      <c r="D198" s="301" t="s">
        <v>9774</v>
      </c>
      <c r="E198" s="302" t="s">
        <v>10977</v>
      </c>
      <c r="F198" s="278" t="s">
        <v>4109</v>
      </c>
      <c r="G198" s="278" t="s">
        <v>4108</v>
      </c>
      <c r="H198" s="303" t="s">
        <v>11026</v>
      </c>
      <c r="I198" s="301" t="s">
        <v>11027</v>
      </c>
      <c r="J198" s="303" t="s">
        <v>10969</v>
      </c>
    </row>
    <row r="199" spans="1:10" ht="14.5" customHeight="1" x14ac:dyDescent="0.25">
      <c r="A199" s="278" t="s">
        <v>9631</v>
      </c>
      <c r="B199" s="278" t="s">
        <v>10904</v>
      </c>
      <c r="C199" s="111" t="s">
        <v>9773</v>
      </c>
      <c r="D199" s="301" t="s">
        <v>9774</v>
      </c>
      <c r="E199" s="302" t="s">
        <v>10977</v>
      </c>
      <c r="F199" s="278" t="s">
        <v>4109</v>
      </c>
      <c r="G199" s="278" t="s">
        <v>4108</v>
      </c>
      <c r="H199" s="303" t="s">
        <v>11028</v>
      </c>
      <c r="I199" s="301" t="s">
        <v>11029</v>
      </c>
      <c r="J199" s="303" t="s">
        <v>10969</v>
      </c>
    </row>
    <row r="200" spans="1:10" ht="14.5" customHeight="1" x14ac:dyDescent="0.25">
      <c r="A200" s="278" t="s">
        <v>9631</v>
      </c>
      <c r="B200" s="278" t="s">
        <v>10904</v>
      </c>
      <c r="C200" s="111" t="s">
        <v>9773</v>
      </c>
      <c r="D200" s="301" t="s">
        <v>9774</v>
      </c>
      <c r="E200" s="302" t="s">
        <v>10977</v>
      </c>
      <c r="F200" s="278" t="s">
        <v>4109</v>
      </c>
      <c r="G200" s="278" t="s">
        <v>4108</v>
      </c>
      <c r="H200" s="303" t="s">
        <v>11030</v>
      </c>
      <c r="I200" s="304" t="s">
        <v>11031</v>
      </c>
      <c r="J200" s="303" t="s">
        <v>10972</v>
      </c>
    </row>
    <row r="201" spans="1:10" ht="14.5" customHeight="1" x14ac:dyDescent="0.25">
      <c r="A201" s="278" t="s">
        <v>9631</v>
      </c>
      <c r="B201" s="278" t="s">
        <v>10904</v>
      </c>
      <c r="C201" s="111" t="s">
        <v>9773</v>
      </c>
      <c r="D201" s="301" t="s">
        <v>9774</v>
      </c>
      <c r="E201" s="302" t="s">
        <v>10977</v>
      </c>
      <c r="F201" s="278" t="s">
        <v>4109</v>
      </c>
      <c r="G201" s="278" t="s">
        <v>4108</v>
      </c>
      <c r="H201" s="303" t="s">
        <v>11032</v>
      </c>
      <c r="I201" s="301" t="s">
        <v>11033</v>
      </c>
      <c r="J201" s="303" t="s">
        <v>10972</v>
      </c>
    </row>
    <row r="202" spans="1:10" ht="14.5" customHeight="1" x14ac:dyDescent="0.25">
      <c r="A202" s="278" t="s">
        <v>9631</v>
      </c>
      <c r="B202" s="278" t="s">
        <v>10904</v>
      </c>
      <c r="C202" s="111" t="s">
        <v>9775</v>
      </c>
      <c r="D202" s="301" t="s">
        <v>9776</v>
      </c>
      <c r="E202" s="302" t="s">
        <v>10973</v>
      </c>
      <c r="F202" s="278" t="s">
        <v>4109</v>
      </c>
      <c r="G202" s="278" t="s">
        <v>4108</v>
      </c>
      <c r="H202" s="303" t="s">
        <v>11026</v>
      </c>
      <c r="I202" s="301" t="s">
        <v>11027</v>
      </c>
      <c r="J202" s="303" t="s">
        <v>10969</v>
      </c>
    </row>
    <row r="203" spans="1:10" ht="14.5" customHeight="1" x14ac:dyDescent="0.25">
      <c r="A203" s="278" t="s">
        <v>9631</v>
      </c>
      <c r="B203" s="278" t="s">
        <v>10904</v>
      </c>
      <c r="C203" s="111" t="s">
        <v>9775</v>
      </c>
      <c r="D203" s="301" t="s">
        <v>9776</v>
      </c>
      <c r="E203" s="302" t="s">
        <v>10973</v>
      </c>
      <c r="F203" s="278" t="s">
        <v>4109</v>
      </c>
      <c r="G203" s="278" t="s">
        <v>4108</v>
      </c>
      <c r="H203" s="303" t="s">
        <v>11028</v>
      </c>
      <c r="I203" s="301" t="s">
        <v>11029</v>
      </c>
      <c r="J203" s="303" t="s">
        <v>10969</v>
      </c>
    </row>
    <row r="204" spans="1:10" ht="14.5" customHeight="1" x14ac:dyDescent="0.25">
      <c r="A204" s="278" t="s">
        <v>9631</v>
      </c>
      <c r="B204" s="278" t="s">
        <v>10904</v>
      </c>
      <c r="C204" s="111" t="s">
        <v>9777</v>
      </c>
      <c r="D204" s="301" t="s">
        <v>9778</v>
      </c>
      <c r="E204" s="302" t="s">
        <v>10973</v>
      </c>
      <c r="F204" s="278" t="s">
        <v>4109</v>
      </c>
      <c r="G204" s="278" t="s">
        <v>4108</v>
      </c>
      <c r="H204" s="303" t="s">
        <v>11026</v>
      </c>
      <c r="I204" s="301" t="s">
        <v>11027</v>
      </c>
      <c r="J204" s="303" t="s">
        <v>10969</v>
      </c>
    </row>
    <row r="205" spans="1:10" ht="14.5" customHeight="1" x14ac:dyDescent="0.25">
      <c r="A205" s="278" t="s">
        <v>9631</v>
      </c>
      <c r="B205" s="278" t="s">
        <v>10904</v>
      </c>
      <c r="C205" s="111" t="s">
        <v>9777</v>
      </c>
      <c r="D205" s="301" t="s">
        <v>9778</v>
      </c>
      <c r="E205" s="302" t="s">
        <v>10973</v>
      </c>
      <c r="F205" s="278" t="s">
        <v>4109</v>
      </c>
      <c r="G205" s="278" t="s">
        <v>4108</v>
      </c>
      <c r="H205" s="303" t="s">
        <v>11028</v>
      </c>
      <c r="I205" s="301" t="s">
        <v>11029</v>
      </c>
      <c r="J205" s="303" t="s">
        <v>10969</v>
      </c>
    </row>
    <row r="206" spans="1:10" ht="14.5" customHeight="1" x14ac:dyDescent="0.25">
      <c r="A206" s="278" t="s">
        <v>9631</v>
      </c>
      <c r="B206" s="278" t="s">
        <v>10904</v>
      </c>
      <c r="C206" s="111" t="s">
        <v>9779</v>
      </c>
      <c r="D206" s="301" t="s">
        <v>9780</v>
      </c>
      <c r="E206" s="302" t="s">
        <v>10977</v>
      </c>
      <c r="F206" s="278" t="s">
        <v>4109</v>
      </c>
      <c r="G206" s="278" t="s">
        <v>4108</v>
      </c>
      <c r="H206" s="303" t="s">
        <v>11026</v>
      </c>
      <c r="I206" s="301" t="s">
        <v>11027</v>
      </c>
      <c r="J206" s="303" t="s">
        <v>10969</v>
      </c>
    </row>
    <row r="207" spans="1:10" ht="14.5" customHeight="1" x14ac:dyDescent="0.25">
      <c r="A207" s="278" t="s">
        <v>9631</v>
      </c>
      <c r="B207" s="278" t="s">
        <v>10904</v>
      </c>
      <c r="C207" s="111" t="s">
        <v>9779</v>
      </c>
      <c r="D207" s="301" t="s">
        <v>9780</v>
      </c>
      <c r="E207" s="302" t="s">
        <v>10977</v>
      </c>
      <c r="F207" s="278" t="s">
        <v>4109</v>
      </c>
      <c r="G207" s="278" t="s">
        <v>4108</v>
      </c>
      <c r="H207" s="303" t="s">
        <v>11034</v>
      </c>
      <c r="I207" s="301" t="s">
        <v>11035</v>
      </c>
      <c r="J207" s="303" t="s">
        <v>10969</v>
      </c>
    </row>
    <row r="208" spans="1:10" ht="14.5" customHeight="1" x14ac:dyDescent="0.25">
      <c r="A208" s="278" t="s">
        <v>9631</v>
      </c>
      <c r="B208" s="278" t="s">
        <v>10904</v>
      </c>
      <c r="C208" s="111" t="s">
        <v>9779</v>
      </c>
      <c r="D208" s="301" t="s">
        <v>9780</v>
      </c>
      <c r="E208" s="302" t="s">
        <v>10977</v>
      </c>
      <c r="F208" s="278" t="s">
        <v>4109</v>
      </c>
      <c r="G208" s="278" t="s">
        <v>4108</v>
      </c>
      <c r="H208" s="306" t="s">
        <v>11030</v>
      </c>
      <c r="I208" s="304" t="s">
        <v>11031</v>
      </c>
      <c r="J208" s="303" t="s">
        <v>10972</v>
      </c>
    </row>
    <row r="209" spans="1:10" ht="14.5" customHeight="1" x14ac:dyDescent="0.25">
      <c r="A209" s="278" t="s">
        <v>9631</v>
      </c>
      <c r="B209" s="278" t="s">
        <v>10904</v>
      </c>
      <c r="C209" s="111" t="s">
        <v>9779</v>
      </c>
      <c r="D209" s="301" t="s">
        <v>9780</v>
      </c>
      <c r="E209" s="302" t="s">
        <v>10977</v>
      </c>
      <c r="F209" s="278" t="s">
        <v>4109</v>
      </c>
      <c r="G209" s="278" t="s">
        <v>4108</v>
      </c>
      <c r="H209" s="303" t="s">
        <v>11036</v>
      </c>
      <c r="I209" s="301" t="s">
        <v>11037</v>
      </c>
      <c r="J209" s="303" t="s">
        <v>10972</v>
      </c>
    </row>
    <row r="210" spans="1:10" ht="14.5" customHeight="1" x14ac:dyDescent="0.25">
      <c r="A210" s="278" t="s">
        <v>9631</v>
      </c>
      <c r="B210" s="278" t="s">
        <v>10904</v>
      </c>
      <c r="C210" s="111" t="s">
        <v>9781</v>
      </c>
      <c r="D210" s="301" t="s">
        <v>9782</v>
      </c>
      <c r="E210" s="302" t="s">
        <v>10973</v>
      </c>
      <c r="F210" s="278" t="s">
        <v>4109</v>
      </c>
      <c r="G210" s="278" t="s">
        <v>4108</v>
      </c>
      <c r="H210" s="303" t="s">
        <v>11026</v>
      </c>
      <c r="I210" s="301" t="s">
        <v>11027</v>
      </c>
      <c r="J210" s="303" t="s">
        <v>10969</v>
      </c>
    </row>
    <row r="211" spans="1:10" ht="14.5" customHeight="1" x14ac:dyDescent="0.25">
      <c r="A211" s="278" t="s">
        <v>9631</v>
      </c>
      <c r="B211" s="278" t="s">
        <v>10904</v>
      </c>
      <c r="C211" s="111" t="s">
        <v>9781</v>
      </c>
      <c r="D211" s="301" t="s">
        <v>9782</v>
      </c>
      <c r="E211" s="302" t="s">
        <v>10973</v>
      </c>
      <c r="F211" s="278" t="s">
        <v>4109</v>
      </c>
      <c r="G211" s="278" t="s">
        <v>4108</v>
      </c>
      <c r="H211" s="303" t="s">
        <v>11034</v>
      </c>
      <c r="I211" s="301" t="s">
        <v>11035</v>
      </c>
      <c r="J211" s="303" t="s">
        <v>10969</v>
      </c>
    </row>
    <row r="212" spans="1:10" ht="14.5" customHeight="1" x14ac:dyDescent="0.25">
      <c r="A212" s="278" t="s">
        <v>9631</v>
      </c>
      <c r="B212" s="278" t="s">
        <v>10904</v>
      </c>
      <c r="C212" s="111" t="s">
        <v>9783</v>
      </c>
      <c r="D212" s="301" t="s">
        <v>9784</v>
      </c>
      <c r="E212" s="302" t="s">
        <v>10973</v>
      </c>
      <c r="F212" s="278" t="s">
        <v>4109</v>
      </c>
      <c r="G212" s="278" t="s">
        <v>4108</v>
      </c>
      <c r="H212" s="303" t="s">
        <v>11026</v>
      </c>
      <c r="I212" s="301" t="s">
        <v>11027</v>
      </c>
      <c r="J212" s="303" t="s">
        <v>10969</v>
      </c>
    </row>
    <row r="213" spans="1:10" ht="14.5" customHeight="1" x14ac:dyDescent="0.25">
      <c r="A213" s="278" t="s">
        <v>9631</v>
      </c>
      <c r="B213" s="278" t="s">
        <v>10904</v>
      </c>
      <c r="C213" s="111" t="s">
        <v>9783</v>
      </c>
      <c r="D213" s="301" t="s">
        <v>9784</v>
      </c>
      <c r="E213" s="302" t="s">
        <v>10973</v>
      </c>
      <c r="F213" s="278" t="s">
        <v>4109</v>
      </c>
      <c r="G213" s="278" t="s">
        <v>4108</v>
      </c>
      <c r="H213" s="303" t="s">
        <v>11034</v>
      </c>
      <c r="I213" s="301" t="s">
        <v>11035</v>
      </c>
      <c r="J213" s="303" t="s">
        <v>10969</v>
      </c>
    </row>
    <row r="214" spans="1:10" ht="14.5" customHeight="1" x14ac:dyDescent="0.25">
      <c r="A214" s="278" t="s">
        <v>9631</v>
      </c>
      <c r="B214" s="278" t="s">
        <v>10904</v>
      </c>
      <c r="C214" s="111" t="s">
        <v>9785</v>
      </c>
      <c r="D214" s="301" t="s">
        <v>9786</v>
      </c>
      <c r="E214" s="302" t="s">
        <v>10977</v>
      </c>
      <c r="F214" s="278" t="s">
        <v>4109</v>
      </c>
      <c r="G214" s="278" t="s">
        <v>4108</v>
      </c>
      <c r="H214" s="303" t="s">
        <v>11026</v>
      </c>
      <c r="I214" s="301" t="s">
        <v>11027</v>
      </c>
      <c r="J214" s="303" t="s">
        <v>10969</v>
      </c>
    </row>
    <row r="215" spans="1:10" ht="14.5" customHeight="1" x14ac:dyDescent="0.25">
      <c r="A215" s="278" t="s">
        <v>9631</v>
      </c>
      <c r="B215" s="278" t="s">
        <v>10904</v>
      </c>
      <c r="C215" s="111" t="s">
        <v>9785</v>
      </c>
      <c r="D215" s="301" t="s">
        <v>9786</v>
      </c>
      <c r="E215" s="302" t="s">
        <v>10977</v>
      </c>
      <c r="F215" s="278" t="s">
        <v>4109</v>
      </c>
      <c r="G215" s="278" t="s">
        <v>4108</v>
      </c>
      <c r="H215" s="303" t="s">
        <v>11034</v>
      </c>
      <c r="I215" s="301" t="s">
        <v>11035</v>
      </c>
      <c r="J215" s="303" t="s">
        <v>10969</v>
      </c>
    </row>
    <row r="216" spans="1:10" ht="14.5" customHeight="1" x14ac:dyDescent="0.25">
      <c r="A216" s="278" t="s">
        <v>9631</v>
      </c>
      <c r="B216" s="278" t="s">
        <v>10904</v>
      </c>
      <c r="C216" s="111" t="s">
        <v>9785</v>
      </c>
      <c r="D216" s="301" t="s">
        <v>9786</v>
      </c>
      <c r="E216" s="302" t="s">
        <v>10977</v>
      </c>
      <c r="F216" s="278" t="s">
        <v>4109</v>
      </c>
      <c r="G216" s="278" t="s">
        <v>4108</v>
      </c>
      <c r="H216" s="306" t="s">
        <v>11030</v>
      </c>
      <c r="I216" s="304" t="s">
        <v>11031</v>
      </c>
      <c r="J216" s="303" t="s">
        <v>10972</v>
      </c>
    </row>
    <row r="217" spans="1:10" ht="14.5" customHeight="1" x14ac:dyDescent="0.25">
      <c r="A217" s="278" t="s">
        <v>9631</v>
      </c>
      <c r="B217" s="278" t="s">
        <v>10904</v>
      </c>
      <c r="C217" s="111" t="s">
        <v>9785</v>
      </c>
      <c r="D217" s="301" t="s">
        <v>9786</v>
      </c>
      <c r="E217" s="302" t="s">
        <v>10977</v>
      </c>
      <c r="F217" s="278" t="s">
        <v>4109</v>
      </c>
      <c r="G217" s="278" t="s">
        <v>4108</v>
      </c>
      <c r="H217" s="303" t="s">
        <v>11036</v>
      </c>
      <c r="I217" s="301" t="s">
        <v>11037</v>
      </c>
      <c r="J217" s="303" t="s">
        <v>10972</v>
      </c>
    </row>
    <row r="218" spans="1:10" s="305" customFormat="1" ht="14.5" customHeight="1" x14ac:dyDescent="0.25">
      <c r="A218" s="278" t="s">
        <v>9631</v>
      </c>
      <c r="B218" s="278" t="s">
        <v>10904</v>
      </c>
      <c r="C218" s="111" t="s">
        <v>9787</v>
      </c>
      <c r="D218" s="301" t="s">
        <v>9788</v>
      </c>
      <c r="E218" s="302" t="s">
        <v>10973</v>
      </c>
      <c r="F218" s="278" t="s">
        <v>4109</v>
      </c>
      <c r="G218" s="278" t="s">
        <v>4108</v>
      </c>
      <c r="H218" s="303" t="s">
        <v>11026</v>
      </c>
      <c r="I218" s="301" t="s">
        <v>11027</v>
      </c>
      <c r="J218" s="303" t="s">
        <v>10969</v>
      </c>
    </row>
    <row r="219" spans="1:10" s="305" customFormat="1" ht="14.5" customHeight="1" x14ac:dyDescent="0.25">
      <c r="A219" s="278" t="s">
        <v>9631</v>
      </c>
      <c r="B219" s="278" t="s">
        <v>10904</v>
      </c>
      <c r="C219" s="111" t="s">
        <v>9787</v>
      </c>
      <c r="D219" s="301" t="s">
        <v>9788</v>
      </c>
      <c r="E219" s="302" t="s">
        <v>10973</v>
      </c>
      <c r="F219" s="278" t="s">
        <v>4109</v>
      </c>
      <c r="G219" s="278" t="s">
        <v>4108</v>
      </c>
      <c r="H219" s="303" t="s">
        <v>11034</v>
      </c>
      <c r="I219" s="301" t="s">
        <v>11035</v>
      </c>
      <c r="J219" s="303" t="s">
        <v>10969</v>
      </c>
    </row>
    <row r="220" spans="1:10" s="305" customFormat="1" ht="14.5" customHeight="1" x14ac:dyDescent="0.25">
      <c r="A220" s="278" t="s">
        <v>9631</v>
      </c>
      <c r="B220" s="278" t="s">
        <v>10904</v>
      </c>
      <c r="C220" s="111" t="s">
        <v>9789</v>
      </c>
      <c r="D220" s="301" t="s">
        <v>9790</v>
      </c>
      <c r="E220" s="302" t="s">
        <v>10977</v>
      </c>
      <c r="F220" s="278" t="s">
        <v>4109</v>
      </c>
      <c r="G220" s="278" t="s">
        <v>4108</v>
      </c>
      <c r="H220" s="303" t="s">
        <v>11026</v>
      </c>
      <c r="I220" s="301" t="s">
        <v>11027</v>
      </c>
      <c r="J220" s="303" t="s">
        <v>10969</v>
      </c>
    </row>
    <row r="221" spans="1:10" ht="14.5" customHeight="1" x14ac:dyDescent="0.25">
      <c r="A221" s="278" t="s">
        <v>9631</v>
      </c>
      <c r="B221" s="278" t="s">
        <v>10904</v>
      </c>
      <c r="C221" s="111" t="s">
        <v>9789</v>
      </c>
      <c r="D221" s="301" t="s">
        <v>9790</v>
      </c>
      <c r="E221" s="302" t="s">
        <v>10977</v>
      </c>
      <c r="F221" s="278" t="s">
        <v>4109</v>
      </c>
      <c r="G221" s="278" t="s">
        <v>4108</v>
      </c>
      <c r="H221" s="303" t="s">
        <v>11038</v>
      </c>
      <c r="I221" s="301" t="s">
        <v>11039</v>
      </c>
      <c r="J221" s="303" t="s">
        <v>10969</v>
      </c>
    </row>
    <row r="222" spans="1:10" ht="14.5" customHeight="1" x14ac:dyDescent="0.25">
      <c r="A222" s="278" t="s">
        <v>9631</v>
      </c>
      <c r="B222" s="278" t="s">
        <v>10904</v>
      </c>
      <c r="C222" s="111" t="s">
        <v>9789</v>
      </c>
      <c r="D222" s="301" t="s">
        <v>9790</v>
      </c>
      <c r="E222" s="302" t="s">
        <v>10977</v>
      </c>
      <c r="F222" s="278" t="s">
        <v>4109</v>
      </c>
      <c r="G222" s="278" t="s">
        <v>4108</v>
      </c>
      <c r="H222" s="306" t="s">
        <v>11030</v>
      </c>
      <c r="I222" s="304" t="s">
        <v>11031</v>
      </c>
      <c r="J222" s="303" t="s">
        <v>10972</v>
      </c>
    </row>
    <row r="223" spans="1:10" ht="14.5" customHeight="1" x14ac:dyDescent="0.25">
      <c r="A223" s="278" t="s">
        <v>9631</v>
      </c>
      <c r="B223" s="278" t="s">
        <v>10904</v>
      </c>
      <c r="C223" s="111" t="s">
        <v>9789</v>
      </c>
      <c r="D223" s="301" t="s">
        <v>9790</v>
      </c>
      <c r="E223" s="302" t="s">
        <v>10977</v>
      </c>
      <c r="F223" s="278" t="s">
        <v>4109</v>
      </c>
      <c r="G223" s="278" t="s">
        <v>4108</v>
      </c>
      <c r="H223" s="303" t="s">
        <v>11040</v>
      </c>
      <c r="I223" s="301" t="s">
        <v>11041</v>
      </c>
      <c r="J223" s="303" t="s">
        <v>10972</v>
      </c>
    </row>
    <row r="224" spans="1:10" ht="14.5" customHeight="1" x14ac:dyDescent="0.25">
      <c r="A224" s="278" t="s">
        <v>9631</v>
      </c>
      <c r="B224" s="278" t="s">
        <v>10904</v>
      </c>
      <c r="C224" s="111" t="s">
        <v>9791</v>
      </c>
      <c r="D224" s="301" t="s">
        <v>9792</v>
      </c>
      <c r="E224" s="302" t="s">
        <v>10973</v>
      </c>
      <c r="F224" s="278" t="s">
        <v>4109</v>
      </c>
      <c r="G224" s="278" t="s">
        <v>4108</v>
      </c>
      <c r="H224" s="303" t="s">
        <v>11026</v>
      </c>
      <c r="I224" s="301" t="s">
        <v>11027</v>
      </c>
      <c r="J224" s="303" t="s">
        <v>10969</v>
      </c>
    </row>
    <row r="225" spans="1:10" ht="14.5" customHeight="1" x14ac:dyDescent="0.25">
      <c r="A225" s="278" t="s">
        <v>9631</v>
      </c>
      <c r="B225" s="278" t="s">
        <v>10904</v>
      </c>
      <c r="C225" s="111" t="s">
        <v>9791</v>
      </c>
      <c r="D225" s="301" t="s">
        <v>9792</v>
      </c>
      <c r="E225" s="302" t="s">
        <v>10973</v>
      </c>
      <c r="F225" s="278" t="s">
        <v>4109</v>
      </c>
      <c r="G225" s="278" t="s">
        <v>4108</v>
      </c>
      <c r="H225" s="303" t="s">
        <v>11038</v>
      </c>
      <c r="I225" s="301" t="s">
        <v>11039</v>
      </c>
      <c r="J225" s="303" t="s">
        <v>10969</v>
      </c>
    </row>
    <row r="226" spans="1:10" ht="14.5" customHeight="1" x14ac:dyDescent="0.25">
      <c r="A226" s="278" t="s">
        <v>9631</v>
      </c>
      <c r="B226" s="278" t="s">
        <v>10904</v>
      </c>
      <c r="C226" s="111" t="s">
        <v>9793</v>
      </c>
      <c r="D226" s="301" t="s">
        <v>9794</v>
      </c>
      <c r="E226" s="302" t="s">
        <v>10973</v>
      </c>
      <c r="F226" s="278" t="s">
        <v>4109</v>
      </c>
      <c r="G226" s="278" t="s">
        <v>4108</v>
      </c>
      <c r="H226" s="303" t="s">
        <v>11026</v>
      </c>
      <c r="I226" s="301" t="s">
        <v>11027</v>
      </c>
      <c r="J226" s="303" t="s">
        <v>10969</v>
      </c>
    </row>
    <row r="227" spans="1:10" ht="14.5" customHeight="1" x14ac:dyDescent="0.25">
      <c r="A227" s="278" t="s">
        <v>9631</v>
      </c>
      <c r="B227" s="278" t="s">
        <v>10904</v>
      </c>
      <c r="C227" s="111" t="s">
        <v>9793</v>
      </c>
      <c r="D227" s="301" t="s">
        <v>9794</v>
      </c>
      <c r="E227" s="302" t="s">
        <v>10973</v>
      </c>
      <c r="F227" s="278" t="s">
        <v>4109</v>
      </c>
      <c r="G227" s="278" t="s">
        <v>4108</v>
      </c>
      <c r="H227" s="303" t="s">
        <v>11038</v>
      </c>
      <c r="I227" s="301" t="s">
        <v>11039</v>
      </c>
      <c r="J227" s="303" t="s">
        <v>10969</v>
      </c>
    </row>
    <row r="228" spans="1:10" ht="14.5" customHeight="1" x14ac:dyDescent="0.25">
      <c r="A228" s="278" t="s">
        <v>9631</v>
      </c>
      <c r="B228" s="278" t="s">
        <v>10904</v>
      </c>
      <c r="C228" s="111" t="s">
        <v>9795</v>
      </c>
      <c r="D228" s="301" t="s">
        <v>9796</v>
      </c>
      <c r="E228" s="302" t="s">
        <v>10977</v>
      </c>
      <c r="F228" s="278" t="s">
        <v>4109</v>
      </c>
      <c r="G228" s="278" t="s">
        <v>4108</v>
      </c>
      <c r="H228" s="303" t="s">
        <v>11026</v>
      </c>
      <c r="I228" s="301" t="s">
        <v>11027</v>
      </c>
      <c r="J228" s="303" t="s">
        <v>10969</v>
      </c>
    </row>
    <row r="229" spans="1:10" ht="14.5" customHeight="1" x14ac:dyDescent="0.25">
      <c r="A229" s="278" t="s">
        <v>9631</v>
      </c>
      <c r="B229" s="278" t="s">
        <v>10904</v>
      </c>
      <c r="C229" s="111" t="s">
        <v>9795</v>
      </c>
      <c r="D229" s="301" t="s">
        <v>9796</v>
      </c>
      <c r="E229" s="302" t="s">
        <v>10977</v>
      </c>
      <c r="F229" s="278" t="s">
        <v>4109</v>
      </c>
      <c r="G229" s="278" t="s">
        <v>4108</v>
      </c>
      <c r="H229" s="303" t="s">
        <v>11042</v>
      </c>
      <c r="I229" s="301" t="s">
        <v>11043</v>
      </c>
      <c r="J229" s="303" t="s">
        <v>10969</v>
      </c>
    </row>
    <row r="230" spans="1:10" ht="14.5" customHeight="1" x14ac:dyDescent="0.25">
      <c r="A230" s="278" t="s">
        <v>9631</v>
      </c>
      <c r="B230" s="278" t="s">
        <v>10904</v>
      </c>
      <c r="C230" s="111" t="s">
        <v>9795</v>
      </c>
      <c r="D230" s="301" t="s">
        <v>9796</v>
      </c>
      <c r="E230" s="302" t="s">
        <v>10977</v>
      </c>
      <c r="F230" s="278" t="s">
        <v>4109</v>
      </c>
      <c r="G230" s="278" t="s">
        <v>4108</v>
      </c>
      <c r="H230" s="306" t="s">
        <v>11030</v>
      </c>
      <c r="I230" s="304" t="s">
        <v>11031</v>
      </c>
      <c r="J230" s="303" t="s">
        <v>10972</v>
      </c>
    </row>
    <row r="231" spans="1:10" ht="14.5" customHeight="1" x14ac:dyDescent="0.25">
      <c r="A231" s="278" t="s">
        <v>9631</v>
      </c>
      <c r="B231" s="278" t="s">
        <v>10904</v>
      </c>
      <c r="C231" s="111" t="s">
        <v>9795</v>
      </c>
      <c r="D231" s="301" t="s">
        <v>9796</v>
      </c>
      <c r="E231" s="302" t="s">
        <v>10977</v>
      </c>
      <c r="F231" s="278" t="s">
        <v>4109</v>
      </c>
      <c r="G231" s="278" t="s">
        <v>4108</v>
      </c>
      <c r="H231" s="303" t="s">
        <v>11044</v>
      </c>
      <c r="I231" s="301" t="s">
        <v>11045</v>
      </c>
      <c r="J231" s="303" t="s">
        <v>10972</v>
      </c>
    </row>
    <row r="232" spans="1:10" ht="14.5" customHeight="1" x14ac:dyDescent="0.25">
      <c r="A232" s="278" t="s">
        <v>9631</v>
      </c>
      <c r="B232" s="278" t="s">
        <v>10904</v>
      </c>
      <c r="C232" s="111" t="s">
        <v>9797</v>
      </c>
      <c r="D232" s="301" t="s">
        <v>9798</v>
      </c>
      <c r="E232" s="302" t="s">
        <v>10973</v>
      </c>
      <c r="F232" s="278" t="s">
        <v>4109</v>
      </c>
      <c r="G232" s="278" t="s">
        <v>4108</v>
      </c>
      <c r="H232" s="303" t="s">
        <v>11026</v>
      </c>
      <c r="I232" s="301" t="s">
        <v>11027</v>
      </c>
      <c r="J232" s="303" t="s">
        <v>10969</v>
      </c>
    </row>
    <row r="233" spans="1:10" ht="14.5" customHeight="1" x14ac:dyDescent="0.25">
      <c r="A233" s="278" t="s">
        <v>9631</v>
      </c>
      <c r="B233" s="278" t="s">
        <v>10904</v>
      </c>
      <c r="C233" s="111" t="s">
        <v>9797</v>
      </c>
      <c r="D233" s="301" t="s">
        <v>9798</v>
      </c>
      <c r="E233" s="302" t="s">
        <v>10973</v>
      </c>
      <c r="F233" s="278" t="s">
        <v>4109</v>
      </c>
      <c r="G233" s="278" t="s">
        <v>4108</v>
      </c>
      <c r="H233" s="303" t="s">
        <v>11042</v>
      </c>
      <c r="I233" s="301" t="s">
        <v>11043</v>
      </c>
      <c r="J233" s="303" t="s">
        <v>10969</v>
      </c>
    </row>
    <row r="234" spans="1:10" ht="14.5" customHeight="1" x14ac:dyDescent="0.25">
      <c r="A234" s="278" t="s">
        <v>9631</v>
      </c>
      <c r="B234" s="278" t="s">
        <v>10904</v>
      </c>
      <c r="C234" s="111" t="s">
        <v>9799</v>
      </c>
      <c r="D234" s="301" t="s">
        <v>9800</v>
      </c>
      <c r="E234" s="302" t="s">
        <v>10973</v>
      </c>
      <c r="F234" s="278" t="s">
        <v>4109</v>
      </c>
      <c r="G234" s="278" t="s">
        <v>4108</v>
      </c>
      <c r="H234" s="303" t="s">
        <v>11026</v>
      </c>
      <c r="I234" s="301" t="s">
        <v>11027</v>
      </c>
      <c r="J234" s="303" t="s">
        <v>10969</v>
      </c>
    </row>
    <row r="235" spans="1:10" ht="14.5" customHeight="1" x14ac:dyDescent="0.25">
      <c r="A235" s="278" t="s">
        <v>9631</v>
      </c>
      <c r="B235" s="278" t="s">
        <v>10904</v>
      </c>
      <c r="C235" s="111" t="s">
        <v>9799</v>
      </c>
      <c r="D235" s="301" t="s">
        <v>9800</v>
      </c>
      <c r="E235" s="302" t="s">
        <v>10973</v>
      </c>
      <c r="F235" s="278" t="s">
        <v>4109</v>
      </c>
      <c r="G235" s="278" t="s">
        <v>4108</v>
      </c>
      <c r="H235" s="303" t="s">
        <v>11042</v>
      </c>
      <c r="I235" s="301" t="s">
        <v>11043</v>
      </c>
      <c r="J235" s="303" t="s">
        <v>10969</v>
      </c>
    </row>
    <row r="236" spans="1:10" ht="14.5" customHeight="1" x14ac:dyDescent="0.25">
      <c r="A236" s="278" t="s">
        <v>9631</v>
      </c>
      <c r="B236" s="278" t="s">
        <v>10904</v>
      </c>
      <c r="C236" s="111" t="s">
        <v>9801</v>
      </c>
      <c r="D236" s="301" t="s">
        <v>9802</v>
      </c>
      <c r="E236" s="302" t="s">
        <v>10973</v>
      </c>
      <c r="F236" s="278" t="s">
        <v>4109</v>
      </c>
      <c r="G236" s="278" t="s">
        <v>4108</v>
      </c>
      <c r="H236" s="303" t="s">
        <v>11026</v>
      </c>
      <c r="I236" s="301" t="s">
        <v>11027</v>
      </c>
      <c r="J236" s="303" t="s">
        <v>10969</v>
      </c>
    </row>
    <row r="237" spans="1:10" ht="14.5" customHeight="1" x14ac:dyDescent="0.25">
      <c r="A237" s="278" t="s">
        <v>9631</v>
      </c>
      <c r="B237" s="278" t="s">
        <v>10904</v>
      </c>
      <c r="C237" s="111" t="s">
        <v>9801</v>
      </c>
      <c r="D237" s="301" t="s">
        <v>9802</v>
      </c>
      <c r="E237" s="302" t="s">
        <v>10973</v>
      </c>
      <c r="F237" s="278" t="s">
        <v>4109</v>
      </c>
      <c r="G237" s="278" t="s">
        <v>4108</v>
      </c>
      <c r="H237" s="303" t="s">
        <v>11042</v>
      </c>
      <c r="I237" s="301" t="s">
        <v>11043</v>
      </c>
      <c r="J237" s="303" t="s">
        <v>10969</v>
      </c>
    </row>
    <row r="238" spans="1:10" ht="14.5" customHeight="1" x14ac:dyDescent="0.25">
      <c r="A238" s="278" t="s">
        <v>9631</v>
      </c>
      <c r="B238" s="278" t="s">
        <v>10904</v>
      </c>
      <c r="C238" s="111" t="s">
        <v>9803</v>
      </c>
      <c r="D238" s="301" t="s">
        <v>9804</v>
      </c>
      <c r="E238" s="302" t="s">
        <v>10973</v>
      </c>
      <c r="F238" s="278" t="s">
        <v>4109</v>
      </c>
      <c r="G238" s="278" t="s">
        <v>4108</v>
      </c>
      <c r="H238" s="303" t="s">
        <v>11026</v>
      </c>
      <c r="I238" s="301" t="s">
        <v>11027</v>
      </c>
      <c r="J238" s="303" t="s">
        <v>10969</v>
      </c>
    </row>
    <row r="239" spans="1:10" ht="14.5" customHeight="1" x14ac:dyDescent="0.25">
      <c r="A239" s="278" t="s">
        <v>9631</v>
      </c>
      <c r="B239" s="278" t="s">
        <v>10904</v>
      </c>
      <c r="C239" s="111" t="s">
        <v>9803</v>
      </c>
      <c r="D239" s="301" t="s">
        <v>9804</v>
      </c>
      <c r="E239" s="302" t="s">
        <v>10973</v>
      </c>
      <c r="F239" s="278" t="s">
        <v>4109</v>
      </c>
      <c r="G239" s="278" t="s">
        <v>4108</v>
      </c>
      <c r="H239" s="303" t="s">
        <v>11042</v>
      </c>
      <c r="I239" s="301" t="s">
        <v>11043</v>
      </c>
      <c r="J239" s="303" t="s">
        <v>10969</v>
      </c>
    </row>
    <row r="240" spans="1:10" ht="14.5" customHeight="1" x14ac:dyDescent="0.25">
      <c r="A240" s="278" t="s">
        <v>9631</v>
      </c>
      <c r="B240" s="278" t="s">
        <v>10904</v>
      </c>
      <c r="C240" s="111" t="s">
        <v>9805</v>
      </c>
      <c r="D240" s="301" t="s">
        <v>9806</v>
      </c>
      <c r="E240" s="302" t="s">
        <v>10977</v>
      </c>
      <c r="F240" s="278" t="s">
        <v>4109</v>
      </c>
      <c r="G240" s="278" t="s">
        <v>4108</v>
      </c>
      <c r="H240" s="303" t="s">
        <v>11026</v>
      </c>
      <c r="I240" s="301" t="s">
        <v>11027</v>
      </c>
      <c r="J240" s="303" t="s">
        <v>10969</v>
      </c>
    </row>
    <row r="241" spans="1:10" ht="14.5" customHeight="1" x14ac:dyDescent="0.25">
      <c r="A241" s="278" t="s">
        <v>9631</v>
      </c>
      <c r="B241" s="278" t="s">
        <v>10904</v>
      </c>
      <c r="C241" s="111" t="s">
        <v>9805</v>
      </c>
      <c r="D241" s="301" t="s">
        <v>9806</v>
      </c>
      <c r="E241" s="302" t="s">
        <v>10977</v>
      </c>
      <c r="F241" s="278" t="s">
        <v>4109</v>
      </c>
      <c r="G241" s="278" t="s">
        <v>4108</v>
      </c>
      <c r="H241" s="303" t="s">
        <v>11046</v>
      </c>
      <c r="I241" s="301" t="s">
        <v>11047</v>
      </c>
      <c r="J241" s="303" t="s">
        <v>10969</v>
      </c>
    </row>
    <row r="242" spans="1:10" ht="14.5" customHeight="1" x14ac:dyDescent="0.25">
      <c r="A242" s="278" t="s">
        <v>9631</v>
      </c>
      <c r="B242" s="278" t="s">
        <v>10904</v>
      </c>
      <c r="C242" s="111" t="s">
        <v>9805</v>
      </c>
      <c r="D242" s="301" t="s">
        <v>9806</v>
      </c>
      <c r="E242" s="302" t="s">
        <v>10977</v>
      </c>
      <c r="F242" s="278" t="s">
        <v>4109</v>
      </c>
      <c r="G242" s="278" t="s">
        <v>4108</v>
      </c>
      <c r="H242" s="306" t="s">
        <v>11030</v>
      </c>
      <c r="I242" s="304" t="s">
        <v>11031</v>
      </c>
      <c r="J242" s="303" t="s">
        <v>10972</v>
      </c>
    </row>
    <row r="243" spans="1:10" ht="14.5" customHeight="1" x14ac:dyDescent="0.25">
      <c r="A243" s="278" t="s">
        <v>9631</v>
      </c>
      <c r="B243" s="278" t="s">
        <v>10904</v>
      </c>
      <c r="C243" s="111" t="s">
        <v>9805</v>
      </c>
      <c r="D243" s="301" t="s">
        <v>9806</v>
      </c>
      <c r="E243" s="302" t="s">
        <v>10977</v>
      </c>
      <c r="F243" s="278" t="s">
        <v>4109</v>
      </c>
      <c r="G243" s="278" t="s">
        <v>4108</v>
      </c>
      <c r="H243" s="303" t="s">
        <v>11048</v>
      </c>
      <c r="I243" s="301" t="s">
        <v>11049</v>
      </c>
      <c r="J243" s="303" t="s">
        <v>10972</v>
      </c>
    </row>
    <row r="244" spans="1:10" ht="14.5" customHeight="1" x14ac:dyDescent="0.25">
      <c r="A244" s="278" t="s">
        <v>9631</v>
      </c>
      <c r="B244" s="278" t="s">
        <v>10904</v>
      </c>
      <c r="C244" s="111" t="s">
        <v>9807</v>
      </c>
      <c r="D244" s="301" t="s">
        <v>9808</v>
      </c>
      <c r="E244" s="302" t="s">
        <v>10973</v>
      </c>
      <c r="F244" s="278" t="s">
        <v>4109</v>
      </c>
      <c r="G244" s="278" t="s">
        <v>4108</v>
      </c>
      <c r="H244" s="303" t="s">
        <v>11026</v>
      </c>
      <c r="I244" s="301" t="s">
        <v>11027</v>
      </c>
      <c r="J244" s="303" t="s">
        <v>10969</v>
      </c>
    </row>
    <row r="245" spans="1:10" ht="14.5" customHeight="1" x14ac:dyDescent="0.25">
      <c r="A245" s="278" t="s">
        <v>9631</v>
      </c>
      <c r="B245" s="278" t="s">
        <v>10904</v>
      </c>
      <c r="C245" s="111" t="s">
        <v>9807</v>
      </c>
      <c r="D245" s="301" t="s">
        <v>9808</v>
      </c>
      <c r="E245" s="302" t="s">
        <v>10973</v>
      </c>
      <c r="F245" s="278" t="s">
        <v>4109</v>
      </c>
      <c r="G245" s="278" t="s">
        <v>4108</v>
      </c>
      <c r="H245" s="303" t="s">
        <v>11046</v>
      </c>
      <c r="I245" s="301" t="s">
        <v>11047</v>
      </c>
      <c r="J245" s="303" t="s">
        <v>10969</v>
      </c>
    </row>
    <row r="246" spans="1:10" ht="14.5" customHeight="1" x14ac:dyDescent="0.25">
      <c r="A246" s="278" t="s">
        <v>9631</v>
      </c>
      <c r="B246" s="278" t="s">
        <v>10904</v>
      </c>
      <c r="C246" s="111" t="s">
        <v>9809</v>
      </c>
      <c r="D246" s="301" t="s">
        <v>9810</v>
      </c>
      <c r="E246" s="302" t="s">
        <v>10977</v>
      </c>
      <c r="F246" s="278" t="s">
        <v>4109</v>
      </c>
      <c r="G246" s="278" t="s">
        <v>4108</v>
      </c>
      <c r="H246" s="303" t="s">
        <v>11026</v>
      </c>
      <c r="I246" s="301" t="s">
        <v>11027</v>
      </c>
      <c r="J246" s="303" t="s">
        <v>10969</v>
      </c>
    </row>
    <row r="247" spans="1:10" ht="14.5" customHeight="1" x14ac:dyDescent="0.25">
      <c r="A247" s="278" t="s">
        <v>9631</v>
      </c>
      <c r="B247" s="278" t="s">
        <v>10904</v>
      </c>
      <c r="C247" s="111" t="s">
        <v>9809</v>
      </c>
      <c r="D247" s="301" t="s">
        <v>9810</v>
      </c>
      <c r="E247" s="302" t="s">
        <v>10977</v>
      </c>
      <c r="F247" s="278" t="s">
        <v>4109</v>
      </c>
      <c r="G247" s="278" t="s">
        <v>4108</v>
      </c>
      <c r="H247" s="303" t="s">
        <v>11050</v>
      </c>
      <c r="I247" s="301" t="s">
        <v>11051</v>
      </c>
      <c r="J247" s="303" t="s">
        <v>10969</v>
      </c>
    </row>
    <row r="248" spans="1:10" ht="14.5" customHeight="1" x14ac:dyDescent="0.25">
      <c r="A248" s="278" t="s">
        <v>9631</v>
      </c>
      <c r="B248" s="278" t="s">
        <v>10904</v>
      </c>
      <c r="C248" s="111" t="s">
        <v>9809</v>
      </c>
      <c r="D248" s="301" t="s">
        <v>9810</v>
      </c>
      <c r="E248" s="302" t="s">
        <v>10977</v>
      </c>
      <c r="F248" s="278" t="s">
        <v>4109</v>
      </c>
      <c r="G248" s="278" t="s">
        <v>4108</v>
      </c>
      <c r="H248" s="306" t="s">
        <v>11030</v>
      </c>
      <c r="I248" s="304" t="s">
        <v>11031</v>
      </c>
      <c r="J248" s="303" t="s">
        <v>10972</v>
      </c>
    </row>
    <row r="249" spans="1:10" ht="14.5" customHeight="1" x14ac:dyDescent="0.25">
      <c r="A249" s="278" t="s">
        <v>9631</v>
      </c>
      <c r="B249" s="278" t="s">
        <v>10904</v>
      </c>
      <c r="C249" s="111" t="s">
        <v>9809</v>
      </c>
      <c r="D249" s="301" t="s">
        <v>9810</v>
      </c>
      <c r="E249" s="302" t="s">
        <v>10977</v>
      </c>
      <c r="F249" s="278" t="s">
        <v>4109</v>
      </c>
      <c r="G249" s="278" t="s">
        <v>4108</v>
      </c>
      <c r="H249" s="303" t="s">
        <v>11052</v>
      </c>
      <c r="I249" s="301" t="s">
        <v>11053</v>
      </c>
      <c r="J249" s="303" t="s">
        <v>10972</v>
      </c>
    </row>
    <row r="250" spans="1:10" ht="14.5" customHeight="1" x14ac:dyDescent="0.25">
      <c r="A250" s="278" t="s">
        <v>9631</v>
      </c>
      <c r="B250" s="278" t="s">
        <v>10904</v>
      </c>
      <c r="C250" s="111" t="s">
        <v>9811</v>
      </c>
      <c r="D250" s="301" t="s">
        <v>9812</v>
      </c>
      <c r="E250" s="302" t="s">
        <v>10973</v>
      </c>
      <c r="F250" s="278" t="s">
        <v>4109</v>
      </c>
      <c r="G250" s="278" t="s">
        <v>4108</v>
      </c>
      <c r="H250" s="303" t="s">
        <v>11026</v>
      </c>
      <c r="I250" s="301" t="s">
        <v>11027</v>
      </c>
      <c r="J250" s="303" t="s">
        <v>10969</v>
      </c>
    </row>
    <row r="251" spans="1:10" ht="14.5" customHeight="1" x14ac:dyDescent="0.25">
      <c r="A251" s="278" t="s">
        <v>9631</v>
      </c>
      <c r="B251" s="278" t="s">
        <v>10904</v>
      </c>
      <c r="C251" s="111" t="s">
        <v>9811</v>
      </c>
      <c r="D251" s="301" t="s">
        <v>9812</v>
      </c>
      <c r="E251" s="302" t="s">
        <v>10973</v>
      </c>
      <c r="F251" s="278" t="s">
        <v>4109</v>
      </c>
      <c r="G251" s="278" t="s">
        <v>4108</v>
      </c>
      <c r="H251" s="303" t="s">
        <v>11050</v>
      </c>
      <c r="I251" s="301" t="s">
        <v>11051</v>
      </c>
      <c r="J251" s="303" t="s">
        <v>10969</v>
      </c>
    </row>
    <row r="252" spans="1:10" ht="14.5" customHeight="1" x14ac:dyDescent="0.25">
      <c r="A252" s="278" t="s">
        <v>9631</v>
      </c>
      <c r="B252" s="278" t="s">
        <v>10904</v>
      </c>
      <c r="C252" s="111" t="s">
        <v>9813</v>
      </c>
      <c r="D252" s="301" t="s">
        <v>9814</v>
      </c>
      <c r="E252" s="302" t="s">
        <v>10973</v>
      </c>
      <c r="F252" s="278" t="s">
        <v>4109</v>
      </c>
      <c r="G252" s="278" t="s">
        <v>4108</v>
      </c>
      <c r="H252" s="303" t="s">
        <v>11026</v>
      </c>
      <c r="I252" s="301" t="s">
        <v>11027</v>
      </c>
      <c r="J252" s="303" t="s">
        <v>10969</v>
      </c>
    </row>
    <row r="253" spans="1:10" ht="14.5" customHeight="1" x14ac:dyDescent="0.25">
      <c r="A253" s="278" t="s">
        <v>9631</v>
      </c>
      <c r="B253" s="278" t="s">
        <v>10904</v>
      </c>
      <c r="C253" s="111" t="s">
        <v>9813</v>
      </c>
      <c r="D253" s="301" t="s">
        <v>9814</v>
      </c>
      <c r="E253" s="302" t="s">
        <v>10973</v>
      </c>
      <c r="F253" s="278" t="s">
        <v>4109</v>
      </c>
      <c r="G253" s="278" t="s">
        <v>4108</v>
      </c>
      <c r="H253" s="303" t="s">
        <v>11050</v>
      </c>
      <c r="I253" s="301" t="s">
        <v>11051</v>
      </c>
      <c r="J253" s="303" t="s">
        <v>10969</v>
      </c>
    </row>
    <row r="254" spans="1:10" ht="14.5" customHeight="1" x14ac:dyDescent="0.25">
      <c r="A254" s="278" t="s">
        <v>9631</v>
      </c>
      <c r="B254" s="278" t="s">
        <v>10904</v>
      </c>
      <c r="C254" s="111" t="s">
        <v>9815</v>
      </c>
      <c r="D254" s="301" t="s">
        <v>9816</v>
      </c>
      <c r="E254" s="302" t="s">
        <v>10977</v>
      </c>
      <c r="F254" s="278" t="s">
        <v>4109</v>
      </c>
      <c r="G254" s="278" t="s">
        <v>4108</v>
      </c>
      <c r="H254" s="303" t="s">
        <v>11026</v>
      </c>
      <c r="I254" s="301" t="s">
        <v>11027</v>
      </c>
      <c r="J254" s="303" t="s">
        <v>10969</v>
      </c>
    </row>
    <row r="255" spans="1:10" ht="14.5" customHeight="1" x14ac:dyDescent="0.25">
      <c r="A255" s="278" t="s">
        <v>9631</v>
      </c>
      <c r="B255" s="278" t="s">
        <v>10904</v>
      </c>
      <c r="C255" s="111" t="s">
        <v>9815</v>
      </c>
      <c r="D255" s="301" t="s">
        <v>9816</v>
      </c>
      <c r="E255" s="302" t="s">
        <v>10977</v>
      </c>
      <c r="F255" s="278" t="s">
        <v>4109</v>
      </c>
      <c r="G255" s="278" t="s">
        <v>4108</v>
      </c>
      <c r="H255" s="303" t="s">
        <v>11054</v>
      </c>
      <c r="I255" s="301" t="s">
        <v>11055</v>
      </c>
      <c r="J255" s="303" t="s">
        <v>10969</v>
      </c>
    </row>
    <row r="256" spans="1:10" ht="14.5" customHeight="1" x14ac:dyDescent="0.25">
      <c r="A256" s="278" t="s">
        <v>9631</v>
      </c>
      <c r="B256" s="278" t="s">
        <v>10904</v>
      </c>
      <c r="C256" s="111" t="s">
        <v>9815</v>
      </c>
      <c r="D256" s="301" t="s">
        <v>9816</v>
      </c>
      <c r="E256" s="302" t="s">
        <v>10977</v>
      </c>
      <c r="F256" s="278" t="s">
        <v>4109</v>
      </c>
      <c r="G256" s="278" t="s">
        <v>4108</v>
      </c>
      <c r="H256" s="303" t="s">
        <v>11046</v>
      </c>
      <c r="I256" s="301" t="s">
        <v>11047</v>
      </c>
      <c r="J256" s="303" t="s">
        <v>10969</v>
      </c>
    </row>
    <row r="257" spans="1:10" ht="14.5" customHeight="1" x14ac:dyDescent="0.25">
      <c r="A257" s="278" t="s">
        <v>9631</v>
      </c>
      <c r="B257" s="278" t="s">
        <v>10904</v>
      </c>
      <c r="C257" s="111" t="s">
        <v>9815</v>
      </c>
      <c r="D257" s="301" t="s">
        <v>9816</v>
      </c>
      <c r="E257" s="302" t="s">
        <v>10977</v>
      </c>
      <c r="F257" s="278" t="s">
        <v>4109</v>
      </c>
      <c r="G257" s="278" t="s">
        <v>4108</v>
      </c>
      <c r="H257" s="306" t="s">
        <v>11030</v>
      </c>
      <c r="I257" s="304" t="s">
        <v>11031</v>
      </c>
      <c r="J257" s="303" t="s">
        <v>10972</v>
      </c>
    </row>
    <row r="258" spans="1:10" ht="14.5" customHeight="1" x14ac:dyDescent="0.25">
      <c r="A258" s="278" t="s">
        <v>9631</v>
      </c>
      <c r="B258" s="278" t="s">
        <v>10904</v>
      </c>
      <c r="C258" s="111" t="s">
        <v>9815</v>
      </c>
      <c r="D258" s="301" t="s">
        <v>9816</v>
      </c>
      <c r="E258" s="302" t="s">
        <v>10977</v>
      </c>
      <c r="F258" s="278" t="s">
        <v>4109</v>
      </c>
      <c r="G258" s="278" t="s">
        <v>4108</v>
      </c>
      <c r="H258" s="303" t="s">
        <v>11056</v>
      </c>
      <c r="I258" s="301" t="s">
        <v>11057</v>
      </c>
      <c r="J258" s="303" t="s">
        <v>10972</v>
      </c>
    </row>
    <row r="259" spans="1:10" ht="14.5" customHeight="1" x14ac:dyDescent="0.25">
      <c r="A259" s="278" t="s">
        <v>9631</v>
      </c>
      <c r="B259" s="278" t="s">
        <v>10904</v>
      </c>
      <c r="C259" s="111" t="s">
        <v>9815</v>
      </c>
      <c r="D259" s="301" t="s">
        <v>9816</v>
      </c>
      <c r="E259" s="302" t="s">
        <v>10977</v>
      </c>
      <c r="F259" s="278" t="s">
        <v>4109</v>
      </c>
      <c r="G259" s="278" t="s">
        <v>4108</v>
      </c>
      <c r="H259" s="303" t="s">
        <v>11048</v>
      </c>
      <c r="I259" s="301" t="s">
        <v>11049</v>
      </c>
      <c r="J259" s="303" t="s">
        <v>10972</v>
      </c>
    </row>
    <row r="260" spans="1:10" ht="14.5" customHeight="1" x14ac:dyDescent="0.25">
      <c r="A260" s="278" t="s">
        <v>9631</v>
      </c>
      <c r="B260" s="278" t="s">
        <v>10904</v>
      </c>
      <c r="C260" s="111" t="s">
        <v>9817</v>
      </c>
      <c r="D260" s="301" t="s">
        <v>9818</v>
      </c>
      <c r="E260" s="302" t="s">
        <v>10977</v>
      </c>
      <c r="F260" s="278" t="s">
        <v>4109</v>
      </c>
      <c r="G260" s="278" t="s">
        <v>4108</v>
      </c>
      <c r="H260" s="303" t="s">
        <v>10967</v>
      </c>
      <c r="I260" s="301" t="s">
        <v>10968</v>
      </c>
      <c r="J260" s="303" t="s">
        <v>10969</v>
      </c>
    </row>
    <row r="261" spans="1:10" ht="14.5" customHeight="1" x14ac:dyDescent="0.25">
      <c r="A261" s="278" t="s">
        <v>9631</v>
      </c>
      <c r="B261" s="278" t="s">
        <v>10904</v>
      </c>
      <c r="C261" s="111" t="s">
        <v>9817</v>
      </c>
      <c r="D261" s="301" t="s">
        <v>9818</v>
      </c>
      <c r="E261" s="302" t="s">
        <v>10977</v>
      </c>
      <c r="F261" s="278" t="s">
        <v>4109</v>
      </c>
      <c r="G261" s="278" t="s">
        <v>4108</v>
      </c>
      <c r="H261" s="303" t="s">
        <v>11058</v>
      </c>
      <c r="I261" s="301" t="s">
        <v>11059</v>
      </c>
      <c r="J261" s="303" t="s">
        <v>10969</v>
      </c>
    </row>
    <row r="262" spans="1:10" ht="14.5" customHeight="1" x14ac:dyDescent="0.25">
      <c r="A262" s="278" t="s">
        <v>9631</v>
      </c>
      <c r="B262" s="278" t="s">
        <v>10904</v>
      </c>
      <c r="C262" s="111" t="s">
        <v>9817</v>
      </c>
      <c r="D262" s="301" t="s">
        <v>9818</v>
      </c>
      <c r="E262" s="302" t="s">
        <v>10977</v>
      </c>
      <c r="F262" s="278" t="s">
        <v>4109</v>
      </c>
      <c r="G262" s="278" t="s">
        <v>4108</v>
      </c>
      <c r="H262" s="303" t="s">
        <v>11026</v>
      </c>
      <c r="I262" s="301" t="s">
        <v>11027</v>
      </c>
      <c r="J262" s="303" t="s">
        <v>10969</v>
      </c>
    </row>
    <row r="263" spans="1:10" ht="14.5" customHeight="1" x14ac:dyDescent="0.25">
      <c r="A263" s="278" t="s">
        <v>9631</v>
      </c>
      <c r="B263" s="278" t="s">
        <v>10904</v>
      </c>
      <c r="C263" s="111" t="s">
        <v>9817</v>
      </c>
      <c r="D263" s="301" t="s">
        <v>9818</v>
      </c>
      <c r="E263" s="302" t="s">
        <v>10977</v>
      </c>
      <c r="F263" s="278" t="s">
        <v>4109</v>
      </c>
      <c r="G263" s="278" t="s">
        <v>4108</v>
      </c>
      <c r="H263" s="303" t="s">
        <v>11034</v>
      </c>
      <c r="I263" s="301" t="s">
        <v>11035</v>
      </c>
      <c r="J263" s="303" t="s">
        <v>10969</v>
      </c>
    </row>
    <row r="264" spans="1:10" ht="14.5" customHeight="1" x14ac:dyDescent="0.25">
      <c r="A264" s="278" t="s">
        <v>9631</v>
      </c>
      <c r="B264" s="278" t="s">
        <v>10904</v>
      </c>
      <c r="C264" s="111" t="s">
        <v>9817</v>
      </c>
      <c r="D264" s="301" t="s">
        <v>9818</v>
      </c>
      <c r="E264" s="302" t="s">
        <v>10977</v>
      </c>
      <c r="F264" s="278" t="s">
        <v>4109</v>
      </c>
      <c r="G264" s="278" t="s">
        <v>4108</v>
      </c>
      <c r="H264" s="303" t="s">
        <v>11054</v>
      </c>
      <c r="I264" s="301" t="s">
        <v>11055</v>
      </c>
      <c r="J264" s="303" t="s">
        <v>10969</v>
      </c>
    </row>
    <row r="265" spans="1:10" ht="14.5" customHeight="1" x14ac:dyDescent="0.25">
      <c r="A265" s="278" t="s">
        <v>9631</v>
      </c>
      <c r="B265" s="278" t="s">
        <v>10904</v>
      </c>
      <c r="C265" s="111" t="s">
        <v>9817</v>
      </c>
      <c r="D265" s="301" t="s">
        <v>9818</v>
      </c>
      <c r="E265" s="302" t="s">
        <v>10977</v>
      </c>
      <c r="F265" s="278" t="s">
        <v>4109</v>
      </c>
      <c r="G265" s="278" t="s">
        <v>4108</v>
      </c>
      <c r="H265" s="303" t="s">
        <v>11050</v>
      </c>
      <c r="I265" s="301" t="s">
        <v>11051</v>
      </c>
      <c r="J265" s="303" t="s">
        <v>10969</v>
      </c>
    </row>
    <row r="266" spans="1:10" ht="14.5" customHeight="1" x14ac:dyDescent="0.25">
      <c r="A266" s="278" t="s">
        <v>9631</v>
      </c>
      <c r="B266" s="278" t="s">
        <v>10904</v>
      </c>
      <c r="C266" s="111" t="s">
        <v>9817</v>
      </c>
      <c r="D266" s="301" t="s">
        <v>9818</v>
      </c>
      <c r="E266" s="302" t="s">
        <v>10977</v>
      </c>
      <c r="F266" s="278" t="s">
        <v>4109</v>
      </c>
      <c r="G266" s="278" t="s">
        <v>4108</v>
      </c>
      <c r="H266" s="303" t="s">
        <v>11046</v>
      </c>
      <c r="I266" s="301" t="s">
        <v>11047</v>
      </c>
      <c r="J266" s="303" t="s">
        <v>10969</v>
      </c>
    </row>
    <row r="267" spans="1:10" ht="14.5" customHeight="1" x14ac:dyDescent="0.25">
      <c r="A267" s="278" t="s">
        <v>9631</v>
      </c>
      <c r="B267" s="278" t="s">
        <v>10904</v>
      </c>
      <c r="C267" s="111" t="s">
        <v>9817</v>
      </c>
      <c r="D267" s="301" t="s">
        <v>9818</v>
      </c>
      <c r="E267" s="302" t="s">
        <v>10977</v>
      </c>
      <c r="F267" s="278" t="s">
        <v>4109</v>
      </c>
      <c r="G267" s="278" t="s">
        <v>4108</v>
      </c>
      <c r="H267" s="303" t="s">
        <v>11060</v>
      </c>
      <c r="I267" s="301" t="s">
        <v>11061</v>
      </c>
      <c r="J267" s="303" t="s">
        <v>10969</v>
      </c>
    </row>
    <row r="268" spans="1:10" ht="14.5" customHeight="1" x14ac:dyDescent="0.25">
      <c r="A268" s="278" t="s">
        <v>9631</v>
      </c>
      <c r="B268" s="278" t="s">
        <v>10904</v>
      </c>
      <c r="C268" s="111" t="s">
        <v>9817</v>
      </c>
      <c r="D268" s="301" t="s">
        <v>9818</v>
      </c>
      <c r="E268" s="302" t="s">
        <v>10977</v>
      </c>
      <c r="F268" s="278" t="s">
        <v>4109</v>
      </c>
      <c r="G268" s="278" t="s">
        <v>4108</v>
      </c>
      <c r="H268" s="303" t="s">
        <v>10918</v>
      </c>
      <c r="I268" s="301" t="s">
        <v>9640</v>
      </c>
      <c r="J268" s="303" t="s">
        <v>10915</v>
      </c>
    </row>
    <row r="269" spans="1:10" ht="14.5" customHeight="1" x14ac:dyDescent="0.25">
      <c r="A269" s="278" t="s">
        <v>9631</v>
      </c>
      <c r="B269" s="278" t="s">
        <v>10904</v>
      </c>
      <c r="C269" s="111" t="s">
        <v>9817</v>
      </c>
      <c r="D269" s="301" t="s">
        <v>9818</v>
      </c>
      <c r="E269" s="302" t="s">
        <v>10977</v>
      </c>
      <c r="F269" s="278" t="s">
        <v>4109</v>
      </c>
      <c r="G269" s="278" t="s">
        <v>4108</v>
      </c>
      <c r="H269" s="303" t="s">
        <v>10919</v>
      </c>
      <c r="I269" s="301" t="s">
        <v>10920</v>
      </c>
      <c r="J269" s="303" t="s">
        <v>10915</v>
      </c>
    </row>
    <row r="270" spans="1:10" ht="14.5" customHeight="1" x14ac:dyDescent="0.25">
      <c r="A270" s="278" t="s">
        <v>9631</v>
      </c>
      <c r="B270" s="278" t="s">
        <v>10904</v>
      </c>
      <c r="C270" s="111" t="s">
        <v>9817</v>
      </c>
      <c r="D270" s="301" t="s">
        <v>9818</v>
      </c>
      <c r="E270" s="302" t="s">
        <v>10977</v>
      </c>
      <c r="F270" s="278" t="s">
        <v>4109</v>
      </c>
      <c r="G270" s="278" t="s">
        <v>4108</v>
      </c>
      <c r="H270" s="303" t="s">
        <v>10921</v>
      </c>
      <c r="I270" s="301" t="s">
        <v>10922</v>
      </c>
      <c r="J270" s="303" t="s">
        <v>10915</v>
      </c>
    </row>
    <row r="271" spans="1:10" ht="14.5" customHeight="1" x14ac:dyDescent="0.25">
      <c r="A271" s="278" t="s">
        <v>9631</v>
      </c>
      <c r="B271" s="278" t="s">
        <v>10904</v>
      </c>
      <c r="C271" s="111" t="s">
        <v>9817</v>
      </c>
      <c r="D271" s="301" t="s">
        <v>9818</v>
      </c>
      <c r="E271" s="302" t="s">
        <v>10977</v>
      </c>
      <c r="F271" s="278" t="s">
        <v>4109</v>
      </c>
      <c r="G271" s="278" t="s">
        <v>4108</v>
      </c>
      <c r="H271" s="303" t="s">
        <v>10923</v>
      </c>
      <c r="I271" s="301" t="s">
        <v>10924</v>
      </c>
      <c r="J271" s="303" t="s">
        <v>10915</v>
      </c>
    </row>
    <row r="272" spans="1:10" ht="14.5" customHeight="1" x14ac:dyDescent="0.25">
      <c r="A272" s="278" t="s">
        <v>9631</v>
      </c>
      <c r="B272" s="278" t="s">
        <v>10904</v>
      </c>
      <c r="C272" s="111" t="s">
        <v>9817</v>
      </c>
      <c r="D272" s="301" t="s">
        <v>9818</v>
      </c>
      <c r="E272" s="302" t="s">
        <v>10977</v>
      </c>
      <c r="F272" s="278" t="s">
        <v>4109</v>
      </c>
      <c r="G272" s="278" t="s">
        <v>4108</v>
      </c>
      <c r="H272" s="303" t="s">
        <v>10925</v>
      </c>
      <c r="I272" s="301" t="s">
        <v>10926</v>
      </c>
      <c r="J272" s="303" t="s">
        <v>10915</v>
      </c>
    </row>
    <row r="273" spans="1:10" ht="14.5" customHeight="1" x14ac:dyDescent="0.25">
      <c r="A273" s="278" t="s">
        <v>9631</v>
      </c>
      <c r="B273" s="278" t="s">
        <v>10904</v>
      </c>
      <c r="C273" s="111" t="s">
        <v>9817</v>
      </c>
      <c r="D273" s="301" t="s">
        <v>9818</v>
      </c>
      <c r="E273" s="302" t="s">
        <v>10977</v>
      </c>
      <c r="F273" s="278" t="s">
        <v>4109</v>
      </c>
      <c r="G273" s="278" t="s">
        <v>4108</v>
      </c>
      <c r="H273" s="303" t="s">
        <v>10927</v>
      </c>
      <c r="I273" s="301" t="s">
        <v>10928</v>
      </c>
      <c r="J273" s="303" t="s">
        <v>10915</v>
      </c>
    </row>
    <row r="274" spans="1:10" ht="14.5" customHeight="1" x14ac:dyDescent="0.25">
      <c r="A274" s="278" t="s">
        <v>9631</v>
      </c>
      <c r="B274" s="278" t="s">
        <v>10904</v>
      </c>
      <c r="C274" s="111" t="s">
        <v>9817</v>
      </c>
      <c r="D274" s="301" t="s">
        <v>9818</v>
      </c>
      <c r="E274" s="302" t="s">
        <v>10977</v>
      </c>
      <c r="F274" s="278" t="s">
        <v>4109</v>
      </c>
      <c r="G274" s="278" t="s">
        <v>4108</v>
      </c>
      <c r="H274" s="303" t="s">
        <v>11062</v>
      </c>
      <c r="I274" s="301" t="s">
        <v>11063</v>
      </c>
      <c r="J274" s="303" t="s">
        <v>10969</v>
      </c>
    </row>
    <row r="275" spans="1:10" ht="14.5" customHeight="1" x14ac:dyDescent="0.25">
      <c r="A275" s="278" t="s">
        <v>9631</v>
      </c>
      <c r="B275" s="278" t="s">
        <v>10904</v>
      </c>
      <c r="C275" s="111" t="s">
        <v>9817</v>
      </c>
      <c r="D275" s="301" t="s">
        <v>9818</v>
      </c>
      <c r="E275" s="302" t="s">
        <v>10977</v>
      </c>
      <c r="F275" s="278" t="s">
        <v>4109</v>
      </c>
      <c r="G275" s="278" t="s">
        <v>4108</v>
      </c>
      <c r="H275" s="303" t="s">
        <v>11064</v>
      </c>
      <c r="I275" s="301" t="s">
        <v>11065</v>
      </c>
      <c r="J275" s="303" t="s">
        <v>10969</v>
      </c>
    </row>
    <row r="276" spans="1:10" ht="14.5" customHeight="1" x14ac:dyDescent="0.25">
      <c r="A276" s="278" t="s">
        <v>9631</v>
      </c>
      <c r="B276" s="278" t="s">
        <v>10904</v>
      </c>
      <c r="C276" s="111" t="s">
        <v>9817</v>
      </c>
      <c r="D276" s="301" t="s">
        <v>9818</v>
      </c>
      <c r="E276" s="302" t="s">
        <v>10977</v>
      </c>
      <c r="F276" s="278" t="s">
        <v>4109</v>
      </c>
      <c r="G276" s="278" t="s">
        <v>4108</v>
      </c>
      <c r="H276" s="303" t="s">
        <v>11066</v>
      </c>
      <c r="I276" s="301" t="s">
        <v>11067</v>
      </c>
      <c r="J276" s="303" t="s">
        <v>10969</v>
      </c>
    </row>
    <row r="277" spans="1:10" ht="14.5" customHeight="1" x14ac:dyDescent="0.25">
      <c r="A277" s="278" t="s">
        <v>9631</v>
      </c>
      <c r="B277" s="278" t="s">
        <v>10904</v>
      </c>
      <c r="C277" s="111" t="s">
        <v>9817</v>
      </c>
      <c r="D277" s="301" t="s">
        <v>9818</v>
      </c>
      <c r="E277" s="302" t="s">
        <v>10977</v>
      </c>
      <c r="F277" s="278" t="s">
        <v>4109</v>
      </c>
      <c r="G277" s="278" t="s">
        <v>4108</v>
      </c>
      <c r="H277" s="303" t="s">
        <v>10929</v>
      </c>
      <c r="I277" s="301" t="s">
        <v>10930</v>
      </c>
      <c r="J277" s="303" t="s">
        <v>10915</v>
      </c>
    </row>
    <row r="278" spans="1:10" ht="14.5" customHeight="1" x14ac:dyDescent="0.25">
      <c r="A278" s="278" t="s">
        <v>9631</v>
      </c>
      <c r="B278" s="278" t="s">
        <v>10904</v>
      </c>
      <c r="C278" s="111" t="s">
        <v>9817</v>
      </c>
      <c r="D278" s="301" t="s">
        <v>9818</v>
      </c>
      <c r="E278" s="302" t="s">
        <v>10977</v>
      </c>
      <c r="F278" s="278" t="s">
        <v>4109</v>
      </c>
      <c r="G278" s="278" t="s">
        <v>4108</v>
      </c>
      <c r="H278" s="303" t="s">
        <v>11068</v>
      </c>
      <c r="I278" s="301" t="s">
        <v>11069</v>
      </c>
      <c r="J278" s="303" t="s">
        <v>10969</v>
      </c>
    </row>
    <row r="279" spans="1:10" ht="14.5" customHeight="1" x14ac:dyDescent="0.25">
      <c r="A279" s="278" t="s">
        <v>9631</v>
      </c>
      <c r="B279" s="278" t="s">
        <v>10904</v>
      </c>
      <c r="C279" s="111" t="s">
        <v>9817</v>
      </c>
      <c r="D279" s="301" t="s">
        <v>9818</v>
      </c>
      <c r="E279" s="302" t="s">
        <v>10977</v>
      </c>
      <c r="F279" s="278" t="s">
        <v>4109</v>
      </c>
      <c r="G279" s="278" t="s">
        <v>4108</v>
      </c>
      <c r="H279" s="303" t="s">
        <v>11070</v>
      </c>
      <c r="I279" s="301" t="s">
        <v>11071</v>
      </c>
      <c r="J279" s="303" t="s">
        <v>10969</v>
      </c>
    </row>
    <row r="280" spans="1:10" ht="14.5" customHeight="1" x14ac:dyDescent="0.25">
      <c r="A280" s="278" t="s">
        <v>9631</v>
      </c>
      <c r="B280" s="278" t="s">
        <v>10904</v>
      </c>
      <c r="C280" s="111" t="s">
        <v>9817</v>
      </c>
      <c r="D280" s="301" t="s">
        <v>9818</v>
      </c>
      <c r="E280" s="302" t="s">
        <v>10977</v>
      </c>
      <c r="F280" s="278" t="s">
        <v>4109</v>
      </c>
      <c r="G280" s="278" t="s">
        <v>4108</v>
      </c>
      <c r="H280" s="303" t="s">
        <v>10931</v>
      </c>
      <c r="I280" s="301" t="s">
        <v>10932</v>
      </c>
      <c r="J280" s="303" t="s">
        <v>10915</v>
      </c>
    </row>
    <row r="281" spans="1:10" ht="14.5" customHeight="1" x14ac:dyDescent="0.25">
      <c r="A281" s="278" t="s">
        <v>9631</v>
      </c>
      <c r="B281" s="278" t="s">
        <v>10904</v>
      </c>
      <c r="C281" s="111" t="s">
        <v>9817</v>
      </c>
      <c r="D281" s="301" t="s">
        <v>9818</v>
      </c>
      <c r="E281" s="302" t="s">
        <v>10977</v>
      </c>
      <c r="F281" s="278" t="s">
        <v>4109</v>
      </c>
      <c r="G281" s="278" t="s">
        <v>4108</v>
      </c>
      <c r="H281" s="303" t="s">
        <v>11072</v>
      </c>
      <c r="I281" s="301" t="s">
        <v>11073</v>
      </c>
      <c r="J281" s="303" t="s">
        <v>10969</v>
      </c>
    </row>
    <row r="282" spans="1:10" ht="14.5" customHeight="1" x14ac:dyDescent="0.25">
      <c r="A282" s="278" t="s">
        <v>9631</v>
      </c>
      <c r="B282" s="278" t="s">
        <v>10904</v>
      </c>
      <c r="C282" s="111" t="s">
        <v>9817</v>
      </c>
      <c r="D282" s="301" t="s">
        <v>9818</v>
      </c>
      <c r="E282" s="302" t="s">
        <v>10977</v>
      </c>
      <c r="F282" s="278" t="s">
        <v>4109</v>
      </c>
      <c r="G282" s="278" t="s">
        <v>4108</v>
      </c>
      <c r="H282" s="303" t="s">
        <v>10933</v>
      </c>
      <c r="I282" s="301" t="s">
        <v>10934</v>
      </c>
      <c r="J282" s="303" t="s">
        <v>10915</v>
      </c>
    </row>
    <row r="283" spans="1:10" ht="14.5" customHeight="1" x14ac:dyDescent="0.25">
      <c r="A283" s="278" t="s">
        <v>9631</v>
      </c>
      <c r="B283" s="278" t="s">
        <v>10904</v>
      </c>
      <c r="C283" s="111" t="s">
        <v>9817</v>
      </c>
      <c r="D283" s="301" t="s">
        <v>9818</v>
      </c>
      <c r="E283" s="302" t="s">
        <v>10977</v>
      </c>
      <c r="F283" s="278" t="s">
        <v>4109</v>
      </c>
      <c r="G283" s="278" t="s">
        <v>4108</v>
      </c>
      <c r="H283" s="303" t="s">
        <v>11074</v>
      </c>
      <c r="I283" s="301" t="s">
        <v>11075</v>
      </c>
      <c r="J283" s="303" t="s">
        <v>10969</v>
      </c>
    </row>
    <row r="284" spans="1:10" ht="14.5" customHeight="1" x14ac:dyDescent="0.25">
      <c r="A284" s="278" t="s">
        <v>9631</v>
      </c>
      <c r="B284" s="278" t="s">
        <v>10904</v>
      </c>
      <c r="C284" s="111" t="s">
        <v>9817</v>
      </c>
      <c r="D284" s="301" t="s">
        <v>9818</v>
      </c>
      <c r="E284" s="302" t="s">
        <v>10977</v>
      </c>
      <c r="F284" s="278" t="s">
        <v>4109</v>
      </c>
      <c r="G284" s="278" t="s">
        <v>4108</v>
      </c>
      <c r="H284" s="303" t="s">
        <v>10935</v>
      </c>
      <c r="I284" s="301" t="s">
        <v>11076</v>
      </c>
      <c r="J284" s="303" t="s">
        <v>10915</v>
      </c>
    </row>
    <row r="285" spans="1:10" ht="14.5" customHeight="1" x14ac:dyDescent="0.25">
      <c r="A285" s="278" t="s">
        <v>9631</v>
      </c>
      <c r="B285" s="278" t="s">
        <v>10904</v>
      </c>
      <c r="C285" s="111" t="s">
        <v>9817</v>
      </c>
      <c r="D285" s="301" t="s">
        <v>9818</v>
      </c>
      <c r="E285" s="302" t="s">
        <v>10977</v>
      </c>
      <c r="F285" s="278" t="s">
        <v>4109</v>
      </c>
      <c r="G285" s="278" t="s">
        <v>4108</v>
      </c>
      <c r="H285" s="303" t="s">
        <v>10937</v>
      </c>
      <c r="I285" s="301" t="s">
        <v>10938</v>
      </c>
      <c r="J285" s="303" t="s">
        <v>10915</v>
      </c>
    </row>
    <row r="286" spans="1:10" ht="14.5" customHeight="1" x14ac:dyDescent="0.25">
      <c r="A286" s="278" t="s">
        <v>9631</v>
      </c>
      <c r="B286" s="278" t="s">
        <v>10904</v>
      </c>
      <c r="C286" s="111" t="s">
        <v>9817</v>
      </c>
      <c r="D286" s="301" t="s">
        <v>9818</v>
      </c>
      <c r="E286" s="302" t="s">
        <v>10977</v>
      </c>
      <c r="F286" s="278" t="s">
        <v>4109</v>
      </c>
      <c r="G286" s="278" t="s">
        <v>4108</v>
      </c>
      <c r="H286" s="303" t="s">
        <v>10939</v>
      </c>
      <c r="I286" s="301" t="s">
        <v>11077</v>
      </c>
      <c r="J286" s="303" t="s">
        <v>10915</v>
      </c>
    </row>
    <row r="287" spans="1:10" ht="14.5" customHeight="1" x14ac:dyDescent="0.25">
      <c r="A287" s="278" t="s">
        <v>9631</v>
      </c>
      <c r="B287" s="278" t="s">
        <v>10904</v>
      </c>
      <c r="C287" s="111" t="s">
        <v>9817</v>
      </c>
      <c r="D287" s="301" t="s">
        <v>9818</v>
      </c>
      <c r="E287" s="302" t="s">
        <v>10977</v>
      </c>
      <c r="F287" s="278" t="s">
        <v>4109</v>
      </c>
      <c r="G287" s="278" t="s">
        <v>4108</v>
      </c>
      <c r="H287" s="303" t="s">
        <v>10941</v>
      </c>
      <c r="I287" s="301" t="s">
        <v>11078</v>
      </c>
      <c r="J287" s="303" t="s">
        <v>10915</v>
      </c>
    </row>
    <row r="288" spans="1:10" ht="14.5" customHeight="1" x14ac:dyDescent="0.25">
      <c r="A288" s="278" t="s">
        <v>9631</v>
      </c>
      <c r="B288" s="278" t="s">
        <v>10904</v>
      </c>
      <c r="C288" s="111" t="s">
        <v>9817</v>
      </c>
      <c r="D288" s="301" t="s">
        <v>9818</v>
      </c>
      <c r="E288" s="302" t="s">
        <v>10977</v>
      </c>
      <c r="F288" s="278" t="s">
        <v>4109</v>
      </c>
      <c r="G288" s="278" t="s">
        <v>4108</v>
      </c>
      <c r="H288" s="303" t="s">
        <v>10943</v>
      </c>
      <c r="I288" s="301" t="s">
        <v>11079</v>
      </c>
      <c r="J288" s="303" t="s">
        <v>10915</v>
      </c>
    </row>
    <row r="289" spans="1:10" ht="14.5" customHeight="1" x14ac:dyDescent="0.25">
      <c r="A289" s="278" t="s">
        <v>9631</v>
      </c>
      <c r="B289" s="278" t="s">
        <v>10904</v>
      </c>
      <c r="C289" s="111" t="s">
        <v>9817</v>
      </c>
      <c r="D289" s="301" t="s">
        <v>9818</v>
      </c>
      <c r="E289" s="302" t="s">
        <v>10977</v>
      </c>
      <c r="F289" s="278" t="s">
        <v>4109</v>
      </c>
      <c r="G289" s="278" t="s">
        <v>4108</v>
      </c>
      <c r="H289" s="303" t="s">
        <v>10945</v>
      </c>
      <c r="I289" s="301" t="s">
        <v>11080</v>
      </c>
      <c r="J289" s="303" t="s">
        <v>10915</v>
      </c>
    </row>
    <row r="290" spans="1:10" ht="14.5" customHeight="1" x14ac:dyDescent="0.25">
      <c r="A290" s="278" t="s">
        <v>9631</v>
      </c>
      <c r="B290" s="278" t="s">
        <v>10904</v>
      </c>
      <c r="C290" s="111" t="s">
        <v>9817</v>
      </c>
      <c r="D290" s="301" t="s">
        <v>9818</v>
      </c>
      <c r="E290" s="302" t="s">
        <v>10977</v>
      </c>
      <c r="F290" s="278" t="s">
        <v>4109</v>
      </c>
      <c r="G290" s="278" t="s">
        <v>4108</v>
      </c>
      <c r="H290" s="303" t="s">
        <v>11081</v>
      </c>
      <c r="I290" s="301" t="s">
        <v>11082</v>
      </c>
      <c r="J290" s="303" t="s">
        <v>10969</v>
      </c>
    </row>
    <row r="291" spans="1:10" ht="14.5" customHeight="1" x14ac:dyDescent="0.25">
      <c r="A291" s="278" t="s">
        <v>9631</v>
      </c>
      <c r="B291" s="278" t="s">
        <v>10904</v>
      </c>
      <c r="C291" s="111" t="s">
        <v>9817</v>
      </c>
      <c r="D291" s="301" t="s">
        <v>9818</v>
      </c>
      <c r="E291" s="302" t="s">
        <v>10977</v>
      </c>
      <c r="F291" s="278" t="s">
        <v>4109</v>
      </c>
      <c r="G291" s="278" t="s">
        <v>4108</v>
      </c>
      <c r="H291" s="303" t="s">
        <v>10947</v>
      </c>
      <c r="I291" s="301" t="s">
        <v>10948</v>
      </c>
      <c r="J291" s="303" t="s">
        <v>10915</v>
      </c>
    </row>
    <row r="292" spans="1:10" ht="14.5" customHeight="1" x14ac:dyDescent="0.25">
      <c r="A292" s="278" t="s">
        <v>9631</v>
      </c>
      <c r="B292" s="278" t="s">
        <v>10904</v>
      </c>
      <c r="C292" s="111" t="s">
        <v>9817</v>
      </c>
      <c r="D292" s="301" t="s">
        <v>9818</v>
      </c>
      <c r="E292" s="302" t="s">
        <v>10977</v>
      </c>
      <c r="F292" s="278" t="s">
        <v>4109</v>
      </c>
      <c r="G292" s="278" t="s">
        <v>4108</v>
      </c>
      <c r="H292" s="303" t="s">
        <v>10949</v>
      </c>
      <c r="I292" s="301" t="s">
        <v>10950</v>
      </c>
      <c r="J292" s="303" t="s">
        <v>10915</v>
      </c>
    </row>
    <row r="293" spans="1:10" ht="14.5" customHeight="1" x14ac:dyDescent="0.25">
      <c r="A293" s="278" t="s">
        <v>9631</v>
      </c>
      <c r="B293" s="278" t="s">
        <v>10904</v>
      </c>
      <c r="C293" s="111" t="s">
        <v>9817</v>
      </c>
      <c r="D293" s="301" t="s">
        <v>9818</v>
      </c>
      <c r="E293" s="302" t="s">
        <v>10977</v>
      </c>
      <c r="F293" s="278" t="s">
        <v>4109</v>
      </c>
      <c r="G293" s="278" t="s">
        <v>4108</v>
      </c>
      <c r="H293" s="303" t="s">
        <v>10951</v>
      </c>
      <c r="I293" s="301" t="s">
        <v>9642</v>
      </c>
      <c r="J293" s="303" t="s">
        <v>10915</v>
      </c>
    </row>
    <row r="294" spans="1:10" ht="14.5" customHeight="1" x14ac:dyDescent="0.25">
      <c r="A294" s="278" t="s">
        <v>9631</v>
      </c>
      <c r="B294" s="278" t="s">
        <v>10904</v>
      </c>
      <c r="C294" s="111" t="s">
        <v>9817</v>
      </c>
      <c r="D294" s="301" t="s">
        <v>9818</v>
      </c>
      <c r="E294" s="302" t="s">
        <v>10977</v>
      </c>
      <c r="F294" s="278" t="s">
        <v>4109</v>
      </c>
      <c r="G294" s="278" t="s">
        <v>4108</v>
      </c>
      <c r="H294" s="303" t="s">
        <v>11083</v>
      </c>
      <c r="I294" s="301" t="s">
        <v>11084</v>
      </c>
      <c r="J294" s="303" t="s">
        <v>10969</v>
      </c>
    </row>
    <row r="295" spans="1:10" ht="14.5" customHeight="1" x14ac:dyDescent="0.25">
      <c r="A295" s="278" t="s">
        <v>9631</v>
      </c>
      <c r="B295" s="278" t="s">
        <v>10904</v>
      </c>
      <c r="C295" s="111" t="s">
        <v>9817</v>
      </c>
      <c r="D295" s="301" t="s">
        <v>9818</v>
      </c>
      <c r="E295" s="302" t="s">
        <v>10977</v>
      </c>
      <c r="F295" s="278" t="s">
        <v>4109</v>
      </c>
      <c r="G295" s="278" t="s">
        <v>4108</v>
      </c>
      <c r="H295" s="303" t="s">
        <v>10952</v>
      </c>
      <c r="I295" s="301" t="s">
        <v>9644</v>
      </c>
      <c r="J295" s="303" t="s">
        <v>10915</v>
      </c>
    </row>
    <row r="296" spans="1:10" ht="14.5" customHeight="1" x14ac:dyDescent="0.25">
      <c r="A296" s="278" t="s">
        <v>9631</v>
      </c>
      <c r="B296" s="278" t="s">
        <v>10904</v>
      </c>
      <c r="C296" s="111" t="s">
        <v>9817</v>
      </c>
      <c r="D296" s="301" t="s">
        <v>9818</v>
      </c>
      <c r="E296" s="302" t="s">
        <v>10977</v>
      </c>
      <c r="F296" s="278" t="s">
        <v>4109</v>
      </c>
      <c r="G296" s="278" t="s">
        <v>4108</v>
      </c>
      <c r="H296" s="303" t="s">
        <v>11085</v>
      </c>
      <c r="I296" s="301" t="s">
        <v>11086</v>
      </c>
      <c r="J296" s="303" t="s">
        <v>10969</v>
      </c>
    </row>
    <row r="297" spans="1:10" ht="14.5" customHeight="1" x14ac:dyDescent="0.25">
      <c r="A297" s="278" t="s">
        <v>9631</v>
      </c>
      <c r="B297" s="278" t="s">
        <v>10904</v>
      </c>
      <c r="C297" s="111" t="s">
        <v>9819</v>
      </c>
      <c r="D297" s="301" t="s">
        <v>9820</v>
      </c>
      <c r="E297" s="302" t="s">
        <v>10977</v>
      </c>
      <c r="F297" s="278" t="s">
        <v>4109</v>
      </c>
      <c r="G297" s="278" t="s">
        <v>4108</v>
      </c>
      <c r="H297" s="303" t="s">
        <v>11087</v>
      </c>
      <c r="I297" s="301" t="s">
        <v>11088</v>
      </c>
      <c r="J297" s="303" t="s">
        <v>10969</v>
      </c>
    </row>
    <row r="298" spans="1:10" ht="14.5" customHeight="1" x14ac:dyDescent="0.25">
      <c r="A298" s="278" t="s">
        <v>9631</v>
      </c>
      <c r="B298" s="278" t="s">
        <v>10904</v>
      </c>
      <c r="C298" s="111" t="s">
        <v>9819</v>
      </c>
      <c r="D298" s="301" t="s">
        <v>9820</v>
      </c>
      <c r="E298" s="302" t="s">
        <v>10977</v>
      </c>
      <c r="F298" s="278" t="s">
        <v>4109</v>
      </c>
      <c r="G298" s="278" t="s">
        <v>4108</v>
      </c>
      <c r="H298" s="303" t="s">
        <v>11089</v>
      </c>
      <c r="I298" s="301" t="s">
        <v>11090</v>
      </c>
      <c r="J298" s="303" t="s">
        <v>10972</v>
      </c>
    </row>
    <row r="299" spans="1:10" ht="14.5" customHeight="1" x14ac:dyDescent="0.25">
      <c r="A299" s="278" t="s">
        <v>9631</v>
      </c>
      <c r="B299" s="278" t="s">
        <v>10904</v>
      </c>
      <c r="C299" s="111" t="s">
        <v>9821</v>
      </c>
      <c r="D299" s="301" t="s">
        <v>9822</v>
      </c>
      <c r="E299" s="302" t="s">
        <v>10973</v>
      </c>
      <c r="F299" s="278" t="s">
        <v>4109</v>
      </c>
      <c r="G299" s="278" t="s">
        <v>4108</v>
      </c>
      <c r="H299" s="303" t="s">
        <v>10951</v>
      </c>
      <c r="I299" s="301" t="s">
        <v>9642</v>
      </c>
      <c r="J299" s="303" t="s">
        <v>10915</v>
      </c>
    </row>
    <row r="300" spans="1:10" ht="14.5" customHeight="1" x14ac:dyDescent="0.25">
      <c r="A300" s="278" t="s">
        <v>9631</v>
      </c>
      <c r="B300" s="278" t="s">
        <v>10904</v>
      </c>
      <c r="C300" s="111" t="s">
        <v>9821</v>
      </c>
      <c r="D300" s="301" t="s">
        <v>9822</v>
      </c>
      <c r="E300" s="302" t="s">
        <v>10973</v>
      </c>
      <c r="F300" s="278" t="s">
        <v>4109</v>
      </c>
      <c r="G300" s="278" t="s">
        <v>4108</v>
      </c>
      <c r="H300" s="303" t="s">
        <v>11083</v>
      </c>
      <c r="I300" s="301" t="s">
        <v>11084</v>
      </c>
      <c r="J300" s="303" t="s">
        <v>10969</v>
      </c>
    </row>
    <row r="301" spans="1:10" ht="14.5" customHeight="1" x14ac:dyDescent="0.25">
      <c r="A301" s="278" t="s">
        <v>9631</v>
      </c>
      <c r="B301" s="278" t="s">
        <v>10904</v>
      </c>
      <c r="C301" s="111" t="s">
        <v>9823</v>
      </c>
      <c r="D301" s="301" t="s">
        <v>9824</v>
      </c>
      <c r="E301" s="302" t="s">
        <v>10973</v>
      </c>
      <c r="F301" s="278" t="s">
        <v>4109</v>
      </c>
      <c r="G301" s="278" t="s">
        <v>4108</v>
      </c>
      <c r="H301" s="303" t="s">
        <v>10951</v>
      </c>
      <c r="I301" s="301" t="s">
        <v>9642</v>
      </c>
      <c r="J301" s="303" t="s">
        <v>10915</v>
      </c>
    </row>
    <row r="302" spans="1:10" ht="14.5" customHeight="1" x14ac:dyDescent="0.25">
      <c r="A302" s="278" t="s">
        <v>9631</v>
      </c>
      <c r="B302" s="278" t="s">
        <v>10904</v>
      </c>
      <c r="C302" s="111" t="s">
        <v>9823</v>
      </c>
      <c r="D302" s="301" t="s">
        <v>9824</v>
      </c>
      <c r="E302" s="302" t="s">
        <v>10973</v>
      </c>
      <c r="F302" s="278" t="s">
        <v>4109</v>
      </c>
      <c r="G302" s="278" t="s">
        <v>4108</v>
      </c>
      <c r="H302" s="303" t="s">
        <v>11083</v>
      </c>
      <c r="I302" s="301" t="s">
        <v>11084</v>
      </c>
      <c r="J302" s="303" t="s">
        <v>10969</v>
      </c>
    </row>
    <row r="303" spans="1:10" ht="14.5" customHeight="1" x14ac:dyDescent="0.25">
      <c r="A303" s="278" t="s">
        <v>9631</v>
      </c>
      <c r="B303" s="278" t="s">
        <v>10904</v>
      </c>
      <c r="C303" s="111" t="s">
        <v>9825</v>
      </c>
      <c r="D303" s="301" t="s">
        <v>9826</v>
      </c>
      <c r="E303" s="302" t="s">
        <v>10977</v>
      </c>
      <c r="F303" s="278" t="s">
        <v>4109</v>
      </c>
      <c r="G303" s="278" t="s">
        <v>4108</v>
      </c>
      <c r="H303" s="303" t="s">
        <v>10951</v>
      </c>
      <c r="I303" s="184" t="s">
        <v>9642</v>
      </c>
      <c r="J303" s="303" t="s">
        <v>10915</v>
      </c>
    </row>
    <row r="304" spans="1:10" ht="14.5" customHeight="1" x14ac:dyDescent="0.25">
      <c r="A304" s="278" t="s">
        <v>9631</v>
      </c>
      <c r="B304" s="278" t="s">
        <v>10904</v>
      </c>
      <c r="C304" s="111" t="s">
        <v>9825</v>
      </c>
      <c r="D304" s="301" t="s">
        <v>9826</v>
      </c>
      <c r="E304" s="302" t="s">
        <v>10977</v>
      </c>
      <c r="F304" s="278" t="s">
        <v>4109</v>
      </c>
      <c r="G304" s="278" t="s">
        <v>4108</v>
      </c>
      <c r="H304" s="303" t="s">
        <v>11083</v>
      </c>
      <c r="I304" s="184" t="s">
        <v>11084</v>
      </c>
      <c r="J304" s="303" t="s">
        <v>10969</v>
      </c>
    </row>
    <row r="305" spans="1:10" ht="14.5" customHeight="1" x14ac:dyDescent="0.25">
      <c r="A305" s="278" t="s">
        <v>9631</v>
      </c>
      <c r="B305" s="278" t="s">
        <v>10904</v>
      </c>
      <c r="C305" s="111" t="s">
        <v>9825</v>
      </c>
      <c r="D305" s="301" t="s">
        <v>9826</v>
      </c>
      <c r="E305" s="302" t="s">
        <v>10977</v>
      </c>
      <c r="F305" s="278" t="s">
        <v>4109</v>
      </c>
      <c r="G305" s="278" t="s">
        <v>4108</v>
      </c>
      <c r="H305" s="303" t="s">
        <v>11091</v>
      </c>
      <c r="I305" s="184" t="s">
        <v>11092</v>
      </c>
      <c r="J305" s="303" t="s">
        <v>10972</v>
      </c>
    </row>
    <row r="306" spans="1:10" ht="14.5" customHeight="1" x14ac:dyDescent="0.25">
      <c r="A306" s="278" t="s">
        <v>9631</v>
      </c>
      <c r="B306" s="278" t="s">
        <v>10904</v>
      </c>
      <c r="C306" s="111" t="s">
        <v>9827</v>
      </c>
      <c r="D306" s="301" t="s">
        <v>9828</v>
      </c>
      <c r="E306" s="302" t="s">
        <v>10973</v>
      </c>
      <c r="F306" s="278" t="s">
        <v>4109</v>
      </c>
      <c r="G306" s="278" t="s">
        <v>4108</v>
      </c>
      <c r="H306" s="303" t="s">
        <v>10952</v>
      </c>
      <c r="I306" s="184" t="s">
        <v>9644</v>
      </c>
      <c r="J306" s="303" t="s">
        <v>10915</v>
      </c>
    </row>
    <row r="307" spans="1:10" ht="14.5" customHeight="1" x14ac:dyDescent="0.25">
      <c r="A307" s="278" t="s">
        <v>9631</v>
      </c>
      <c r="B307" s="278" t="s">
        <v>10904</v>
      </c>
      <c r="C307" s="111" t="s">
        <v>9827</v>
      </c>
      <c r="D307" s="301" t="s">
        <v>9828</v>
      </c>
      <c r="E307" s="302" t="s">
        <v>10973</v>
      </c>
      <c r="F307" s="278" t="s">
        <v>4109</v>
      </c>
      <c r="G307" s="278" t="s">
        <v>4108</v>
      </c>
      <c r="H307" s="303" t="s">
        <v>11085</v>
      </c>
      <c r="I307" s="184" t="s">
        <v>11086</v>
      </c>
      <c r="J307" s="303" t="s">
        <v>10969</v>
      </c>
    </row>
    <row r="308" spans="1:10" ht="14.5" customHeight="1" x14ac:dyDescent="0.25">
      <c r="A308" s="278" t="s">
        <v>9631</v>
      </c>
      <c r="B308" s="278" t="s">
        <v>10904</v>
      </c>
      <c r="C308" s="111" t="s">
        <v>9829</v>
      </c>
      <c r="D308" s="301" t="s">
        <v>9830</v>
      </c>
      <c r="E308" s="302" t="s">
        <v>10973</v>
      </c>
      <c r="F308" s="278" t="s">
        <v>4109</v>
      </c>
      <c r="G308" s="278" t="s">
        <v>4108</v>
      </c>
      <c r="H308" s="303" t="s">
        <v>10952</v>
      </c>
      <c r="I308" s="184" t="s">
        <v>9644</v>
      </c>
      <c r="J308" s="303" t="s">
        <v>10915</v>
      </c>
    </row>
    <row r="309" spans="1:10" ht="14.5" customHeight="1" x14ac:dyDescent="0.25">
      <c r="A309" s="278" t="s">
        <v>9631</v>
      </c>
      <c r="B309" s="278" t="s">
        <v>10904</v>
      </c>
      <c r="C309" s="111" t="s">
        <v>9829</v>
      </c>
      <c r="D309" s="301" t="s">
        <v>9830</v>
      </c>
      <c r="E309" s="302" t="s">
        <v>10973</v>
      </c>
      <c r="F309" s="278" t="s">
        <v>4109</v>
      </c>
      <c r="G309" s="278" t="s">
        <v>4108</v>
      </c>
      <c r="H309" s="303" t="s">
        <v>11085</v>
      </c>
      <c r="I309" s="184" t="s">
        <v>11086</v>
      </c>
      <c r="J309" s="303" t="s">
        <v>10969</v>
      </c>
    </row>
    <row r="310" spans="1:10" ht="14.5" customHeight="1" x14ac:dyDescent="0.25">
      <c r="A310" s="278" t="s">
        <v>9631</v>
      </c>
      <c r="B310" s="278" t="s">
        <v>10904</v>
      </c>
      <c r="C310" s="111" t="s">
        <v>9831</v>
      </c>
      <c r="D310" s="301" t="s">
        <v>9832</v>
      </c>
      <c r="E310" s="302" t="s">
        <v>10977</v>
      </c>
      <c r="F310" s="278" t="s">
        <v>4109</v>
      </c>
      <c r="G310" s="278" t="s">
        <v>4108</v>
      </c>
      <c r="H310" s="303" t="s">
        <v>10952</v>
      </c>
      <c r="I310" s="301" t="s">
        <v>9644</v>
      </c>
      <c r="J310" s="303" t="s">
        <v>10915</v>
      </c>
    </row>
    <row r="311" spans="1:10" ht="14.5" customHeight="1" x14ac:dyDescent="0.25">
      <c r="A311" s="278" t="s">
        <v>9631</v>
      </c>
      <c r="B311" s="278" t="s">
        <v>10904</v>
      </c>
      <c r="C311" s="111" t="s">
        <v>9831</v>
      </c>
      <c r="D311" s="301" t="s">
        <v>9832</v>
      </c>
      <c r="E311" s="302" t="s">
        <v>10977</v>
      </c>
      <c r="F311" s="278" t="s">
        <v>4109</v>
      </c>
      <c r="G311" s="278" t="s">
        <v>4108</v>
      </c>
      <c r="H311" s="303" t="s">
        <v>11085</v>
      </c>
      <c r="I311" s="301" t="s">
        <v>11086</v>
      </c>
      <c r="J311" s="303" t="s">
        <v>10969</v>
      </c>
    </row>
    <row r="312" spans="1:10" ht="14.5" customHeight="1" x14ac:dyDescent="0.25">
      <c r="A312" s="278" t="s">
        <v>9631</v>
      </c>
      <c r="B312" s="278" t="s">
        <v>10904</v>
      </c>
      <c r="C312" s="111" t="s">
        <v>9831</v>
      </c>
      <c r="D312" s="301" t="s">
        <v>9832</v>
      </c>
      <c r="E312" s="302" t="s">
        <v>10977</v>
      </c>
      <c r="F312" s="278" t="s">
        <v>4109</v>
      </c>
      <c r="G312" s="278" t="s">
        <v>4108</v>
      </c>
      <c r="H312" s="303" t="s">
        <v>11093</v>
      </c>
      <c r="I312" s="301" t="s">
        <v>11094</v>
      </c>
      <c r="J312" s="303" t="s">
        <v>10972</v>
      </c>
    </row>
    <row r="313" spans="1:10" ht="14.5" customHeight="1" x14ac:dyDescent="0.25">
      <c r="A313" s="278" t="s">
        <v>9631</v>
      </c>
      <c r="B313" s="278" t="s">
        <v>10904</v>
      </c>
      <c r="C313" s="111" t="s">
        <v>9833</v>
      </c>
      <c r="D313" s="301" t="s">
        <v>9834</v>
      </c>
      <c r="E313" s="302" t="s">
        <v>10977</v>
      </c>
      <c r="F313" s="278" t="s">
        <v>4109</v>
      </c>
      <c r="G313" s="278" t="s">
        <v>4108</v>
      </c>
      <c r="H313" s="303" t="s">
        <v>10953</v>
      </c>
      <c r="I313" s="301" t="s">
        <v>10954</v>
      </c>
      <c r="J313" s="303" t="s">
        <v>10915</v>
      </c>
    </row>
    <row r="314" spans="1:10" ht="14.5" customHeight="1" x14ac:dyDescent="0.25">
      <c r="A314" s="278" t="s">
        <v>9631</v>
      </c>
      <c r="B314" s="278" t="s">
        <v>10904</v>
      </c>
      <c r="C314" s="111" t="s">
        <v>9833</v>
      </c>
      <c r="D314" s="301" t="s">
        <v>9834</v>
      </c>
      <c r="E314" s="302" t="s">
        <v>10977</v>
      </c>
      <c r="F314" s="278" t="s">
        <v>4109</v>
      </c>
      <c r="G314" s="278" t="s">
        <v>4108</v>
      </c>
      <c r="H314" s="303" t="s">
        <v>11095</v>
      </c>
      <c r="I314" s="301" t="s">
        <v>11096</v>
      </c>
      <c r="J314" s="303" t="s">
        <v>10969</v>
      </c>
    </row>
    <row r="315" spans="1:10" ht="14.5" customHeight="1" x14ac:dyDescent="0.25">
      <c r="A315" s="278" t="s">
        <v>9631</v>
      </c>
      <c r="B315" s="278" t="s">
        <v>10904</v>
      </c>
      <c r="C315" s="111" t="s">
        <v>9833</v>
      </c>
      <c r="D315" s="301" t="s">
        <v>9834</v>
      </c>
      <c r="E315" s="302" t="s">
        <v>10977</v>
      </c>
      <c r="F315" s="278" t="s">
        <v>4109</v>
      </c>
      <c r="G315" s="278" t="s">
        <v>4108</v>
      </c>
      <c r="H315" s="303" t="s">
        <v>11097</v>
      </c>
      <c r="I315" s="301" t="s">
        <v>11098</v>
      </c>
      <c r="J315" s="303" t="s">
        <v>10972</v>
      </c>
    </row>
    <row r="316" spans="1:10" s="184" customFormat="1" ht="14.5" customHeight="1" x14ac:dyDescent="0.25">
      <c r="A316" s="278" t="s">
        <v>9631</v>
      </c>
      <c r="B316" s="278" t="s">
        <v>10904</v>
      </c>
      <c r="C316" s="111" t="s">
        <v>9835</v>
      </c>
      <c r="D316" s="301" t="s">
        <v>9836</v>
      </c>
      <c r="E316" s="302" t="s">
        <v>10977</v>
      </c>
      <c r="F316" s="278" t="s">
        <v>4109</v>
      </c>
      <c r="G316" s="278" t="s">
        <v>4108</v>
      </c>
      <c r="H316" s="303" t="s">
        <v>11099</v>
      </c>
      <c r="I316" s="301" t="s">
        <v>11100</v>
      </c>
      <c r="J316" s="303" t="s">
        <v>10969</v>
      </c>
    </row>
    <row r="317" spans="1:10" s="184" customFormat="1" ht="14.5" customHeight="1" x14ac:dyDescent="0.25">
      <c r="A317" s="278" t="s">
        <v>9631</v>
      </c>
      <c r="B317" s="278" t="s">
        <v>10904</v>
      </c>
      <c r="C317" s="111" t="s">
        <v>9835</v>
      </c>
      <c r="D317" s="301" t="s">
        <v>9836</v>
      </c>
      <c r="E317" s="302" t="s">
        <v>10977</v>
      </c>
      <c r="F317" s="278" t="s">
        <v>4109</v>
      </c>
      <c r="G317" s="278" t="s">
        <v>4108</v>
      </c>
      <c r="H317" s="303" t="s">
        <v>10955</v>
      </c>
      <c r="I317" s="301" t="s">
        <v>10956</v>
      </c>
      <c r="J317" s="303" t="s">
        <v>10915</v>
      </c>
    </row>
    <row r="318" spans="1:10" s="184" customFormat="1" ht="14.5" customHeight="1" x14ac:dyDescent="0.25">
      <c r="A318" s="278" t="s">
        <v>9631</v>
      </c>
      <c r="B318" s="278" t="s">
        <v>10904</v>
      </c>
      <c r="C318" s="111" t="s">
        <v>9835</v>
      </c>
      <c r="D318" s="301" t="s">
        <v>9836</v>
      </c>
      <c r="E318" s="302" t="s">
        <v>10977</v>
      </c>
      <c r="F318" s="278" t="s">
        <v>4109</v>
      </c>
      <c r="G318" s="278" t="s">
        <v>4108</v>
      </c>
      <c r="H318" s="303" t="s">
        <v>11101</v>
      </c>
      <c r="I318" s="301" t="s">
        <v>11102</v>
      </c>
      <c r="J318" s="303" t="s">
        <v>10972</v>
      </c>
    </row>
    <row r="319" spans="1:10" s="184" customFormat="1" ht="14.5" customHeight="1" x14ac:dyDescent="0.25">
      <c r="A319" s="278" t="s">
        <v>9631</v>
      </c>
      <c r="B319" s="278" t="s">
        <v>10904</v>
      </c>
      <c r="C319" s="111" t="s">
        <v>9837</v>
      </c>
      <c r="D319" s="301" t="s">
        <v>9838</v>
      </c>
      <c r="E319" s="302" t="s">
        <v>10977</v>
      </c>
      <c r="F319" s="278" t="s">
        <v>4109</v>
      </c>
      <c r="G319" s="278" t="s">
        <v>4108</v>
      </c>
      <c r="H319" s="303" t="s">
        <v>11103</v>
      </c>
      <c r="I319" s="301" t="s">
        <v>11104</v>
      </c>
      <c r="J319" s="303" t="s">
        <v>10969</v>
      </c>
    </row>
    <row r="320" spans="1:10" s="184" customFormat="1" ht="14.5" customHeight="1" x14ac:dyDescent="0.25">
      <c r="A320" s="278" t="s">
        <v>9631</v>
      </c>
      <c r="B320" s="278" t="s">
        <v>10904</v>
      </c>
      <c r="C320" s="111" t="s">
        <v>9839</v>
      </c>
      <c r="D320" s="301" t="s">
        <v>9840</v>
      </c>
      <c r="E320" s="302" t="s">
        <v>10977</v>
      </c>
      <c r="F320" s="278" t="s">
        <v>4109</v>
      </c>
      <c r="G320" s="278" t="s">
        <v>4108</v>
      </c>
      <c r="H320" s="303"/>
      <c r="I320" s="301" t="s">
        <v>11105</v>
      </c>
      <c r="J320" s="303"/>
    </row>
    <row r="321" spans="1:10" s="184" customFormat="1" ht="14.5" customHeight="1" x14ac:dyDescent="0.25">
      <c r="A321" s="278" t="s">
        <v>9631</v>
      </c>
      <c r="B321" s="278" t="s">
        <v>10904</v>
      </c>
      <c r="C321" s="111" t="s">
        <v>9841</v>
      </c>
      <c r="D321" s="301" t="s">
        <v>9842</v>
      </c>
      <c r="E321" s="302" t="s">
        <v>10977</v>
      </c>
      <c r="F321" s="278" t="s">
        <v>4109</v>
      </c>
      <c r="G321" s="278" t="s">
        <v>4108</v>
      </c>
      <c r="H321" s="303" t="s">
        <v>10991</v>
      </c>
      <c r="I321" s="301" t="s">
        <v>10992</v>
      </c>
      <c r="J321" s="303" t="s">
        <v>10969</v>
      </c>
    </row>
    <row r="322" spans="1:10" s="184" customFormat="1" ht="14.5" customHeight="1" x14ac:dyDescent="0.25">
      <c r="A322" s="278" t="s">
        <v>9631</v>
      </c>
      <c r="B322" s="278" t="s">
        <v>10904</v>
      </c>
      <c r="C322" s="111" t="s">
        <v>9841</v>
      </c>
      <c r="D322" s="301" t="s">
        <v>9842</v>
      </c>
      <c r="E322" s="302" t="s">
        <v>10977</v>
      </c>
      <c r="F322" s="278" t="s">
        <v>4109</v>
      </c>
      <c r="G322" s="278" t="s">
        <v>4108</v>
      </c>
      <c r="H322" s="303" t="s">
        <v>11106</v>
      </c>
      <c r="I322" s="301" t="s">
        <v>11107</v>
      </c>
      <c r="J322" s="303" t="s">
        <v>10972</v>
      </c>
    </row>
    <row r="323" spans="1:10" s="184" customFormat="1" ht="14.5" customHeight="1" x14ac:dyDescent="0.25">
      <c r="A323" s="278" t="s">
        <v>9631</v>
      </c>
      <c r="B323" s="278" t="s">
        <v>10904</v>
      </c>
      <c r="C323" s="111" t="s">
        <v>9843</v>
      </c>
      <c r="D323" s="301" t="s">
        <v>9844</v>
      </c>
      <c r="E323" s="302" t="s">
        <v>10973</v>
      </c>
      <c r="F323" s="278" t="s">
        <v>4109</v>
      </c>
      <c r="G323" s="278" t="s">
        <v>4108</v>
      </c>
      <c r="H323" s="303" t="s">
        <v>10991</v>
      </c>
      <c r="I323" s="301" t="s">
        <v>10992</v>
      </c>
      <c r="J323" s="303" t="s">
        <v>10969</v>
      </c>
    </row>
    <row r="324" spans="1:10" s="184" customFormat="1" ht="14.5" customHeight="1" x14ac:dyDescent="0.25">
      <c r="A324" s="278" t="s">
        <v>9631</v>
      </c>
      <c r="B324" s="278" t="s">
        <v>10904</v>
      </c>
      <c r="C324" s="111" t="s">
        <v>9845</v>
      </c>
      <c r="D324" s="301" t="s">
        <v>9846</v>
      </c>
      <c r="E324" s="302" t="s">
        <v>10977</v>
      </c>
      <c r="F324" s="278" t="s">
        <v>4109</v>
      </c>
      <c r="G324" s="278" t="s">
        <v>4108</v>
      </c>
      <c r="H324" s="303" t="s">
        <v>10967</v>
      </c>
      <c r="I324" s="301" t="s">
        <v>10968</v>
      </c>
      <c r="J324" s="303" t="s">
        <v>10969</v>
      </c>
    </row>
    <row r="325" spans="1:10" s="184" customFormat="1" ht="14.5" customHeight="1" x14ac:dyDescent="0.25">
      <c r="A325" s="278" t="s">
        <v>9631</v>
      </c>
      <c r="B325" s="278" t="s">
        <v>10904</v>
      </c>
      <c r="C325" s="111" t="s">
        <v>9845</v>
      </c>
      <c r="D325" s="301" t="s">
        <v>9846</v>
      </c>
      <c r="E325" s="302" t="s">
        <v>10977</v>
      </c>
      <c r="F325" s="278" t="s">
        <v>4109</v>
      </c>
      <c r="G325" s="278" t="s">
        <v>4108</v>
      </c>
      <c r="H325" s="303" t="s">
        <v>10978</v>
      </c>
      <c r="I325" s="301" t="s">
        <v>10979</v>
      </c>
      <c r="J325" s="303" t="s">
        <v>10969</v>
      </c>
    </row>
    <row r="326" spans="1:10" s="184" customFormat="1" ht="14.5" customHeight="1" x14ac:dyDescent="0.25">
      <c r="A326" s="278" t="s">
        <v>9631</v>
      </c>
      <c r="B326" s="278" t="s">
        <v>10904</v>
      </c>
      <c r="C326" s="111" t="s">
        <v>9845</v>
      </c>
      <c r="D326" s="301" t="s">
        <v>9846</v>
      </c>
      <c r="E326" s="302" t="s">
        <v>10977</v>
      </c>
      <c r="F326" s="278" t="s">
        <v>4109</v>
      </c>
      <c r="G326" s="278" t="s">
        <v>4108</v>
      </c>
      <c r="H326" s="303" t="s">
        <v>10980</v>
      </c>
      <c r="I326" s="301" t="s">
        <v>10981</v>
      </c>
      <c r="J326" s="303" t="s">
        <v>10969</v>
      </c>
    </row>
    <row r="327" spans="1:10" s="184" customFormat="1" ht="14.5" customHeight="1" x14ac:dyDescent="0.25">
      <c r="A327" s="278" t="s">
        <v>9631</v>
      </c>
      <c r="B327" s="278" t="s">
        <v>10904</v>
      </c>
      <c r="C327" s="111" t="s">
        <v>9845</v>
      </c>
      <c r="D327" s="301" t="s">
        <v>9846</v>
      </c>
      <c r="E327" s="302" t="s">
        <v>10977</v>
      </c>
      <c r="F327" s="278" t="s">
        <v>4109</v>
      </c>
      <c r="G327" s="278" t="s">
        <v>4108</v>
      </c>
      <c r="H327" s="303" t="s">
        <v>10970</v>
      </c>
      <c r="I327" s="301" t="s">
        <v>10971</v>
      </c>
      <c r="J327" s="303" t="s">
        <v>10972</v>
      </c>
    </row>
    <row r="328" spans="1:10" s="184" customFormat="1" ht="14.5" customHeight="1" x14ac:dyDescent="0.25">
      <c r="A328" s="278" t="s">
        <v>9631</v>
      </c>
      <c r="B328" s="278" t="s">
        <v>10904</v>
      </c>
      <c r="C328" s="111" t="s">
        <v>9845</v>
      </c>
      <c r="D328" s="301" t="s">
        <v>9846</v>
      </c>
      <c r="E328" s="302" t="s">
        <v>10977</v>
      </c>
      <c r="F328" s="278" t="s">
        <v>4109</v>
      </c>
      <c r="G328" s="278" t="s">
        <v>4108</v>
      </c>
      <c r="H328" s="303" t="s">
        <v>10982</v>
      </c>
      <c r="I328" s="301" t="s">
        <v>10983</v>
      </c>
      <c r="J328" s="303" t="s">
        <v>10972</v>
      </c>
    </row>
    <row r="329" spans="1:10" s="184" customFormat="1" ht="14.5" customHeight="1" x14ac:dyDescent="0.25">
      <c r="A329" s="278" t="s">
        <v>9631</v>
      </c>
      <c r="B329" s="278" t="s">
        <v>10904</v>
      </c>
      <c r="C329" s="111" t="s">
        <v>9845</v>
      </c>
      <c r="D329" s="301" t="s">
        <v>9846</v>
      </c>
      <c r="E329" s="302" t="s">
        <v>10977</v>
      </c>
      <c r="F329" s="278" t="s">
        <v>4109</v>
      </c>
      <c r="G329" s="278" t="s">
        <v>4108</v>
      </c>
      <c r="H329" s="303" t="s">
        <v>10984</v>
      </c>
      <c r="I329" s="301" t="s">
        <v>10985</v>
      </c>
      <c r="J329" s="303" t="s">
        <v>10972</v>
      </c>
    </row>
    <row r="330" spans="1:10" s="184" customFormat="1" ht="14.5" customHeight="1" x14ac:dyDescent="0.25">
      <c r="A330" s="278" t="s">
        <v>9631</v>
      </c>
      <c r="B330" s="278" t="s">
        <v>10904</v>
      </c>
      <c r="C330" s="111" t="s">
        <v>9847</v>
      </c>
      <c r="D330" s="301" t="s">
        <v>9848</v>
      </c>
      <c r="E330" s="302" t="s">
        <v>10977</v>
      </c>
      <c r="F330" s="278" t="s">
        <v>4109</v>
      </c>
      <c r="G330" s="278" t="s">
        <v>4108</v>
      </c>
      <c r="H330" s="303" t="s">
        <v>10967</v>
      </c>
      <c r="I330" s="301" t="s">
        <v>10968</v>
      </c>
      <c r="J330" s="303" t="s">
        <v>10969</v>
      </c>
    </row>
    <row r="331" spans="1:10" s="184" customFormat="1" ht="14.5" customHeight="1" x14ac:dyDescent="0.25">
      <c r="A331" s="278" t="s">
        <v>9631</v>
      </c>
      <c r="B331" s="278" t="s">
        <v>10904</v>
      </c>
      <c r="C331" s="111" t="s">
        <v>9847</v>
      </c>
      <c r="D331" s="301" t="s">
        <v>9848</v>
      </c>
      <c r="E331" s="302" t="s">
        <v>10977</v>
      </c>
      <c r="F331" s="278" t="s">
        <v>4109</v>
      </c>
      <c r="G331" s="278" t="s">
        <v>4108</v>
      </c>
      <c r="H331" s="303" t="s">
        <v>10978</v>
      </c>
      <c r="I331" s="301" t="s">
        <v>10979</v>
      </c>
      <c r="J331" s="303" t="s">
        <v>10969</v>
      </c>
    </row>
    <row r="332" spans="1:10" ht="14.5" customHeight="1" x14ac:dyDescent="0.25">
      <c r="A332" s="278" t="s">
        <v>9631</v>
      </c>
      <c r="B332" s="278" t="s">
        <v>10904</v>
      </c>
      <c r="C332" s="111" t="s">
        <v>9847</v>
      </c>
      <c r="D332" s="301" t="s">
        <v>9848</v>
      </c>
      <c r="E332" s="302" t="s">
        <v>10977</v>
      </c>
      <c r="F332" s="278" t="s">
        <v>4109</v>
      </c>
      <c r="G332" s="278" t="s">
        <v>4108</v>
      </c>
      <c r="H332" s="303" t="s">
        <v>10980</v>
      </c>
      <c r="I332" s="301" t="s">
        <v>10981</v>
      </c>
      <c r="J332" s="303" t="s">
        <v>10969</v>
      </c>
    </row>
    <row r="333" spans="1:10" ht="14.5" customHeight="1" x14ac:dyDescent="0.25">
      <c r="A333" s="278" t="s">
        <v>9631</v>
      </c>
      <c r="B333" s="278" t="s">
        <v>10904</v>
      </c>
      <c r="C333" s="111" t="s">
        <v>9847</v>
      </c>
      <c r="D333" s="301" t="s">
        <v>9848</v>
      </c>
      <c r="E333" s="302" t="s">
        <v>10977</v>
      </c>
      <c r="F333" s="278" t="s">
        <v>4109</v>
      </c>
      <c r="G333" s="278" t="s">
        <v>4108</v>
      </c>
      <c r="H333" s="303" t="s">
        <v>10970</v>
      </c>
      <c r="I333" s="301" t="s">
        <v>10971</v>
      </c>
      <c r="J333" s="303" t="s">
        <v>10972</v>
      </c>
    </row>
    <row r="334" spans="1:10" ht="14.5" customHeight="1" x14ac:dyDescent="0.25">
      <c r="A334" s="278" t="s">
        <v>9631</v>
      </c>
      <c r="B334" s="278" t="s">
        <v>10904</v>
      </c>
      <c r="C334" s="111" t="s">
        <v>9847</v>
      </c>
      <c r="D334" s="301" t="s">
        <v>9848</v>
      </c>
      <c r="E334" s="302" t="s">
        <v>10977</v>
      </c>
      <c r="F334" s="278" t="s">
        <v>4109</v>
      </c>
      <c r="G334" s="278" t="s">
        <v>4108</v>
      </c>
      <c r="H334" s="303" t="s">
        <v>10982</v>
      </c>
      <c r="I334" s="301" t="s">
        <v>10983</v>
      </c>
      <c r="J334" s="303" t="s">
        <v>10972</v>
      </c>
    </row>
    <row r="335" spans="1:10" ht="14.5" customHeight="1" x14ac:dyDescent="0.25">
      <c r="A335" s="278" t="s">
        <v>9631</v>
      </c>
      <c r="B335" s="278" t="s">
        <v>10904</v>
      </c>
      <c r="C335" s="111" t="s">
        <v>9847</v>
      </c>
      <c r="D335" s="301" t="s">
        <v>9848</v>
      </c>
      <c r="E335" s="302" t="s">
        <v>10977</v>
      </c>
      <c r="F335" s="278" t="s">
        <v>4109</v>
      </c>
      <c r="G335" s="278" t="s">
        <v>4108</v>
      </c>
      <c r="H335" s="303" t="s">
        <v>10984</v>
      </c>
      <c r="I335" s="301" t="s">
        <v>10985</v>
      </c>
      <c r="J335" s="303" t="s">
        <v>10972</v>
      </c>
    </row>
    <row r="336" spans="1:10" ht="14.5" customHeight="1" x14ac:dyDescent="0.25">
      <c r="A336" s="278" t="s">
        <v>9631</v>
      </c>
      <c r="B336" s="278" t="s">
        <v>10904</v>
      </c>
      <c r="C336" s="111" t="s">
        <v>9849</v>
      </c>
      <c r="D336" s="301" t="s">
        <v>9850</v>
      </c>
      <c r="E336" s="306" t="s">
        <v>10915</v>
      </c>
      <c r="F336" s="278" t="s">
        <v>4109</v>
      </c>
      <c r="G336" s="278" t="s">
        <v>4108</v>
      </c>
      <c r="H336" s="303"/>
      <c r="I336" s="301" t="s">
        <v>11105</v>
      </c>
      <c r="J336" s="303"/>
    </row>
    <row r="337" spans="1:10" ht="14.5" customHeight="1" x14ac:dyDescent="0.25">
      <c r="A337" s="278" t="s">
        <v>9631</v>
      </c>
      <c r="B337" s="278" t="s">
        <v>10904</v>
      </c>
      <c r="C337" s="111" t="s">
        <v>9851</v>
      </c>
      <c r="D337" s="301" t="s">
        <v>9852</v>
      </c>
      <c r="E337" s="302" t="s">
        <v>10977</v>
      </c>
      <c r="F337" s="278" t="s">
        <v>4109</v>
      </c>
      <c r="G337" s="278" t="s">
        <v>4108</v>
      </c>
      <c r="H337" s="303"/>
      <c r="I337" s="301" t="s">
        <v>11105</v>
      </c>
      <c r="J337" s="303"/>
    </row>
    <row r="338" spans="1:10" ht="14.5" customHeight="1" x14ac:dyDescent="0.25">
      <c r="A338" s="278" t="s">
        <v>9631</v>
      </c>
      <c r="B338" s="278" t="s">
        <v>10904</v>
      </c>
      <c r="C338" s="111" t="s">
        <v>9854</v>
      </c>
      <c r="D338" s="301" t="s">
        <v>9855</v>
      </c>
      <c r="E338" s="302" t="s">
        <v>10977</v>
      </c>
      <c r="F338" s="278" t="s">
        <v>4109</v>
      </c>
      <c r="G338" s="278" t="s">
        <v>4108</v>
      </c>
      <c r="H338" s="303" t="s">
        <v>10994</v>
      </c>
      <c r="I338" s="301" t="s">
        <v>10995</v>
      </c>
      <c r="J338" s="303" t="s">
        <v>10969</v>
      </c>
    </row>
    <row r="339" spans="1:10" ht="14.5" customHeight="1" x14ac:dyDescent="0.25">
      <c r="A339" s="278" t="s">
        <v>9631</v>
      </c>
      <c r="B339" s="278" t="s">
        <v>10904</v>
      </c>
      <c r="C339" s="111" t="s">
        <v>9854</v>
      </c>
      <c r="D339" s="301" t="s">
        <v>9855</v>
      </c>
      <c r="E339" s="302" t="s">
        <v>10977</v>
      </c>
      <c r="F339" s="278" t="s">
        <v>4109</v>
      </c>
      <c r="G339" s="278" t="s">
        <v>4108</v>
      </c>
      <c r="H339" s="303" t="s">
        <v>11108</v>
      </c>
      <c r="I339" s="301" t="s">
        <v>11109</v>
      </c>
      <c r="J339" s="303" t="s">
        <v>10972</v>
      </c>
    </row>
    <row r="340" spans="1:10" ht="14.5" customHeight="1" x14ac:dyDescent="0.25">
      <c r="A340" s="278" t="s">
        <v>9631</v>
      </c>
      <c r="B340" s="278" t="s">
        <v>10904</v>
      </c>
      <c r="C340" s="111" t="s">
        <v>9856</v>
      </c>
      <c r="D340" s="301" t="s">
        <v>9857</v>
      </c>
      <c r="E340" s="306" t="s">
        <v>10915</v>
      </c>
      <c r="F340" s="278" t="s">
        <v>4109</v>
      </c>
      <c r="G340" s="278" t="s">
        <v>4108</v>
      </c>
      <c r="H340" s="303"/>
      <c r="I340" s="301" t="s">
        <v>11105</v>
      </c>
      <c r="J340" s="303"/>
    </row>
    <row r="341" spans="1:10" ht="14.5" customHeight="1" x14ac:dyDescent="0.25">
      <c r="A341" s="278" t="s">
        <v>9631</v>
      </c>
      <c r="B341" s="278" t="s">
        <v>10904</v>
      </c>
      <c r="C341" s="111" t="s">
        <v>9858</v>
      </c>
      <c r="D341" s="301" t="s">
        <v>9859</v>
      </c>
      <c r="E341" s="306" t="s">
        <v>10915</v>
      </c>
      <c r="F341" s="278" t="s">
        <v>4109</v>
      </c>
      <c r="G341" s="278" t="s">
        <v>4108</v>
      </c>
      <c r="H341" s="303"/>
      <c r="I341" s="301" t="s">
        <v>11105</v>
      </c>
      <c r="J341" s="303"/>
    </row>
    <row r="342" spans="1:10" ht="14.5" customHeight="1" x14ac:dyDescent="0.25">
      <c r="A342" s="278" t="s">
        <v>9631</v>
      </c>
      <c r="B342" s="278" t="s">
        <v>10904</v>
      </c>
      <c r="C342" s="111" t="s">
        <v>9860</v>
      </c>
      <c r="D342" s="301" t="s">
        <v>9861</v>
      </c>
      <c r="E342" s="306" t="s">
        <v>10915</v>
      </c>
      <c r="F342" s="278" t="s">
        <v>4109</v>
      </c>
      <c r="G342" s="278" t="s">
        <v>4108</v>
      </c>
      <c r="H342" s="303"/>
      <c r="I342" s="301" t="s">
        <v>11105</v>
      </c>
      <c r="J342" s="303"/>
    </row>
    <row r="343" spans="1:10" ht="14.5" customHeight="1" x14ac:dyDescent="0.25">
      <c r="A343" s="278" t="s">
        <v>9631</v>
      </c>
      <c r="B343" s="278" t="s">
        <v>10904</v>
      </c>
      <c r="C343" s="111" t="s">
        <v>9860</v>
      </c>
      <c r="D343" s="301" t="s">
        <v>9861</v>
      </c>
      <c r="E343" s="306" t="s">
        <v>10915</v>
      </c>
      <c r="F343" s="278" t="s">
        <v>4109</v>
      </c>
      <c r="G343" s="278" t="s">
        <v>4108</v>
      </c>
      <c r="H343" s="303"/>
      <c r="I343" s="301" t="s">
        <v>11110</v>
      </c>
      <c r="J343" s="303"/>
    </row>
    <row r="344" spans="1:10" ht="14.5" customHeight="1" x14ac:dyDescent="0.25">
      <c r="A344" s="278" t="s">
        <v>9631</v>
      </c>
      <c r="B344" s="278" t="s">
        <v>10904</v>
      </c>
      <c r="C344" s="111" t="s">
        <v>9860</v>
      </c>
      <c r="D344" s="301" t="s">
        <v>9861</v>
      </c>
      <c r="E344" s="306" t="s">
        <v>10915</v>
      </c>
      <c r="F344" s="278" t="s">
        <v>4109</v>
      </c>
      <c r="G344" s="278" t="s">
        <v>4108</v>
      </c>
      <c r="H344" s="303"/>
      <c r="I344" s="301" t="s">
        <v>11111</v>
      </c>
      <c r="J344" s="303"/>
    </row>
    <row r="345" spans="1:10" ht="14.5" customHeight="1" x14ac:dyDescent="0.25">
      <c r="A345" s="278" t="s">
        <v>9631</v>
      </c>
      <c r="B345" s="278" t="s">
        <v>10904</v>
      </c>
      <c r="C345" s="111" t="s">
        <v>9862</v>
      </c>
      <c r="D345" s="301" t="s">
        <v>9863</v>
      </c>
      <c r="E345" s="306" t="s">
        <v>10915</v>
      </c>
      <c r="F345" s="278" t="s">
        <v>4109</v>
      </c>
      <c r="G345" s="278" t="s">
        <v>4108</v>
      </c>
      <c r="H345" s="303"/>
      <c r="I345" s="301" t="s">
        <v>11105</v>
      </c>
      <c r="J345" s="303"/>
    </row>
    <row r="346" spans="1:10" ht="14.5" customHeight="1" x14ac:dyDescent="0.25">
      <c r="A346" s="278" t="s">
        <v>9631</v>
      </c>
      <c r="B346" s="278" t="s">
        <v>10904</v>
      </c>
      <c r="C346" s="111" t="s">
        <v>9865</v>
      </c>
      <c r="D346" s="301" t="s">
        <v>11112</v>
      </c>
      <c r="E346" s="306" t="s">
        <v>1492</v>
      </c>
      <c r="F346" s="278" t="s">
        <v>4109</v>
      </c>
      <c r="G346" s="278" t="s">
        <v>4108</v>
      </c>
      <c r="H346" s="303" t="s">
        <v>10907</v>
      </c>
      <c r="I346" s="301" t="s">
        <v>10908</v>
      </c>
      <c r="J346" s="303" t="s">
        <v>10906</v>
      </c>
    </row>
    <row r="347" spans="1:10" ht="14.5" customHeight="1" x14ac:dyDescent="0.25">
      <c r="A347" s="278" t="s">
        <v>9631</v>
      </c>
      <c r="B347" s="278" t="s">
        <v>10904</v>
      </c>
      <c r="C347" s="111" t="s">
        <v>9865</v>
      </c>
      <c r="D347" s="301" t="s">
        <v>11112</v>
      </c>
      <c r="E347" s="306" t="s">
        <v>1492</v>
      </c>
      <c r="F347" s="278" t="s">
        <v>4109</v>
      </c>
      <c r="G347" s="278" t="s">
        <v>4108</v>
      </c>
      <c r="H347" s="303" t="s">
        <v>10964</v>
      </c>
      <c r="I347" s="301" t="s">
        <v>10965</v>
      </c>
      <c r="J347" s="303" t="s">
        <v>10914</v>
      </c>
    </row>
    <row r="348" spans="1:10" ht="14.5" customHeight="1" x14ac:dyDescent="0.25">
      <c r="A348" s="278" t="s">
        <v>9631</v>
      </c>
      <c r="B348" s="278" t="s">
        <v>10904</v>
      </c>
      <c r="C348" s="111" t="s">
        <v>9865</v>
      </c>
      <c r="D348" s="301" t="s">
        <v>11112</v>
      </c>
      <c r="E348" s="306" t="s">
        <v>1492</v>
      </c>
      <c r="F348" s="278" t="s">
        <v>4109</v>
      </c>
      <c r="G348" s="278" t="s">
        <v>4108</v>
      </c>
      <c r="H348" s="303" t="s">
        <v>10912</v>
      </c>
      <c r="I348" s="301" t="s">
        <v>10913</v>
      </c>
      <c r="J348" s="303" t="s">
        <v>10914</v>
      </c>
    </row>
    <row r="349" spans="1:10" ht="14.5" customHeight="1" x14ac:dyDescent="0.25">
      <c r="A349" s="278" t="s">
        <v>9631</v>
      </c>
      <c r="B349" s="278" t="s">
        <v>10904</v>
      </c>
      <c r="C349" s="111" t="s">
        <v>9867</v>
      </c>
      <c r="D349" s="301" t="s">
        <v>9868</v>
      </c>
      <c r="E349" s="306" t="s">
        <v>1492</v>
      </c>
      <c r="F349" s="278" t="s">
        <v>4109</v>
      </c>
      <c r="G349" s="278" t="s">
        <v>4108</v>
      </c>
      <c r="H349" s="303" t="s">
        <v>10907</v>
      </c>
      <c r="I349" s="301" t="s">
        <v>10908</v>
      </c>
      <c r="J349" s="303" t="s">
        <v>10906</v>
      </c>
    </row>
    <row r="350" spans="1:10" ht="14.5" customHeight="1" x14ac:dyDescent="0.25">
      <c r="A350" s="278" t="s">
        <v>9631</v>
      </c>
      <c r="B350" s="278" t="s">
        <v>10904</v>
      </c>
      <c r="C350" s="111" t="s">
        <v>9867</v>
      </c>
      <c r="D350" s="301" t="s">
        <v>9868</v>
      </c>
      <c r="E350" s="306" t="s">
        <v>1492</v>
      </c>
      <c r="F350" s="278" t="s">
        <v>4109</v>
      </c>
      <c r="G350" s="278" t="s">
        <v>4108</v>
      </c>
      <c r="H350" s="303" t="s">
        <v>10964</v>
      </c>
      <c r="I350" s="301" t="s">
        <v>10965</v>
      </c>
      <c r="J350" s="303" t="s">
        <v>10914</v>
      </c>
    </row>
    <row r="351" spans="1:10" ht="14.5" customHeight="1" x14ac:dyDescent="0.25">
      <c r="A351" s="278" t="s">
        <v>9631</v>
      </c>
      <c r="B351" s="278" t="s">
        <v>10904</v>
      </c>
      <c r="C351" s="111" t="s">
        <v>9867</v>
      </c>
      <c r="D351" s="301" t="s">
        <v>9868</v>
      </c>
      <c r="E351" s="306" t="s">
        <v>1492</v>
      </c>
      <c r="F351" s="278" t="s">
        <v>4109</v>
      </c>
      <c r="G351" s="278" t="s">
        <v>4108</v>
      </c>
      <c r="H351" s="303" t="s">
        <v>10912</v>
      </c>
      <c r="I351" s="301" t="s">
        <v>10913</v>
      </c>
      <c r="J351" s="303" t="s">
        <v>10914</v>
      </c>
    </row>
    <row r="352" spans="1:10" ht="14.5" customHeight="1" x14ac:dyDescent="0.25">
      <c r="A352" s="278" t="s">
        <v>9631</v>
      </c>
      <c r="B352" s="278" t="s">
        <v>10904</v>
      </c>
      <c r="C352" s="111" t="s">
        <v>9870</v>
      </c>
      <c r="D352" s="301" t="s">
        <v>1420</v>
      </c>
      <c r="E352" s="306" t="s">
        <v>1419</v>
      </c>
      <c r="F352" s="278" t="s">
        <v>4109</v>
      </c>
      <c r="G352" s="278" t="s">
        <v>4108</v>
      </c>
      <c r="H352" s="303" t="s">
        <v>10907</v>
      </c>
      <c r="I352" s="301" t="s">
        <v>10908</v>
      </c>
      <c r="J352" s="303" t="s">
        <v>10906</v>
      </c>
    </row>
    <row r="353" spans="1:10" ht="14.5" customHeight="1" x14ac:dyDescent="0.25">
      <c r="A353" s="278" t="s">
        <v>9631</v>
      </c>
      <c r="B353" s="278" t="s">
        <v>10904</v>
      </c>
      <c r="C353" s="111" t="s">
        <v>9870</v>
      </c>
      <c r="D353" s="301" t="s">
        <v>1420</v>
      </c>
      <c r="E353" s="306" t="s">
        <v>1419</v>
      </c>
      <c r="F353" s="278" t="s">
        <v>4109</v>
      </c>
      <c r="G353" s="278" t="s">
        <v>4108</v>
      </c>
      <c r="H353" s="303" t="s">
        <v>10912</v>
      </c>
      <c r="I353" s="301" t="s">
        <v>10913</v>
      </c>
      <c r="J353" s="303" t="s">
        <v>10914</v>
      </c>
    </row>
    <row r="354" spans="1:10" ht="14.5" customHeight="1" x14ac:dyDescent="0.25">
      <c r="A354" s="278" t="s">
        <v>9631</v>
      </c>
      <c r="B354" s="278" t="s">
        <v>10904</v>
      </c>
      <c r="C354" s="111" t="s">
        <v>9871</v>
      </c>
      <c r="D354" s="301" t="s">
        <v>1463</v>
      </c>
      <c r="E354" s="306" t="s">
        <v>89</v>
      </c>
      <c r="F354" s="278" t="s">
        <v>4109</v>
      </c>
      <c r="G354" s="278" t="s">
        <v>4108</v>
      </c>
      <c r="H354" s="303" t="s">
        <v>10907</v>
      </c>
      <c r="I354" s="301" t="s">
        <v>10908</v>
      </c>
      <c r="J354" s="303" t="s">
        <v>10906</v>
      </c>
    </row>
    <row r="355" spans="1:10" ht="14.5" customHeight="1" x14ac:dyDescent="0.25">
      <c r="A355" s="278" t="s">
        <v>9631</v>
      </c>
      <c r="B355" s="278" t="s">
        <v>10904</v>
      </c>
      <c r="C355" s="111" t="s">
        <v>9871</v>
      </c>
      <c r="D355" s="301" t="s">
        <v>1463</v>
      </c>
      <c r="E355" s="306" t="s">
        <v>89</v>
      </c>
      <c r="F355" s="278" t="s">
        <v>4109</v>
      </c>
      <c r="G355" s="278" t="s">
        <v>4108</v>
      </c>
      <c r="H355" s="303" t="s">
        <v>10912</v>
      </c>
      <c r="I355" s="301" t="s">
        <v>10913</v>
      </c>
      <c r="J355" s="303" t="s">
        <v>10914</v>
      </c>
    </row>
    <row r="356" spans="1:10" ht="14.5" customHeight="1" x14ac:dyDescent="0.25">
      <c r="A356" s="278" t="s">
        <v>9631</v>
      </c>
      <c r="B356" s="278" t="s">
        <v>10904</v>
      </c>
      <c r="C356" s="111" t="s">
        <v>9872</v>
      </c>
      <c r="D356" s="301" t="s">
        <v>1465</v>
      </c>
      <c r="E356" s="306" t="s">
        <v>99</v>
      </c>
      <c r="F356" s="278" t="s">
        <v>4109</v>
      </c>
      <c r="G356" s="278" t="s">
        <v>4108</v>
      </c>
      <c r="H356" s="303" t="s">
        <v>10907</v>
      </c>
      <c r="I356" s="301" t="s">
        <v>10908</v>
      </c>
      <c r="J356" s="303" t="s">
        <v>10906</v>
      </c>
    </row>
    <row r="357" spans="1:10" ht="14.5" customHeight="1" x14ac:dyDescent="0.25">
      <c r="A357" s="278" t="s">
        <v>9631</v>
      </c>
      <c r="B357" s="278" t="s">
        <v>10904</v>
      </c>
      <c r="C357" s="111" t="s">
        <v>9872</v>
      </c>
      <c r="D357" s="301" t="s">
        <v>1465</v>
      </c>
      <c r="E357" s="306" t="s">
        <v>99</v>
      </c>
      <c r="F357" s="278" t="s">
        <v>4109</v>
      </c>
      <c r="G357" s="278" t="s">
        <v>4108</v>
      </c>
      <c r="H357" s="303" t="s">
        <v>10912</v>
      </c>
      <c r="I357" s="301" t="s">
        <v>10913</v>
      </c>
      <c r="J357" s="303" t="s">
        <v>10914</v>
      </c>
    </row>
    <row r="358" spans="1:10" ht="14.5" customHeight="1" x14ac:dyDescent="0.25">
      <c r="A358" s="278" t="s">
        <v>9631</v>
      </c>
      <c r="B358" s="278" t="s">
        <v>10904</v>
      </c>
      <c r="C358" s="111" t="s">
        <v>9873</v>
      </c>
      <c r="D358" s="301" t="s">
        <v>1467</v>
      </c>
      <c r="E358" s="306" t="s">
        <v>105</v>
      </c>
      <c r="F358" s="278" t="s">
        <v>4109</v>
      </c>
      <c r="G358" s="278" t="s">
        <v>4108</v>
      </c>
      <c r="H358" s="303" t="s">
        <v>10907</v>
      </c>
      <c r="I358" s="301" t="s">
        <v>10908</v>
      </c>
      <c r="J358" s="303" t="s">
        <v>10906</v>
      </c>
    </row>
    <row r="359" spans="1:10" ht="14.5" customHeight="1" x14ac:dyDescent="0.25">
      <c r="A359" s="278" t="s">
        <v>9631</v>
      </c>
      <c r="B359" s="278" t="s">
        <v>10904</v>
      </c>
      <c r="C359" s="111" t="s">
        <v>9873</v>
      </c>
      <c r="D359" s="301" t="s">
        <v>1467</v>
      </c>
      <c r="E359" s="306" t="s">
        <v>105</v>
      </c>
      <c r="F359" s="278" t="s">
        <v>4109</v>
      </c>
      <c r="G359" s="278" t="s">
        <v>4108</v>
      </c>
      <c r="H359" s="303" t="s">
        <v>10912</v>
      </c>
      <c r="I359" s="301" t="s">
        <v>10913</v>
      </c>
      <c r="J359" s="303" t="s">
        <v>10914</v>
      </c>
    </row>
    <row r="360" spans="1:10" ht="14.5" customHeight="1" x14ac:dyDescent="0.25">
      <c r="A360" s="278" t="s">
        <v>9631</v>
      </c>
      <c r="B360" s="278" t="s">
        <v>10904</v>
      </c>
      <c r="C360" s="111" t="s">
        <v>9874</v>
      </c>
      <c r="D360" s="301" t="s">
        <v>1469</v>
      </c>
      <c r="E360" s="306" t="s">
        <v>111</v>
      </c>
      <c r="F360" s="278" t="s">
        <v>4109</v>
      </c>
      <c r="G360" s="278" t="s">
        <v>4108</v>
      </c>
      <c r="H360" s="303" t="s">
        <v>10907</v>
      </c>
      <c r="I360" s="301" t="s">
        <v>10908</v>
      </c>
      <c r="J360" s="303" t="s">
        <v>10906</v>
      </c>
    </row>
    <row r="361" spans="1:10" ht="14.5" customHeight="1" x14ac:dyDescent="0.25">
      <c r="A361" s="278" t="s">
        <v>9631</v>
      </c>
      <c r="B361" s="278" t="s">
        <v>10904</v>
      </c>
      <c r="C361" s="111" t="s">
        <v>9874</v>
      </c>
      <c r="D361" s="301" t="s">
        <v>1469</v>
      </c>
      <c r="E361" s="306" t="s">
        <v>111</v>
      </c>
      <c r="F361" s="278" t="s">
        <v>4109</v>
      </c>
      <c r="G361" s="278" t="s">
        <v>4108</v>
      </c>
      <c r="H361" s="303" t="s">
        <v>10909</v>
      </c>
      <c r="I361" s="301" t="s">
        <v>10910</v>
      </c>
      <c r="J361" s="303" t="s">
        <v>10911</v>
      </c>
    </row>
    <row r="362" spans="1:10" ht="14.5" customHeight="1" x14ac:dyDescent="0.25">
      <c r="A362" s="278" t="s">
        <v>9631</v>
      </c>
      <c r="B362" s="278" t="s">
        <v>10904</v>
      </c>
      <c r="C362" s="111" t="s">
        <v>9875</v>
      </c>
      <c r="D362" s="301" t="s">
        <v>1471</v>
      </c>
      <c r="E362" s="306" t="s">
        <v>117</v>
      </c>
      <c r="F362" s="278" t="s">
        <v>4109</v>
      </c>
      <c r="G362" s="278" t="s">
        <v>4108</v>
      </c>
      <c r="H362" s="303" t="s">
        <v>10907</v>
      </c>
      <c r="I362" s="301" t="s">
        <v>10908</v>
      </c>
      <c r="J362" s="303" t="s">
        <v>10906</v>
      </c>
    </row>
    <row r="363" spans="1:10" ht="14.5" customHeight="1" x14ac:dyDescent="0.25">
      <c r="A363" s="278" t="s">
        <v>9631</v>
      </c>
      <c r="B363" s="278" t="s">
        <v>10904</v>
      </c>
      <c r="C363" s="111" t="s">
        <v>9875</v>
      </c>
      <c r="D363" s="301" t="s">
        <v>1471</v>
      </c>
      <c r="E363" s="306" t="s">
        <v>117</v>
      </c>
      <c r="F363" s="278" t="s">
        <v>4109</v>
      </c>
      <c r="G363" s="278" t="s">
        <v>4108</v>
      </c>
      <c r="H363" s="303" t="s">
        <v>10909</v>
      </c>
      <c r="I363" s="301" t="s">
        <v>10910</v>
      </c>
      <c r="J363" s="303" t="s">
        <v>10911</v>
      </c>
    </row>
    <row r="364" spans="1:10" ht="14.5" customHeight="1" x14ac:dyDescent="0.25">
      <c r="A364" s="278" t="s">
        <v>9631</v>
      </c>
      <c r="B364" s="278" t="s">
        <v>10904</v>
      </c>
      <c r="C364" s="111" t="s">
        <v>9876</v>
      </c>
      <c r="D364" s="301" t="s">
        <v>1473</v>
      </c>
      <c r="E364" s="306" t="s">
        <v>125</v>
      </c>
      <c r="F364" s="278" t="s">
        <v>4109</v>
      </c>
      <c r="G364" s="278" t="s">
        <v>4108</v>
      </c>
      <c r="H364" s="303" t="s">
        <v>10907</v>
      </c>
      <c r="I364" s="301" t="s">
        <v>10908</v>
      </c>
      <c r="J364" s="303" t="s">
        <v>10906</v>
      </c>
    </row>
    <row r="365" spans="1:10" ht="14.5" customHeight="1" x14ac:dyDescent="0.25">
      <c r="A365" s="278" t="s">
        <v>9631</v>
      </c>
      <c r="B365" s="278" t="s">
        <v>10904</v>
      </c>
      <c r="C365" s="111" t="s">
        <v>9876</v>
      </c>
      <c r="D365" s="301" t="s">
        <v>1473</v>
      </c>
      <c r="E365" s="306" t="s">
        <v>125</v>
      </c>
      <c r="F365" s="278" t="s">
        <v>4109</v>
      </c>
      <c r="G365" s="278" t="s">
        <v>4108</v>
      </c>
      <c r="H365" s="303" t="s">
        <v>10909</v>
      </c>
      <c r="I365" s="301" t="s">
        <v>10910</v>
      </c>
      <c r="J365" s="303" t="s">
        <v>10911</v>
      </c>
    </row>
    <row r="366" spans="1:10" ht="14.5" customHeight="1" x14ac:dyDescent="0.25">
      <c r="A366" s="278" t="s">
        <v>9631</v>
      </c>
      <c r="B366" s="278" t="s">
        <v>10904</v>
      </c>
      <c r="C366" s="111" t="s">
        <v>9877</v>
      </c>
      <c r="D366" s="301" t="s">
        <v>9878</v>
      </c>
      <c r="E366" s="306" t="s">
        <v>10915</v>
      </c>
      <c r="F366" s="278" t="s">
        <v>4109</v>
      </c>
      <c r="G366" s="278" t="s">
        <v>4108</v>
      </c>
      <c r="H366" s="303" t="s">
        <v>10907</v>
      </c>
      <c r="I366" s="301" t="s">
        <v>10908</v>
      </c>
      <c r="J366" s="303" t="s">
        <v>10906</v>
      </c>
    </row>
    <row r="367" spans="1:10" ht="14.5" customHeight="1" x14ac:dyDescent="0.25">
      <c r="A367" s="278" t="s">
        <v>9631</v>
      </c>
      <c r="B367" s="278" t="s">
        <v>10904</v>
      </c>
      <c r="C367" s="111" t="s">
        <v>9877</v>
      </c>
      <c r="D367" s="301" t="s">
        <v>9878</v>
      </c>
      <c r="E367" s="306" t="s">
        <v>10915</v>
      </c>
      <c r="F367" s="278" t="s">
        <v>4109</v>
      </c>
      <c r="G367" s="278" t="s">
        <v>4108</v>
      </c>
      <c r="H367" s="303" t="s">
        <v>10909</v>
      </c>
      <c r="I367" s="301" t="s">
        <v>10910</v>
      </c>
      <c r="J367" s="303" t="s">
        <v>10911</v>
      </c>
    </row>
    <row r="368" spans="1:10" ht="14.5" customHeight="1" x14ac:dyDescent="0.25">
      <c r="A368" s="278" t="s">
        <v>9631</v>
      </c>
      <c r="B368" s="278" t="s">
        <v>10904</v>
      </c>
      <c r="C368" s="111" t="s">
        <v>9877</v>
      </c>
      <c r="D368" s="301" t="s">
        <v>9878</v>
      </c>
      <c r="E368" s="306" t="s">
        <v>10915</v>
      </c>
      <c r="F368" s="278" t="s">
        <v>4109</v>
      </c>
      <c r="G368" s="278" t="s">
        <v>4108</v>
      </c>
      <c r="H368" s="303" t="s">
        <v>10912</v>
      </c>
      <c r="I368" s="301" t="s">
        <v>10913</v>
      </c>
      <c r="J368" s="303" t="s">
        <v>10914</v>
      </c>
    </row>
    <row r="369" spans="1:10" ht="14.5" customHeight="1" x14ac:dyDescent="0.25">
      <c r="A369" s="278" t="s">
        <v>9631</v>
      </c>
      <c r="B369" s="278" t="s">
        <v>10904</v>
      </c>
      <c r="C369" s="111" t="s">
        <v>9877</v>
      </c>
      <c r="D369" s="301" t="s">
        <v>9878</v>
      </c>
      <c r="E369" s="306" t="s">
        <v>10915</v>
      </c>
      <c r="F369" s="278" t="s">
        <v>4109</v>
      </c>
      <c r="G369" s="278" t="s">
        <v>4108</v>
      </c>
      <c r="H369" s="303" t="s">
        <v>10918</v>
      </c>
      <c r="I369" s="184" t="s">
        <v>9640</v>
      </c>
      <c r="J369" s="303" t="s">
        <v>10915</v>
      </c>
    </row>
    <row r="370" spans="1:10" ht="14.5" customHeight="1" x14ac:dyDescent="0.25">
      <c r="A370" s="278" t="s">
        <v>9631</v>
      </c>
      <c r="B370" s="278" t="s">
        <v>10904</v>
      </c>
      <c r="C370" s="111" t="s">
        <v>9877</v>
      </c>
      <c r="D370" s="301" t="s">
        <v>9878</v>
      </c>
      <c r="E370" s="306" t="s">
        <v>10915</v>
      </c>
      <c r="F370" s="278" t="s">
        <v>4109</v>
      </c>
      <c r="G370" s="278" t="s">
        <v>4108</v>
      </c>
      <c r="H370" s="303" t="s">
        <v>10919</v>
      </c>
      <c r="I370" s="184" t="s">
        <v>10920</v>
      </c>
      <c r="J370" s="303" t="s">
        <v>10915</v>
      </c>
    </row>
    <row r="371" spans="1:10" ht="14.5" customHeight="1" x14ac:dyDescent="0.25">
      <c r="A371" s="278" t="s">
        <v>9631</v>
      </c>
      <c r="B371" s="278" t="s">
        <v>10904</v>
      </c>
      <c r="C371" s="111" t="s">
        <v>9879</v>
      </c>
      <c r="D371" s="301" t="s">
        <v>9880</v>
      </c>
      <c r="E371" s="302" t="s">
        <v>10977</v>
      </c>
      <c r="F371" s="278" t="s">
        <v>4109</v>
      </c>
      <c r="G371" s="278" t="s">
        <v>4108</v>
      </c>
      <c r="H371" s="303" t="s">
        <v>11060</v>
      </c>
      <c r="I371" s="184" t="s">
        <v>11061</v>
      </c>
      <c r="J371" s="303" t="s">
        <v>10969</v>
      </c>
    </row>
    <row r="372" spans="1:10" ht="14.5" customHeight="1" x14ac:dyDescent="0.25">
      <c r="A372" s="278" t="s">
        <v>9631</v>
      </c>
      <c r="B372" s="278" t="s">
        <v>10904</v>
      </c>
      <c r="C372" s="111" t="s">
        <v>9879</v>
      </c>
      <c r="D372" s="301" t="s">
        <v>9880</v>
      </c>
      <c r="E372" s="302" t="s">
        <v>10977</v>
      </c>
      <c r="F372" s="278" t="s">
        <v>4109</v>
      </c>
      <c r="G372" s="278" t="s">
        <v>4108</v>
      </c>
      <c r="H372" s="303" t="s">
        <v>10918</v>
      </c>
      <c r="I372" s="184" t="s">
        <v>9640</v>
      </c>
      <c r="J372" s="303" t="s">
        <v>10915</v>
      </c>
    </row>
    <row r="373" spans="1:10" ht="14.5" customHeight="1" x14ac:dyDescent="0.25">
      <c r="A373" s="278" t="s">
        <v>9631</v>
      </c>
      <c r="B373" s="278" t="s">
        <v>10904</v>
      </c>
      <c r="C373" s="111" t="s">
        <v>9879</v>
      </c>
      <c r="D373" s="301" t="s">
        <v>9880</v>
      </c>
      <c r="E373" s="302" t="s">
        <v>10977</v>
      </c>
      <c r="F373" s="278" t="s">
        <v>4109</v>
      </c>
      <c r="G373" s="278" t="s">
        <v>4108</v>
      </c>
      <c r="H373" s="303" t="s">
        <v>10919</v>
      </c>
      <c r="I373" s="184" t="s">
        <v>10920</v>
      </c>
      <c r="J373" s="303" t="s">
        <v>10915</v>
      </c>
    </row>
    <row r="374" spans="1:10" ht="14.5" customHeight="1" x14ac:dyDescent="0.25">
      <c r="A374" s="278" t="s">
        <v>9631</v>
      </c>
      <c r="B374" s="278" t="s">
        <v>10904</v>
      </c>
      <c r="C374" s="111" t="s">
        <v>9879</v>
      </c>
      <c r="D374" s="301" t="s">
        <v>9880</v>
      </c>
      <c r="E374" s="302" t="s">
        <v>10977</v>
      </c>
      <c r="F374" s="278" t="s">
        <v>4109</v>
      </c>
      <c r="G374" s="278" t="s">
        <v>4108</v>
      </c>
      <c r="H374" s="303" t="s">
        <v>11062</v>
      </c>
      <c r="I374" s="184" t="s">
        <v>11063</v>
      </c>
      <c r="J374" s="303" t="s">
        <v>10969</v>
      </c>
    </row>
    <row r="375" spans="1:10" ht="14.5" customHeight="1" x14ac:dyDescent="0.25">
      <c r="A375" s="278" t="s">
        <v>9631</v>
      </c>
      <c r="B375" s="278" t="s">
        <v>10904</v>
      </c>
      <c r="C375" s="111" t="s">
        <v>9879</v>
      </c>
      <c r="D375" s="301" t="s">
        <v>9880</v>
      </c>
      <c r="E375" s="302" t="s">
        <v>10977</v>
      </c>
      <c r="F375" s="278" t="s">
        <v>4109</v>
      </c>
      <c r="G375" s="278" t="s">
        <v>4108</v>
      </c>
      <c r="H375" s="303" t="s">
        <v>11113</v>
      </c>
      <c r="I375" s="184" t="s">
        <v>11114</v>
      </c>
      <c r="J375" s="303" t="s">
        <v>10972</v>
      </c>
    </row>
    <row r="376" spans="1:10" ht="14.5" customHeight="1" x14ac:dyDescent="0.25">
      <c r="A376" s="278" t="s">
        <v>9631</v>
      </c>
      <c r="B376" s="278" t="s">
        <v>10904</v>
      </c>
      <c r="C376" s="111" t="s">
        <v>9879</v>
      </c>
      <c r="D376" s="301" t="s">
        <v>9880</v>
      </c>
      <c r="E376" s="302" t="s">
        <v>10977</v>
      </c>
      <c r="F376" s="278" t="s">
        <v>4109</v>
      </c>
      <c r="G376" s="278" t="s">
        <v>4108</v>
      </c>
      <c r="H376" s="303" t="s">
        <v>11115</v>
      </c>
      <c r="I376" s="184" t="s">
        <v>11116</v>
      </c>
      <c r="J376" s="303" t="s">
        <v>10972</v>
      </c>
    </row>
    <row r="377" spans="1:10" ht="14.5" customHeight="1" x14ac:dyDescent="0.25">
      <c r="A377" s="278" t="s">
        <v>9631</v>
      </c>
      <c r="B377" s="278" t="s">
        <v>10904</v>
      </c>
      <c r="C377" s="111" t="s">
        <v>9881</v>
      </c>
      <c r="D377" s="301" t="s">
        <v>9882</v>
      </c>
      <c r="E377" s="302" t="s">
        <v>10973</v>
      </c>
      <c r="F377" s="278" t="s">
        <v>4109</v>
      </c>
      <c r="G377" s="278" t="s">
        <v>4108</v>
      </c>
      <c r="H377" s="303" t="s">
        <v>10919</v>
      </c>
      <c r="I377" s="184" t="s">
        <v>10920</v>
      </c>
      <c r="J377" s="303" t="s">
        <v>10915</v>
      </c>
    </row>
    <row r="378" spans="1:10" ht="14.5" customHeight="1" x14ac:dyDescent="0.25">
      <c r="A378" s="278" t="s">
        <v>9631</v>
      </c>
      <c r="B378" s="278" t="s">
        <v>10904</v>
      </c>
      <c r="C378" s="111" t="s">
        <v>9881</v>
      </c>
      <c r="D378" s="301" t="s">
        <v>9882</v>
      </c>
      <c r="E378" s="302" t="s">
        <v>10973</v>
      </c>
      <c r="F378" s="278" t="s">
        <v>4109</v>
      </c>
      <c r="G378" s="278" t="s">
        <v>4108</v>
      </c>
      <c r="H378" s="303" t="s">
        <v>11062</v>
      </c>
      <c r="I378" s="184" t="s">
        <v>11063</v>
      </c>
      <c r="J378" s="303" t="s">
        <v>10969</v>
      </c>
    </row>
    <row r="379" spans="1:10" ht="14.5" customHeight="1" x14ac:dyDescent="0.25">
      <c r="A379" s="278" t="s">
        <v>9631</v>
      </c>
      <c r="B379" s="278" t="s">
        <v>10904</v>
      </c>
      <c r="C379" s="111" t="s">
        <v>9883</v>
      </c>
      <c r="D379" s="301" t="s">
        <v>9884</v>
      </c>
      <c r="E379" s="302" t="s">
        <v>10973</v>
      </c>
      <c r="F379" s="278" t="s">
        <v>4109</v>
      </c>
      <c r="G379" s="278" t="s">
        <v>4108</v>
      </c>
      <c r="H379" s="303" t="s">
        <v>10919</v>
      </c>
      <c r="I379" s="184" t="s">
        <v>10920</v>
      </c>
      <c r="J379" s="303" t="s">
        <v>10915</v>
      </c>
    </row>
    <row r="380" spans="1:10" ht="14.5" customHeight="1" x14ac:dyDescent="0.25">
      <c r="A380" s="278" t="s">
        <v>9631</v>
      </c>
      <c r="B380" s="278" t="s">
        <v>10904</v>
      </c>
      <c r="C380" s="111" t="s">
        <v>9883</v>
      </c>
      <c r="D380" s="301" t="s">
        <v>9884</v>
      </c>
      <c r="E380" s="302" t="s">
        <v>10973</v>
      </c>
      <c r="F380" s="278" t="s">
        <v>4109</v>
      </c>
      <c r="G380" s="278" t="s">
        <v>4108</v>
      </c>
      <c r="H380" s="303" t="s">
        <v>11062</v>
      </c>
      <c r="I380" s="184" t="s">
        <v>11063</v>
      </c>
      <c r="J380" s="303" t="s">
        <v>10969</v>
      </c>
    </row>
    <row r="381" spans="1:10" ht="14.5" customHeight="1" x14ac:dyDescent="0.25">
      <c r="A381" s="278" t="s">
        <v>9631</v>
      </c>
      <c r="B381" s="278" t="s">
        <v>10904</v>
      </c>
      <c r="C381" s="111" t="s">
        <v>9885</v>
      </c>
      <c r="D381" s="301" t="s">
        <v>9886</v>
      </c>
      <c r="E381" s="302" t="s">
        <v>10973</v>
      </c>
      <c r="F381" s="278" t="s">
        <v>4109</v>
      </c>
      <c r="G381" s="278" t="s">
        <v>4108</v>
      </c>
      <c r="H381" s="303" t="s">
        <v>10919</v>
      </c>
      <c r="I381" s="184" t="s">
        <v>10920</v>
      </c>
      <c r="J381" s="303" t="s">
        <v>10915</v>
      </c>
    </row>
    <row r="382" spans="1:10" ht="14.5" customHeight="1" x14ac:dyDescent="0.25">
      <c r="A382" s="278" t="s">
        <v>9631</v>
      </c>
      <c r="B382" s="278" t="s">
        <v>10904</v>
      </c>
      <c r="C382" s="111" t="s">
        <v>9885</v>
      </c>
      <c r="D382" s="301" t="s">
        <v>9886</v>
      </c>
      <c r="E382" s="302" t="s">
        <v>10973</v>
      </c>
      <c r="F382" s="278" t="s">
        <v>4109</v>
      </c>
      <c r="G382" s="278" t="s">
        <v>4108</v>
      </c>
      <c r="H382" s="303" t="s">
        <v>11062</v>
      </c>
      <c r="I382" s="184" t="s">
        <v>11063</v>
      </c>
      <c r="J382" s="303" t="s">
        <v>10969</v>
      </c>
    </row>
    <row r="383" spans="1:10" ht="14.5" customHeight="1" x14ac:dyDescent="0.25">
      <c r="A383" s="278" t="s">
        <v>9631</v>
      </c>
      <c r="B383" s="278" t="s">
        <v>10904</v>
      </c>
      <c r="C383" s="111" t="s">
        <v>9887</v>
      </c>
      <c r="D383" s="301" t="s">
        <v>9888</v>
      </c>
      <c r="E383" s="306" t="s">
        <v>10915</v>
      </c>
      <c r="F383" s="278" t="s">
        <v>4109</v>
      </c>
      <c r="G383" s="278" t="s">
        <v>4108</v>
      </c>
      <c r="H383" s="303" t="s">
        <v>10907</v>
      </c>
      <c r="I383" s="301" t="s">
        <v>10908</v>
      </c>
      <c r="J383" s="303" t="s">
        <v>10906</v>
      </c>
    </row>
    <row r="384" spans="1:10" ht="14.5" customHeight="1" x14ac:dyDescent="0.25">
      <c r="A384" s="278" t="s">
        <v>9631</v>
      </c>
      <c r="B384" s="278" t="s">
        <v>10904</v>
      </c>
      <c r="C384" s="111" t="s">
        <v>9887</v>
      </c>
      <c r="D384" s="301" t="s">
        <v>9888</v>
      </c>
      <c r="E384" s="306" t="s">
        <v>10915</v>
      </c>
      <c r="F384" s="278" t="s">
        <v>4109</v>
      </c>
      <c r="G384" s="278" t="s">
        <v>4108</v>
      </c>
      <c r="H384" s="303" t="s">
        <v>10909</v>
      </c>
      <c r="I384" s="301" t="s">
        <v>10910</v>
      </c>
      <c r="J384" s="303" t="s">
        <v>10911</v>
      </c>
    </row>
    <row r="385" spans="1:10" ht="14.5" customHeight="1" x14ac:dyDescent="0.25">
      <c r="A385" s="278" t="s">
        <v>9631</v>
      </c>
      <c r="B385" s="278" t="s">
        <v>10904</v>
      </c>
      <c r="C385" s="111" t="s">
        <v>9887</v>
      </c>
      <c r="D385" s="301" t="s">
        <v>9888</v>
      </c>
      <c r="E385" s="306" t="s">
        <v>10915</v>
      </c>
      <c r="F385" s="278" t="s">
        <v>4109</v>
      </c>
      <c r="G385" s="278" t="s">
        <v>4108</v>
      </c>
      <c r="H385" s="303" t="s">
        <v>10912</v>
      </c>
      <c r="I385" s="301" t="s">
        <v>10913</v>
      </c>
      <c r="J385" s="303" t="s">
        <v>10914</v>
      </c>
    </row>
    <row r="386" spans="1:10" ht="14.5" customHeight="1" x14ac:dyDescent="0.25">
      <c r="A386" s="278" t="s">
        <v>9631</v>
      </c>
      <c r="B386" s="278" t="s">
        <v>10904</v>
      </c>
      <c r="C386" s="111" t="s">
        <v>9887</v>
      </c>
      <c r="D386" s="301" t="s">
        <v>9888</v>
      </c>
      <c r="E386" s="306" t="s">
        <v>10915</v>
      </c>
      <c r="F386" s="278" t="s">
        <v>4109</v>
      </c>
      <c r="G386" s="278" t="s">
        <v>4108</v>
      </c>
      <c r="H386" s="303" t="s">
        <v>10918</v>
      </c>
      <c r="I386" s="184" t="s">
        <v>9640</v>
      </c>
      <c r="J386" s="303" t="s">
        <v>10915</v>
      </c>
    </row>
    <row r="387" spans="1:10" ht="14.5" customHeight="1" x14ac:dyDescent="0.25">
      <c r="A387" s="278" t="s">
        <v>9631</v>
      </c>
      <c r="B387" s="278" t="s">
        <v>10904</v>
      </c>
      <c r="C387" s="111" t="s">
        <v>9887</v>
      </c>
      <c r="D387" s="301" t="s">
        <v>9888</v>
      </c>
      <c r="E387" s="306" t="s">
        <v>10915</v>
      </c>
      <c r="F387" s="278" t="s">
        <v>4109</v>
      </c>
      <c r="G387" s="278" t="s">
        <v>4108</v>
      </c>
      <c r="H387" s="303" t="s">
        <v>10921</v>
      </c>
      <c r="I387" s="184" t="s">
        <v>10922</v>
      </c>
      <c r="J387" s="303" t="s">
        <v>10915</v>
      </c>
    </row>
    <row r="388" spans="1:10" ht="14.5" customHeight="1" x14ac:dyDescent="0.25">
      <c r="A388" s="278" t="s">
        <v>9631</v>
      </c>
      <c r="B388" s="278" t="s">
        <v>10904</v>
      </c>
      <c r="C388" s="111" t="s">
        <v>9889</v>
      </c>
      <c r="D388" s="301" t="s">
        <v>9890</v>
      </c>
      <c r="E388" s="302" t="s">
        <v>10977</v>
      </c>
      <c r="F388" s="278" t="s">
        <v>4109</v>
      </c>
      <c r="G388" s="278" t="s">
        <v>4108</v>
      </c>
      <c r="H388" s="303" t="s">
        <v>11060</v>
      </c>
      <c r="I388" s="184" t="s">
        <v>11061</v>
      </c>
      <c r="J388" s="303" t="s">
        <v>10969</v>
      </c>
    </row>
    <row r="389" spans="1:10" ht="14.5" customHeight="1" x14ac:dyDescent="0.25">
      <c r="A389" s="278" t="s">
        <v>9631</v>
      </c>
      <c r="B389" s="278" t="s">
        <v>10904</v>
      </c>
      <c r="C389" s="111" t="s">
        <v>9889</v>
      </c>
      <c r="D389" s="301" t="s">
        <v>9890</v>
      </c>
      <c r="E389" s="302" t="s">
        <v>10977</v>
      </c>
      <c r="F389" s="278" t="s">
        <v>4109</v>
      </c>
      <c r="G389" s="278" t="s">
        <v>4108</v>
      </c>
      <c r="H389" s="303" t="s">
        <v>10918</v>
      </c>
      <c r="I389" s="184" t="s">
        <v>9640</v>
      </c>
      <c r="J389" s="303" t="s">
        <v>10915</v>
      </c>
    </row>
    <row r="390" spans="1:10" ht="14.5" customHeight="1" x14ac:dyDescent="0.25">
      <c r="A390" s="278" t="s">
        <v>9631</v>
      </c>
      <c r="B390" s="278" t="s">
        <v>10904</v>
      </c>
      <c r="C390" s="111" t="s">
        <v>9889</v>
      </c>
      <c r="D390" s="301" t="s">
        <v>9890</v>
      </c>
      <c r="E390" s="302" t="s">
        <v>10977</v>
      </c>
      <c r="F390" s="278" t="s">
        <v>4109</v>
      </c>
      <c r="G390" s="278" t="s">
        <v>4108</v>
      </c>
      <c r="H390" s="303" t="s">
        <v>10921</v>
      </c>
      <c r="I390" s="184" t="s">
        <v>10922</v>
      </c>
      <c r="J390" s="303" t="s">
        <v>10915</v>
      </c>
    </row>
    <row r="391" spans="1:10" ht="14.5" customHeight="1" x14ac:dyDescent="0.25">
      <c r="A391" s="278" t="s">
        <v>9631</v>
      </c>
      <c r="B391" s="278" t="s">
        <v>10904</v>
      </c>
      <c r="C391" s="111" t="s">
        <v>9889</v>
      </c>
      <c r="D391" s="301" t="s">
        <v>9890</v>
      </c>
      <c r="E391" s="302" t="s">
        <v>10977</v>
      </c>
      <c r="F391" s="278" t="s">
        <v>4109</v>
      </c>
      <c r="G391" s="278" t="s">
        <v>4108</v>
      </c>
      <c r="H391" s="303" t="s">
        <v>11064</v>
      </c>
      <c r="I391" s="184" t="s">
        <v>11065</v>
      </c>
      <c r="J391" s="303" t="s">
        <v>10969</v>
      </c>
    </row>
    <row r="392" spans="1:10" ht="14.5" customHeight="1" x14ac:dyDescent="0.25">
      <c r="A392" s="278" t="s">
        <v>9631</v>
      </c>
      <c r="B392" s="278" t="s">
        <v>10904</v>
      </c>
      <c r="C392" s="111" t="s">
        <v>9889</v>
      </c>
      <c r="D392" s="301" t="s">
        <v>9890</v>
      </c>
      <c r="E392" s="302" t="s">
        <v>10977</v>
      </c>
      <c r="F392" s="278" t="s">
        <v>4109</v>
      </c>
      <c r="G392" s="278" t="s">
        <v>4108</v>
      </c>
      <c r="H392" s="303" t="s">
        <v>11113</v>
      </c>
      <c r="I392" s="184" t="s">
        <v>11114</v>
      </c>
      <c r="J392" s="303" t="s">
        <v>10972</v>
      </c>
    </row>
    <row r="393" spans="1:10" ht="14.5" customHeight="1" x14ac:dyDescent="0.25">
      <c r="A393" s="278" t="s">
        <v>9631</v>
      </c>
      <c r="B393" s="278" t="s">
        <v>10904</v>
      </c>
      <c r="C393" s="111" t="s">
        <v>9889</v>
      </c>
      <c r="D393" s="301" t="s">
        <v>9890</v>
      </c>
      <c r="E393" s="302" t="s">
        <v>10977</v>
      </c>
      <c r="F393" s="278" t="s">
        <v>4109</v>
      </c>
      <c r="G393" s="278" t="s">
        <v>4108</v>
      </c>
      <c r="H393" s="303" t="s">
        <v>11117</v>
      </c>
      <c r="I393" s="184" t="s">
        <v>11118</v>
      </c>
      <c r="J393" s="303" t="s">
        <v>10972</v>
      </c>
    </row>
    <row r="394" spans="1:10" ht="14.5" customHeight="1" x14ac:dyDescent="0.25">
      <c r="A394" s="278" t="s">
        <v>9631</v>
      </c>
      <c r="B394" s="278" t="s">
        <v>10904</v>
      </c>
      <c r="C394" s="111" t="s">
        <v>9891</v>
      </c>
      <c r="D394" s="301" t="s">
        <v>9892</v>
      </c>
      <c r="E394" s="302" t="s">
        <v>10973</v>
      </c>
      <c r="F394" s="278" t="s">
        <v>4109</v>
      </c>
      <c r="G394" s="278" t="s">
        <v>4108</v>
      </c>
      <c r="H394" s="303" t="s">
        <v>10921</v>
      </c>
      <c r="I394" s="184" t="s">
        <v>10922</v>
      </c>
      <c r="J394" s="303" t="s">
        <v>10915</v>
      </c>
    </row>
    <row r="395" spans="1:10" ht="14.5" customHeight="1" x14ac:dyDescent="0.25">
      <c r="A395" s="278" t="s">
        <v>9631</v>
      </c>
      <c r="B395" s="278" t="s">
        <v>10904</v>
      </c>
      <c r="C395" s="111" t="s">
        <v>9891</v>
      </c>
      <c r="D395" s="301" t="s">
        <v>9892</v>
      </c>
      <c r="E395" s="302" t="s">
        <v>10973</v>
      </c>
      <c r="F395" s="278" t="s">
        <v>4109</v>
      </c>
      <c r="G395" s="278" t="s">
        <v>4108</v>
      </c>
      <c r="H395" s="303" t="s">
        <v>11064</v>
      </c>
      <c r="I395" s="184" t="s">
        <v>11065</v>
      </c>
      <c r="J395" s="303" t="s">
        <v>10969</v>
      </c>
    </row>
    <row r="396" spans="1:10" ht="14.5" customHeight="1" x14ac:dyDescent="0.25">
      <c r="A396" s="278" t="s">
        <v>9631</v>
      </c>
      <c r="B396" s="278" t="s">
        <v>10904</v>
      </c>
      <c r="C396" s="111" t="s">
        <v>9893</v>
      </c>
      <c r="D396" s="301" t="s">
        <v>9894</v>
      </c>
      <c r="E396" s="302" t="s">
        <v>10973</v>
      </c>
      <c r="F396" s="278" t="s">
        <v>4109</v>
      </c>
      <c r="G396" s="278" t="s">
        <v>4108</v>
      </c>
      <c r="H396" s="303" t="s">
        <v>10921</v>
      </c>
      <c r="I396" s="184" t="s">
        <v>10922</v>
      </c>
      <c r="J396" s="303" t="s">
        <v>10915</v>
      </c>
    </row>
    <row r="397" spans="1:10" ht="14.5" customHeight="1" x14ac:dyDescent="0.25">
      <c r="A397" s="278" t="s">
        <v>9631</v>
      </c>
      <c r="B397" s="278" t="s">
        <v>10904</v>
      </c>
      <c r="C397" s="111" t="s">
        <v>9893</v>
      </c>
      <c r="D397" s="301" t="s">
        <v>9894</v>
      </c>
      <c r="E397" s="302" t="s">
        <v>10973</v>
      </c>
      <c r="F397" s="278" t="s">
        <v>4109</v>
      </c>
      <c r="G397" s="278" t="s">
        <v>4108</v>
      </c>
      <c r="H397" s="303" t="s">
        <v>11064</v>
      </c>
      <c r="I397" s="184" t="s">
        <v>11065</v>
      </c>
      <c r="J397" s="303" t="s">
        <v>10969</v>
      </c>
    </row>
    <row r="398" spans="1:10" ht="14.5" customHeight="1" x14ac:dyDescent="0.25">
      <c r="A398" s="278" t="s">
        <v>9631</v>
      </c>
      <c r="B398" s="278" t="s">
        <v>10904</v>
      </c>
      <c r="C398" s="111" t="s">
        <v>9895</v>
      </c>
      <c r="D398" s="301" t="s">
        <v>9896</v>
      </c>
      <c r="E398" s="302" t="s">
        <v>10973</v>
      </c>
      <c r="F398" s="278" t="s">
        <v>4109</v>
      </c>
      <c r="G398" s="278" t="s">
        <v>4108</v>
      </c>
      <c r="H398" s="303" t="s">
        <v>10921</v>
      </c>
      <c r="I398" s="184" t="s">
        <v>10922</v>
      </c>
      <c r="J398" s="303" t="s">
        <v>10915</v>
      </c>
    </row>
    <row r="399" spans="1:10" ht="14.5" customHeight="1" x14ac:dyDescent="0.25">
      <c r="A399" s="278" t="s">
        <v>9631</v>
      </c>
      <c r="B399" s="278" t="s">
        <v>10904</v>
      </c>
      <c r="C399" s="111" t="s">
        <v>9895</v>
      </c>
      <c r="D399" s="301" t="s">
        <v>9896</v>
      </c>
      <c r="E399" s="302" t="s">
        <v>10973</v>
      </c>
      <c r="F399" s="278" t="s">
        <v>4109</v>
      </c>
      <c r="G399" s="278" t="s">
        <v>4108</v>
      </c>
      <c r="H399" s="303" t="s">
        <v>11064</v>
      </c>
      <c r="I399" s="184" t="s">
        <v>11065</v>
      </c>
      <c r="J399" s="303" t="s">
        <v>10969</v>
      </c>
    </row>
    <row r="400" spans="1:10" ht="14.5" customHeight="1" x14ac:dyDescent="0.25">
      <c r="A400" s="278" t="s">
        <v>9631</v>
      </c>
      <c r="B400" s="278" t="s">
        <v>10904</v>
      </c>
      <c r="C400" s="111" t="s">
        <v>9897</v>
      </c>
      <c r="D400" s="301" t="s">
        <v>9898</v>
      </c>
      <c r="E400" s="306" t="s">
        <v>10915</v>
      </c>
      <c r="F400" s="278" t="s">
        <v>4109</v>
      </c>
      <c r="G400" s="278" t="s">
        <v>4108</v>
      </c>
      <c r="H400" s="303" t="s">
        <v>10907</v>
      </c>
      <c r="I400" s="301" t="s">
        <v>10908</v>
      </c>
      <c r="J400" s="303" t="s">
        <v>10906</v>
      </c>
    </row>
    <row r="401" spans="1:10" ht="14.5" customHeight="1" x14ac:dyDescent="0.25">
      <c r="A401" s="278" t="s">
        <v>9631</v>
      </c>
      <c r="B401" s="278" t="s">
        <v>10904</v>
      </c>
      <c r="C401" s="111" t="s">
        <v>9897</v>
      </c>
      <c r="D401" s="301" t="s">
        <v>9898</v>
      </c>
      <c r="E401" s="306" t="s">
        <v>10915</v>
      </c>
      <c r="F401" s="278" t="s">
        <v>4109</v>
      </c>
      <c r="G401" s="278" t="s">
        <v>4108</v>
      </c>
      <c r="H401" s="303" t="s">
        <v>10909</v>
      </c>
      <c r="I401" s="301" t="s">
        <v>10910</v>
      </c>
      <c r="J401" s="303" t="s">
        <v>10911</v>
      </c>
    </row>
    <row r="402" spans="1:10" ht="14.5" customHeight="1" x14ac:dyDescent="0.25">
      <c r="A402" s="278" t="s">
        <v>9631</v>
      </c>
      <c r="B402" s="278" t="s">
        <v>10904</v>
      </c>
      <c r="C402" s="111" t="s">
        <v>9897</v>
      </c>
      <c r="D402" s="301" t="s">
        <v>9898</v>
      </c>
      <c r="E402" s="306" t="s">
        <v>10915</v>
      </c>
      <c r="F402" s="278" t="s">
        <v>4109</v>
      </c>
      <c r="G402" s="278" t="s">
        <v>4108</v>
      </c>
      <c r="H402" s="303" t="s">
        <v>10912</v>
      </c>
      <c r="I402" s="301" t="s">
        <v>10913</v>
      </c>
      <c r="J402" s="303" t="s">
        <v>10914</v>
      </c>
    </row>
    <row r="403" spans="1:10" ht="14.5" customHeight="1" x14ac:dyDescent="0.25">
      <c r="A403" s="278" t="s">
        <v>9631</v>
      </c>
      <c r="B403" s="278" t="s">
        <v>10904</v>
      </c>
      <c r="C403" s="111" t="s">
        <v>9897</v>
      </c>
      <c r="D403" s="301" t="s">
        <v>9898</v>
      </c>
      <c r="E403" s="306" t="s">
        <v>10915</v>
      </c>
      <c r="F403" s="278" t="s">
        <v>4109</v>
      </c>
      <c r="G403" s="278" t="s">
        <v>4108</v>
      </c>
      <c r="H403" s="303" t="s">
        <v>10918</v>
      </c>
      <c r="I403" s="184" t="s">
        <v>9640</v>
      </c>
      <c r="J403" s="303" t="s">
        <v>10915</v>
      </c>
    </row>
    <row r="404" spans="1:10" ht="14.5" customHeight="1" x14ac:dyDescent="0.25">
      <c r="A404" s="278" t="s">
        <v>9631</v>
      </c>
      <c r="B404" s="278" t="s">
        <v>10904</v>
      </c>
      <c r="C404" s="111" t="s">
        <v>9897</v>
      </c>
      <c r="D404" s="301" t="s">
        <v>9898</v>
      </c>
      <c r="E404" s="306" t="s">
        <v>10915</v>
      </c>
      <c r="F404" s="278" t="s">
        <v>4109</v>
      </c>
      <c r="G404" s="278" t="s">
        <v>4108</v>
      </c>
      <c r="H404" s="303" t="s">
        <v>10923</v>
      </c>
      <c r="I404" s="184" t="s">
        <v>10924</v>
      </c>
      <c r="J404" s="303" t="s">
        <v>10915</v>
      </c>
    </row>
    <row r="405" spans="1:10" ht="14.5" customHeight="1" x14ac:dyDescent="0.25">
      <c r="A405" s="278" t="s">
        <v>9631</v>
      </c>
      <c r="B405" s="278" t="s">
        <v>10904</v>
      </c>
      <c r="C405" s="111" t="s">
        <v>9899</v>
      </c>
      <c r="D405" s="301" t="s">
        <v>9900</v>
      </c>
      <c r="E405" s="302" t="s">
        <v>10977</v>
      </c>
      <c r="F405" s="278" t="s">
        <v>4109</v>
      </c>
      <c r="G405" s="278" t="s">
        <v>4108</v>
      </c>
      <c r="H405" s="303" t="s">
        <v>11060</v>
      </c>
      <c r="I405" s="184" t="s">
        <v>11061</v>
      </c>
      <c r="J405" s="303" t="s">
        <v>10969</v>
      </c>
    </row>
    <row r="406" spans="1:10" ht="14.5" customHeight="1" x14ac:dyDescent="0.25">
      <c r="A406" s="278" t="s">
        <v>9631</v>
      </c>
      <c r="B406" s="278" t="s">
        <v>10904</v>
      </c>
      <c r="C406" s="111" t="s">
        <v>9899</v>
      </c>
      <c r="D406" s="301" t="s">
        <v>9900</v>
      </c>
      <c r="E406" s="302" t="s">
        <v>10977</v>
      </c>
      <c r="F406" s="278" t="s">
        <v>4109</v>
      </c>
      <c r="G406" s="278" t="s">
        <v>4108</v>
      </c>
      <c r="H406" s="303" t="s">
        <v>10918</v>
      </c>
      <c r="I406" s="184" t="s">
        <v>9640</v>
      </c>
      <c r="J406" s="303" t="s">
        <v>10915</v>
      </c>
    </row>
    <row r="407" spans="1:10" ht="14.5" customHeight="1" x14ac:dyDescent="0.25">
      <c r="A407" s="278" t="s">
        <v>9631</v>
      </c>
      <c r="B407" s="278" t="s">
        <v>10904</v>
      </c>
      <c r="C407" s="111" t="s">
        <v>9899</v>
      </c>
      <c r="D407" s="301" t="s">
        <v>9900</v>
      </c>
      <c r="E407" s="302" t="s">
        <v>10977</v>
      </c>
      <c r="F407" s="278" t="s">
        <v>4109</v>
      </c>
      <c r="G407" s="278" t="s">
        <v>4108</v>
      </c>
      <c r="H407" s="303" t="s">
        <v>10923</v>
      </c>
      <c r="I407" s="184" t="s">
        <v>10924</v>
      </c>
      <c r="J407" s="303" t="s">
        <v>10915</v>
      </c>
    </row>
    <row r="408" spans="1:10" ht="14.5" customHeight="1" x14ac:dyDescent="0.25">
      <c r="A408" s="278" t="s">
        <v>9631</v>
      </c>
      <c r="B408" s="278" t="s">
        <v>10904</v>
      </c>
      <c r="C408" s="111" t="s">
        <v>9899</v>
      </c>
      <c r="D408" s="301" t="s">
        <v>9900</v>
      </c>
      <c r="E408" s="302" t="s">
        <v>10977</v>
      </c>
      <c r="F408" s="278" t="s">
        <v>4109</v>
      </c>
      <c r="G408" s="278" t="s">
        <v>4108</v>
      </c>
      <c r="H408" s="303" t="s">
        <v>11066</v>
      </c>
      <c r="I408" s="184" t="s">
        <v>11067</v>
      </c>
      <c r="J408" s="303" t="s">
        <v>10969</v>
      </c>
    </row>
    <row r="409" spans="1:10" ht="14.5" customHeight="1" x14ac:dyDescent="0.25">
      <c r="A409" s="278" t="s">
        <v>9631</v>
      </c>
      <c r="B409" s="278" t="s">
        <v>10904</v>
      </c>
      <c r="C409" s="111" t="s">
        <v>9899</v>
      </c>
      <c r="D409" s="301" t="s">
        <v>9900</v>
      </c>
      <c r="E409" s="302" t="s">
        <v>10977</v>
      </c>
      <c r="F409" s="278" t="s">
        <v>4109</v>
      </c>
      <c r="G409" s="278" t="s">
        <v>4108</v>
      </c>
      <c r="H409" s="303" t="s">
        <v>11113</v>
      </c>
      <c r="I409" s="184" t="s">
        <v>11114</v>
      </c>
      <c r="J409" s="303" t="s">
        <v>10972</v>
      </c>
    </row>
    <row r="410" spans="1:10" ht="14.5" customHeight="1" x14ac:dyDescent="0.25">
      <c r="A410" s="278" t="s">
        <v>9631</v>
      </c>
      <c r="B410" s="278" t="s">
        <v>10904</v>
      </c>
      <c r="C410" s="111" t="s">
        <v>9899</v>
      </c>
      <c r="D410" s="301" t="s">
        <v>9900</v>
      </c>
      <c r="E410" s="302" t="s">
        <v>10977</v>
      </c>
      <c r="F410" s="278" t="s">
        <v>4109</v>
      </c>
      <c r="G410" s="278" t="s">
        <v>4108</v>
      </c>
      <c r="H410" s="303" t="s">
        <v>11119</v>
      </c>
      <c r="I410" s="184" t="s">
        <v>11120</v>
      </c>
      <c r="J410" s="303" t="s">
        <v>10972</v>
      </c>
    </row>
    <row r="411" spans="1:10" ht="14.5" customHeight="1" x14ac:dyDescent="0.25">
      <c r="A411" s="278" t="s">
        <v>9631</v>
      </c>
      <c r="B411" s="278" t="s">
        <v>10904</v>
      </c>
      <c r="C411" s="111" t="s">
        <v>9901</v>
      </c>
      <c r="D411" s="301" t="s">
        <v>9902</v>
      </c>
      <c r="E411" s="302" t="s">
        <v>10973</v>
      </c>
      <c r="F411" s="278" t="s">
        <v>4109</v>
      </c>
      <c r="G411" s="278" t="s">
        <v>4108</v>
      </c>
      <c r="H411" s="303" t="s">
        <v>10923</v>
      </c>
      <c r="I411" s="184" t="s">
        <v>10924</v>
      </c>
      <c r="J411" s="303" t="s">
        <v>10915</v>
      </c>
    </row>
    <row r="412" spans="1:10" ht="14.5" customHeight="1" x14ac:dyDescent="0.25">
      <c r="A412" s="278" t="s">
        <v>9631</v>
      </c>
      <c r="B412" s="278" t="s">
        <v>10904</v>
      </c>
      <c r="C412" s="111" t="s">
        <v>9901</v>
      </c>
      <c r="D412" s="301" t="s">
        <v>9902</v>
      </c>
      <c r="E412" s="302" t="s">
        <v>10973</v>
      </c>
      <c r="F412" s="278" t="s">
        <v>4109</v>
      </c>
      <c r="G412" s="278" t="s">
        <v>4108</v>
      </c>
      <c r="H412" s="303" t="s">
        <v>11066</v>
      </c>
      <c r="I412" s="184" t="s">
        <v>11067</v>
      </c>
      <c r="J412" s="303" t="s">
        <v>10969</v>
      </c>
    </row>
    <row r="413" spans="1:10" ht="14.5" customHeight="1" x14ac:dyDescent="0.25">
      <c r="A413" s="278" t="s">
        <v>9631</v>
      </c>
      <c r="B413" s="278" t="s">
        <v>10904</v>
      </c>
      <c r="C413" s="111" t="s">
        <v>9903</v>
      </c>
      <c r="D413" s="301" t="s">
        <v>9904</v>
      </c>
      <c r="E413" s="306" t="s">
        <v>10915</v>
      </c>
      <c r="F413" s="278" t="s">
        <v>4109</v>
      </c>
      <c r="G413" s="278" t="s">
        <v>4108</v>
      </c>
      <c r="H413" s="303" t="s">
        <v>10907</v>
      </c>
      <c r="I413" s="301" t="s">
        <v>10908</v>
      </c>
      <c r="J413" s="303" t="s">
        <v>10906</v>
      </c>
    </row>
    <row r="414" spans="1:10" ht="14.5" customHeight="1" x14ac:dyDescent="0.25">
      <c r="A414" s="278" t="s">
        <v>9631</v>
      </c>
      <c r="B414" s="278" t="s">
        <v>10904</v>
      </c>
      <c r="C414" s="111" t="s">
        <v>9903</v>
      </c>
      <c r="D414" s="301" t="s">
        <v>9904</v>
      </c>
      <c r="E414" s="306" t="s">
        <v>10915</v>
      </c>
      <c r="F414" s="278" t="s">
        <v>4109</v>
      </c>
      <c r="G414" s="278" t="s">
        <v>4108</v>
      </c>
      <c r="H414" s="303" t="s">
        <v>10909</v>
      </c>
      <c r="I414" s="301" t="s">
        <v>10910</v>
      </c>
      <c r="J414" s="303" t="s">
        <v>10911</v>
      </c>
    </row>
    <row r="415" spans="1:10" ht="14.5" customHeight="1" x14ac:dyDescent="0.25">
      <c r="A415" s="278" t="s">
        <v>9631</v>
      </c>
      <c r="B415" s="278" t="s">
        <v>10904</v>
      </c>
      <c r="C415" s="111" t="s">
        <v>9903</v>
      </c>
      <c r="D415" s="301" t="s">
        <v>9904</v>
      </c>
      <c r="E415" s="306" t="s">
        <v>10915</v>
      </c>
      <c r="F415" s="278" t="s">
        <v>4109</v>
      </c>
      <c r="G415" s="278" t="s">
        <v>4108</v>
      </c>
      <c r="H415" s="303" t="s">
        <v>10912</v>
      </c>
      <c r="I415" s="301" t="s">
        <v>10913</v>
      </c>
      <c r="J415" s="303" t="s">
        <v>10914</v>
      </c>
    </row>
    <row r="416" spans="1:10" ht="14.5" customHeight="1" x14ac:dyDescent="0.25">
      <c r="A416" s="278" t="s">
        <v>9631</v>
      </c>
      <c r="B416" s="278" t="s">
        <v>10904</v>
      </c>
      <c r="C416" s="111" t="s">
        <v>9903</v>
      </c>
      <c r="D416" s="301" t="s">
        <v>9904</v>
      </c>
      <c r="E416" s="306" t="s">
        <v>10915</v>
      </c>
      <c r="F416" s="278" t="s">
        <v>4109</v>
      </c>
      <c r="G416" s="278" t="s">
        <v>4108</v>
      </c>
      <c r="H416" s="303" t="s">
        <v>10918</v>
      </c>
      <c r="I416" s="184" t="s">
        <v>9640</v>
      </c>
      <c r="J416" s="303" t="s">
        <v>10915</v>
      </c>
    </row>
    <row r="417" spans="1:10" ht="14.5" customHeight="1" x14ac:dyDescent="0.25">
      <c r="A417" s="278" t="s">
        <v>9631</v>
      </c>
      <c r="B417" s="278" t="s">
        <v>10904</v>
      </c>
      <c r="C417" s="111" t="s">
        <v>9903</v>
      </c>
      <c r="D417" s="301" t="s">
        <v>9904</v>
      </c>
      <c r="E417" s="306" t="s">
        <v>10915</v>
      </c>
      <c r="F417" s="278" t="s">
        <v>4109</v>
      </c>
      <c r="G417" s="278" t="s">
        <v>4108</v>
      </c>
      <c r="H417" s="303" t="s">
        <v>10929</v>
      </c>
      <c r="I417" s="184" t="s">
        <v>10930</v>
      </c>
      <c r="J417" s="303" t="s">
        <v>10915</v>
      </c>
    </row>
    <row r="418" spans="1:10" ht="14.5" customHeight="1" x14ac:dyDescent="0.25">
      <c r="A418" s="278" t="s">
        <v>9631</v>
      </c>
      <c r="B418" s="278" t="s">
        <v>10904</v>
      </c>
      <c r="C418" s="111" t="s">
        <v>9905</v>
      </c>
      <c r="D418" s="301" t="s">
        <v>9906</v>
      </c>
      <c r="E418" s="302" t="s">
        <v>10977</v>
      </c>
      <c r="F418" s="278" t="s">
        <v>4109</v>
      </c>
      <c r="G418" s="278" t="s">
        <v>4108</v>
      </c>
      <c r="H418" s="303" t="s">
        <v>11060</v>
      </c>
      <c r="I418" s="184" t="s">
        <v>11061</v>
      </c>
      <c r="J418" s="303" t="s">
        <v>10969</v>
      </c>
    </row>
    <row r="419" spans="1:10" ht="14.5" customHeight="1" x14ac:dyDescent="0.25">
      <c r="A419" s="278" t="s">
        <v>9631</v>
      </c>
      <c r="B419" s="278" t="s">
        <v>10904</v>
      </c>
      <c r="C419" s="111" t="s">
        <v>9905</v>
      </c>
      <c r="D419" s="301" t="s">
        <v>9906</v>
      </c>
      <c r="E419" s="302" t="s">
        <v>10977</v>
      </c>
      <c r="F419" s="278" t="s">
        <v>4109</v>
      </c>
      <c r="G419" s="278" t="s">
        <v>4108</v>
      </c>
      <c r="H419" s="303" t="s">
        <v>10918</v>
      </c>
      <c r="I419" s="184" t="s">
        <v>9640</v>
      </c>
      <c r="J419" s="303" t="s">
        <v>10915</v>
      </c>
    </row>
    <row r="420" spans="1:10" ht="14.5" customHeight="1" x14ac:dyDescent="0.25">
      <c r="A420" s="278" t="s">
        <v>9631</v>
      </c>
      <c r="B420" s="278" t="s">
        <v>10904</v>
      </c>
      <c r="C420" s="111" t="s">
        <v>9905</v>
      </c>
      <c r="D420" s="301" t="s">
        <v>9906</v>
      </c>
      <c r="E420" s="302" t="s">
        <v>10977</v>
      </c>
      <c r="F420" s="278" t="s">
        <v>4109</v>
      </c>
      <c r="G420" s="278" t="s">
        <v>4108</v>
      </c>
      <c r="H420" s="303" t="s">
        <v>10929</v>
      </c>
      <c r="I420" s="184" t="s">
        <v>10930</v>
      </c>
      <c r="J420" s="303" t="s">
        <v>10915</v>
      </c>
    </row>
    <row r="421" spans="1:10" ht="14.5" customHeight="1" x14ac:dyDescent="0.25">
      <c r="A421" s="278" t="s">
        <v>9631</v>
      </c>
      <c r="B421" s="278" t="s">
        <v>10904</v>
      </c>
      <c r="C421" s="111" t="s">
        <v>9905</v>
      </c>
      <c r="D421" s="301" t="s">
        <v>9906</v>
      </c>
      <c r="E421" s="302" t="s">
        <v>10977</v>
      </c>
      <c r="F421" s="278" t="s">
        <v>4109</v>
      </c>
      <c r="G421" s="278" t="s">
        <v>4108</v>
      </c>
      <c r="H421" s="303" t="s">
        <v>11113</v>
      </c>
      <c r="I421" s="184" t="s">
        <v>11114</v>
      </c>
      <c r="J421" s="303" t="s">
        <v>10972</v>
      </c>
    </row>
    <row r="422" spans="1:10" ht="14.5" customHeight="1" x14ac:dyDescent="0.25">
      <c r="A422" s="278" t="s">
        <v>9631</v>
      </c>
      <c r="B422" s="278" t="s">
        <v>10904</v>
      </c>
      <c r="C422" s="111" t="s">
        <v>9907</v>
      </c>
      <c r="D422" s="301" t="s">
        <v>9908</v>
      </c>
      <c r="E422" s="306" t="s">
        <v>10915</v>
      </c>
      <c r="F422" s="278" t="s">
        <v>4109</v>
      </c>
      <c r="G422" s="278" t="s">
        <v>4108</v>
      </c>
      <c r="H422" s="303" t="s">
        <v>10907</v>
      </c>
      <c r="I422" s="301" t="s">
        <v>10908</v>
      </c>
      <c r="J422" s="303" t="s">
        <v>10906</v>
      </c>
    </row>
    <row r="423" spans="1:10" ht="14.5" customHeight="1" x14ac:dyDescent="0.25">
      <c r="A423" s="278" t="s">
        <v>9631</v>
      </c>
      <c r="B423" s="278" t="s">
        <v>10904</v>
      </c>
      <c r="C423" s="111" t="s">
        <v>9907</v>
      </c>
      <c r="D423" s="301" t="s">
        <v>9908</v>
      </c>
      <c r="E423" s="306" t="s">
        <v>10915</v>
      </c>
      <c r="F423" s="278" t="s">
        <v>4109</v>
      </c>
      <c r="G423" s="278" t="s">
        <v>4108</v>
      </c>
      <c r="H423" s="303" t="s">
        <v>10909</v>
      </c>
      <c r="I423" s="301" t="s">
        <v>10910</v>
      </c>
      <c r="J423" s="303" t="s">
        <v>10911</v>
      </c>
    </row>
    <row r="424" spans="1:10" ht="14.5" customHeight="1" x14ac:dyDescent="0.25">
      <c r="A424" s="278" t="s">
        <v>9631</v>
      </c>
      <c r="B424" s="278" t="s">
        <v>10904</v>
      </c>
      <c r="C424" s="111" t="s">
        <v>9907</v>
      </c>
      <c r="D424" s="301" t="s">
        <v>9908</v>
      </c>
      <c r="E424" s="306" t="s">
        <v>10915</v>
      </c>
      <c r="F424" s="278" t="s">
        <v>4109</v>
      </c>
      <c r="G424" s="278" t="s">
        <v>4108</v>
      </c>
      <c r="H424" s="303" t="s">
        <v>10912</v>
      </c>
      <c r="I424" s="301" t="s">
        <v>10913</v>
      </c>
      <c r="J424" s="303" t="s">
        <v>10914</v>
      </c>
    </row>
    <row r="425" spans="1:10" ht="14.5" customHeight="1" x14ac:dyDescent="0.25">
      <c r="A425" s="278" t="s">
        <v>9631</v>
      </c>
      <c r="B425" s="278" t="s">
        <v>10904</v>
      </c>
      <c r="C425" s="111" t="s">
        <v>9907</v>
      </c>
      <c r="D425" s="301" t="s">
        <v>9908</v>
      </c>
      <c r="E425" s="306" t="s">
        <v>10915</v>
      </c>
      <c r="F425" s="278" t="s">
        <v>4109</v>
      </c>
      <c r="G425" s="278" t="s">
        <v>4108</v>
      </c>
      <c r="H425" s="303" t="s">
        <v>11121</v>
      </c>
      <c r="I425" s="301" t="s">
        <v>11122</v>
      </c>
      <c r="J425" s="303" t="s">
        <v>11123</v>
      </c>
    </row>
    <row r="426" spans="1:10" ht="14.5" customHeight="1" x14ac:dyDescent="0.25">
      <c r="A426" s="278" t="s">
        <v>9631</v>
      </c>
      <c r="B426" s="278" t="s">
        <v>10904</v>
      </c>
      <c r="C426" s="111" t="s">
        <v>9907</v>
      </c>
      <c r="D426" s="301" t="s">
        <v>9908</v>
      </c>
      <c r="E426" s="306" t="s">
        <v>10915</v>
      </c>
      <c r="F426" s="278" t="s">
        <v>4109</v>
      </c>
      <c r="G426" s="278" t="s">
        <v>4108</v>
      </c>
      <c r="H426" s="303" t="s">
        <v>11124</v>
      </c>
      <c r="I426" s="184" t="s">
        <v>11125</v>
      </c>
      <c r="J426" s="303" t="s">
        <v>10915</v>
      </c>
    </row>
    <row r="427" spans="1:10" ht="14.5" customHeight="1" x14ac:dyDescent="0.25">
      <c r="A427" s="278" t="s">
        <v>9631</v>
      </c>
      <c r="B427" s="278" t="s">
        <v>10904</v>
      </c>
      <c r="C427" s="111" t="s">
        <v>9909</v>
      </c>
      <c r="D427" s="301" t="s">
        <v>9910</v>
      </c>
      <c r="E427" s="306" t="s">
        <v>10977</v>
      </c>
      <c r="F427" s="278" t="s">
        <v>4109</v>
      </c>
      <c r="G427" s="278" t="s">
        <v>4108</v>
      </c>
      <c r="H427" s="303" t="s">
        <v>11121</v>
      </c>
      <c r="I427" s="301" t="s">
        <v>11122</v>
      </c>
      <c r="J427" s="303" t="s">
        <v>11123</v>
      </c>
    </row>
    <row r="428" spans="1:10" ht="14.5" customHeight="1" x14ac:dyDescent="0.25">
      <c r="A428" s="278" t="s">
        <v>9631</v>
      </c>
      <c r="B428" s="278" t="s">
        <v>10904</v>
      </c>
      <c r="C428" s="111" t="s">
        <v>9909</v>
      </c>
      <c r="D428" s="301" t="s">
        <v>9910</v>
      </c>
      <c r="E428" s="306" t="s">
        <v>10977</v>
      </c>
      <c r="F428" s="278" t="s">
        <v>4109</v>
      </c>
      <c r="G428" s="278" t="s">
        <v>4108</v>
      </c>
      <c r="H428" s="303" t="s">
        <v>11126</v>
      </c>
      <c r="I428" s="184" t="s">
        <v>11127</v>
      </c>
      <c r="J428" s="303" t="s">
        <v>10969</v>
      </c>
    </row>
    <row r="429" spans="1:10" ht="14.5" customHeight="1" x14ac:dyDescent="0.25">
      <c r="A429" s="278" t="s">
        <v>9631</v>
      </c>
      <c r="B429" s="278" t="s">
        <v>10904</v>
      </c>
      <c r="C429" s="111" t="s">
        <v>9909</v>
      </c>
      <c r="D429" s="301" t="s">
        <v>9910</v>
      </c>
      <c r="E429" s="306" t="s">
        <v>10977</v>
      </c>
      <c r="F429" s="278" t="s">
        <v>4109</v>
      </c>
      <c r="G429" s="278" t="s">
        <v>4108</v>
      </c>
      <c r="H429" s="303" t="s">
        <v>11128</v>
      </c>
      <c r="I429" s="301" t="s">
        <v>11129</v>
      </c>
      <c r="J429" s="303" t="s">
        <v>10969</v>
      </c>
    </row>
    <row r="430" spans="1:10" ht="14.5" customHeight="1" x14ac:dyDescent="0.25">
      <c r="A430" s="278" t="s">
        <v>9631</v>
      </c>
      <c r="B430" s="278" t="s">
        <v>10904</v>
      </c>
      <c r="C430" s="111" t="s">
        <v>9911</v>
      </c>
      <c r="D430" s="301" t="s">
        <v>9912</v>
      </c>
      <c r="E430" s="302" t="s">
        <v>10977</v>
      </c>
      <c r="F430" s="278" t="s">
        <v>4109</v>
      </c>
      <c r="G430" s="278" t="s">
        <v>4108</v>
      </c>
      <c r="H430" s="303" t="s">
        <v>11060</v>
      </c>
      <c r="I430" s="301" t="s">
        <v>11061</v>
      </c>
      <c r="J430" s="303" t="s">
        <v>10969</v>
      </c>
    </row>
    <row r="431" spans="1:10" ht="14.5" customHeight="1" x14ac:dyDescent="0.25">
      <c r="A431" s="278" t="s">
        <v>9631</v>
      </c>
      <c r="B431" s="278" t="s">
        <v>10904</v>
      </c>
      <c r="C431" s="111" t="s">
        <v>9911</v>
      </c>
      <c r="D431" s="301" t="s">
        <v>9912</v>
      </c>
      <c r="E431" s="302" t="s">
        <v>10977</v>
      </c>
      <c r="F431" s="278" t="s">
        <v>4109</v>
      </c>
      <c r="G431" s="278" t="s">
        <v>4108</v>
      </c>
      <c r="H431" s="303" t="s">
        <v>11126</v>
      </c>
      <c r="I431" s="301" t="s">
        <v>11127</v>
      </c>
      <c r="J431" s="303" t="s">
        <v>10969</v>
      </c>
    </row>
    <row r="432" spans="1:10" ht="14.5" customHeight="1" x14ac:dyDescent="0.25">
      <c r="A432" s="278" t="s">
        <v>9631</v>
      </c>
      <c r="B432" s="278" t="s">
        <v>10904</v>
      </c>
      <c r="C432" s="111" t="s">
        <v>9911</v>
      </c>
      <c r="D432" s="301" t="s">
        <v>9912</v>
      </c>
      <c r="E432" s="302" t="s">
        <v>10977</v>
      </c>
      <c r="F432" s="278" t="s">
        <v>4109</v>
      </c>
      <c r="G432" s="278" t="s">
        <v>4108</v>
      </c>
      <c r="H432" s="303" t="s">
        <v>10918</v>
      </c>
      <c r="I432" s="301" t="s">
        <v>9640</v>
      </c>
      <c r="J432" s="303" t="s">
        <v>10915</v>
      </c>
    </row>
    <row r="433" spans="1:10" ht="14.5" customHeight="1" x14ac:dyDescent="0.25">
      <c r="A433" s="278" t="s">
        <v>9631</v>
      </c>
      <c r="B433" s="278" t="s">
        <v>10904</v>
      </c>
      <c r="C433" s="111" t="s">
        <v>9911</v>
      </c>
      <c r="D433" s="301" t="s">
        <v>9912</v>
      </c>
      <c r="E433" s="302" t="s">
        <v>10977</v>
      </c>
      <c r="F433" s="278" t="s">
        <v>4109</v>
      </c>
      <c r="G433" s="278" t="s">
        <v>4108</v>
      </c>
      <c r="H433" s="303" t="s">
        <v>10919</v>
      </c>
      <c r="I433" s="301" t="s">
        <v>10920</v>
      </c>
      <c r="J433" s="303" t="s">
        <v>10915</v>
      </c>
    </row>
    <row r="434" spans="1:10" ht="14.5" customHeight="1" x14ac:dyDescent="0.25">
      <c r="A434" s="278" t="s">
        <v>9631</v>
      </c>
      <c r="B434" s="278" t="s">
        <v>10904</v>
      </c>
      <c r="C434" s="111" t="s">
        <v>9911</v>
      </c>
      <c r="D434" s="301" t="s">
        <v>9912</v>
      </c>
      <c r="E434" s="302" t="s">
        <v>10977</v>
      </c>
      <c r="F434" s="278" t="s">
        <v>4109</v>
      </c>
      <c r="G434" s="278" t="s">
        <v>4108</v>
      </c>
      <c r="H434" s="303" t="s">
        <v>10921</v>
      </c>
      <c r="I434" s="301" t="s">
        <v>10922</v>
      </c>
      <c r="J434" s="303" t="s">
        <v>10915</v>
      </c>
    </row>
    <row r="435" spans="1:10" ht="14.5" customHeight="1" x14ac:dyDescent="0.25">
      <c r="A435" s="278" t="s">
        <v>9631</v>
      </c>
      <c r="B435" s="278" t="s">
        <v>10904</v>
      </c>
      <c r="C435" s="111" t="s">
        <v>9911</v>
      </c>
      <c r="D435" s="301" t="s">
        <v>9912</v>
      </c>
      <c r="E435" s="302" t="s">
        <v>10977</v>
      </c>
      <c r="F435" s="278" t="s">
        <v>4109</v>
      </c>
      <c r="G435" s="278" t="s">
        <v>4108</v>
      </c>
      <c r="H435" s="303" t="s">
        <v>10923</v>
      </c>
      <c r="I435" s="301" t="s">
        <v>10924</v>
      </c>
      <c r="J435" s="303" t="s">
        <v>10915</v>
      </c>
    </row>
    <row r="436" spans="1:10" ht="14.5" customHeight="1" x14ac:dyDescent="0.25">
      <c r="A436" s="278" t="s">
        <v>9631</v>
      </c>
      <c r="B436" s="278" t="s">
        <v>10904</v>
      </c>
      <c r="C436" s="111" t="s">
        <v>9911</v>
      </c>
      <c r="D436" s="301" t="s">
        <v>9912</v>
      </c>
      <c r="E436" s="302" t="s">
        <v>10977</v>
      </c>
      <c r="F436" s="278" t="s">
        <v>4109</v>
      </c>
      <c r="G436" s="278" t="s">
        <v>4108</v>
      </c>
      <c r="H436" s="303" t="s">
        <v>10925</v>
      </c>
      <c r="I436" s="301" t="s">
        <v>10926</v>
      </c>
      <c r="J436" s="303" t="s">
        <v>10915</v>
      </c>
    </row>
    <row r="437" spans="1:10" ht="14.5" customHeight="1" x14ac:dyDescent="0.25">
      <c r="A437" s="278" t="s">
        <v>9631</v>
      </c>
      <c r="B437" s="278" t="s">
        <v>10904</v>
      </c>
      <c r="C437" s="111" t="s">
        <v>9911</v>
      </c>
      <c r="D437" s="301" t="s">
        <v>9912</v>
      </c>
      <c r="E437" s="302" t="s">
        <v>10977</v>
      </c>
      <c r="F437" s="278" t="s">
        <v>4109</v>
      </c>
      <c r="G437" s="278" t="s">
        <v>4108</v>
      </c>
      <c r="H437" s="303" t="s">
        <v>10927</v>
      </c>
      <c r="I437" s="301" t="s">
        <v>10928</v>
      </c>
      <c r="J437" s="303" t="s">
        <v>10915</v>
      </c>
    </row>
    <row r="438" spans="1:10" ht="14.5" customHeight="1" x14ac:dyDescent="0.25">
      <c r="A438" s="278" t="s">
        <v>9631</v>
      </c>
      <c r="B438" s="278" t="s">
        <v>10904</v>
      </c>
      <c r="C438" s="111" t="s">
        <v>9911</v>
      </c>
      <c r="D438" s="301" t="s">
        <v>9912</v>
      </c>
      <c r="E438" s="302" t="s">
        <v>10977</v>
      </c>
      <c r="F438" s="278" t="s">
        <v>4109</v>
      </c>
      <c r="G438" s="278" t="s">
        <v>4108</v>
      </c>
      <c r="H438" s="303" t="s">
        <v>11062</v>
      </c>
      <c r="I438" s="301" t="s">
        <v>11063</v>
      </c>
      <c r="J438" s="303" t="s">
        <v>10969</v>
      </c>
    </row>
    <row r="439" spans="1:10" ht="14.5" customHeight="1" x14ac:dyDescent="0.25">
      <c r="A439" s="278" t="s">
        <v>9631</v>
      </c>
      <c r="B439" s="278" t="s">
        <v>10904</v>
      </c>
      <c r="C439" s="111" t="s">
        <v>9911</v>
      </c>
      <c r="D439" s="301" t="s">
        <v>9912</v>
      </c>
      <c r="E439" s="302" t="s">
        <v>10977</v>
      </c>
      <c r="F439" s="278" t="s">
        <v>4109</v>
      </c>
      <c r="G439" s="278" t="s">
        <v>4108</v>
      </c>
      <c r="H439" s="303" t="s">
        <v>11064</v>
      </c>
      <c r="I439" s="301" t="s">
        <v>11065</v>
      </c>
      <c r="J439" s="303" t="s">
        <v>10969</v>
      </c>
    </row>
    <row r="440" spans="1:10" ht="14.5" customHeight="1" x14ac:dyDescent="0.25">
      <c r="A440" s="278" t="s">
        <v>9631</v>
      </c>
      <c r="B440" s="278" t="s">
        <v>10904</v>
      </c>
      <c r="C440" s="111" t="s">
        <v>9911</v>
      </c>
      <c r="D440" s="301" t="s">
        <v>9912</v>
      </c>
      <c r="E440" s="302" t="s">
        <v>10977</v>
      </c>
      <c r="F440" s="278" t="s">
        <v>4109</v>
      </c>
      <c r="G440" s="278" t="s">
        <v>4108</v>
      </c>
      <c r="H440" s="303" t="s">
        <v>11066</v>
      </c>
      <c r="I440" s="301" t="s">
        <v>11067</v>
      </c>
      <c r="J440" s="303" t="s">
        <v>10969</v>
      </c>
    </row>
    <row r="441" spans="1:10" ht="14.5" customHeight="1" x14ac:dyDescent="0.25">
      <c r="A441" s="278" t="s">
        <v>9631</v>
      </c>
      <c r="B441" s="278" t="s">
        <v>10904</v>
      </c>
      <c r="C441" s="111" t="s">
        <v>9911</v>
      </c>
      <c r="D441" s="301" t="s">
        <v>9912</v>
      </c>
      <c r="E441" s="302" t="s">
        <v>10977</v>
      </c>
      <c r="F441" s="278" t="s">
        <v>4109</v>
      </c>
      <c r="G441" s="278" t="s">
        <v>4108</v>
      </c>
      <c r="H441" s="303" t="s">
        <v>10929</v>
      </c>
      <c r="I441" s="301" t="s">
        <v>10930</v>
      </c>
      <c r="J441" s="303" t="s">
        <v>10915</v>
      </c>
    </row>
    <row r="442" spans="1:10" ht="14.5" customHeight="1" x14ac:dyDescent="0.25">
      <c r="A442" s="278" t="s">
        <v>9631</v>
      </c>
      <c r="B442" s="278" t="s">
        <v>10904</v>
      </c>
      <c r="C442" s="111" t="s">
        <v>9911</v>
      </c>
      <c r="D442" s="301" t="s">
        <v>9912</v>
      </c>
      <c r="E442" s="302" t="s">
        <v>10977</v>
      </c>
      <c r="F442" s="278" t="s">
        <v>4109</v>
      </c>
      <c r="G442" s="278" t="s">
        <v>4108</v>
      </c>
      <c r="H442" s="303" t="s">
        <v>11068</v>
      </c>
      <c r="I442" s="301" t="s">
        <v>11069</v>
      </c>
      <c r="J442" s="303" t="s">
        <v>10969</v>
      </c>
    </row>
    <row r="443" spans="1:10" ht="14.5" customHeight="1" x14ac:dyDescent="0.25">
      <c r="A443" s="278" t="s">
        <v>9631</v>
      </c>
      <c r="B443" s="278" t="s">
        <v>10904</v>
      </c>
      <c r="C443" s="111" t="s">
        <v>9911</v>
      </c>
      <c r="D443" s="301" t="s">
        <v>9912</v>
      </c>
      <c r="E443" s="302" t="s">
        <v>10977</v>
      </c>
      <c r="F443" s="278" t="s">
        <v>4109</v>
      </c>
      <c r="G443" s="278" t="s">
        <v>4108</v>
      </c>
      <c r="H443" s="303" t="s">
        <v>11070</v>
      </c>
      <c r="I443" s="301" t="s">
        <v>11071</v>
      </c>
      <c r="J443" s="303" t="s">
        <v>10969</v>
      </c>
    </row>
    <row r="444" spans="1:10" ht="14.5" customHeight="1" x14ac:dyDescent="0.25">
      <c r="A444" s="278" t="s">
        <v>9631</v>
      </c>
      <c r="B444" s="278" t="s">
        <v>10904</v>
      </c>
      <c r="C444" s="111" t="s">
        <v>9911</v>
      </c>
      <c r="D444" s="301" t="s">
        <v>9912</v>
      </c>
      <c r="E444" s="302" t="s">
        <v>10977</v>
      </c>
      <c r="F444" s="278" t="s">
        <v>4109</v>
      </c>
      <c r="G444" s="278" t="s">
        <v>4108</v>
      </c>
      <c r="H444" s="303" t="s">
        <v>10931</v>
      </c>
      <c r="I444" s="301" t="s">
        <v>10932</v>
      </c>
      <c r="J444" s="303" t="s">
        <v>10915</v>
      </c>
    </row>
    <row r="445" spans="1:10" ht="14.5" customHeight="1" x14ac:dyDescent="0.25">
      <c r="A445" s="278" t="s">
        <v>9631</v>
      </c>
      <c r="B445" s="278" t="s">
        <v>10904</v>
      </c>
      <c r="C445" s="111" t="s">
        <v>9911</v>
      </c>
      <c r="D445" s="301" t="s">
        <v>9912</v>
      </c>
      <c r="E445" s="302" t="s">
        <v>10977</v>
      </c>
      <c r="F445" s="278" t="s">
        <v>4109</v>
      </c>
      <c r="G445" s="278" t="s">
        <v>4108</v>
      </c>
      <c r="H445" s="303" t="s">
        <v>11072</v>
      </c>
      <c r="I445" s="301" t="s">
        <v>11073</v>
      </c>
      <c r="J445" s="303" t="s">
        <v>10969</v>
      </c>
    </row>
    <row r="446" spans="1:10" ht="14.5" customHeight="1" x14ac:dyDescent="0.25">
      <c r="A446" s="278" t="s">
        <v>9631</v>
      </c>
      <c r="B446" s="278" t="s">
        <v>10904</v>
      </c>
      <c r="C446" s="111" t="s">
        <v>9911</v>
      </c>
      <c r="D446" s="301" t="s">
        <v>9912</v>
      </c>
      <c r="E446" s="302" t="s">
        <v>10977</v>
      </c>
      <c r="F446" s="278" t="s">
        <v>4109</v>
      </c>
      <c r="G446" s="278" t="s">
        <v>4108</v>
      </c>
      <c r="H446" s="303" t="s">
        <v>10933</v>
      </c>
      <c r="I446" s="301" t="s">
        <v>10934</v>
      </c>
      <c r="J446" s="303" t="s">
        <v>10915</v>
      </c>
    </row>
    <row r="447" spans="1:10" ht="14.5" customHeight="1" x14ac:dyDescent="0.25">
      <c r="A447" s="278" t="s">
        <v>9631</v>
      </c>
      <c r="B447" s="278" t="s">
        <v>10904</v>
      </c>
      <c r="C447" s="111" t="s">
        <v>9911</v>
      </c>
      <c r="D447" s="301" t="s">
        <v>9912</v>
      </c>
      <c r="E447" s="302" t="s">
        <v>10977</v>
      </c>
      <c r="F447" s="278" t="s">
        <v>4109</v>
      </c>
      <c r="G447" s="278" t="s">
        <v>4108</v>
      </c>
      <c r="H447" s="303" t="s">
        <v>11074</v>
      </c>
      <c r="I447" s="301" t="s">
        <v>11075</v>
      </c>
      <c r="J447" s="303" t="s">
        <v>10969</v>
      </c>
    </row>
    <row r="448" spans="1:10" ht="14.5" customHeight="1" x14ac:dyDescent="0.25">
      <c r="A448" s="278" t="s">
        <v>9631</v>
      </c>
      <c r="B448" s="278" t="s">
        <v>10904</v>
      </c>
      <c r="C448" s="111" t="s">
        <v>9911</v>
      </c>
      <c r="D448" s="301" t="s">
        <v>9912</v>
      </c>
      <c r="E448" s="302" t="s">
        <v>10977</v>
      </c>
      <c r="F448" s="278" t="s">
        <v>4109</v>
      </c>
      <c r="G448" s="278" t="s">
        <v>4108</v>
      </c>
      <c r="H448" s="303" t="s">
        <v>10935</v>
      </c>
      <c r="I448" s="301" t="s">
        <v>11076</v>
      </c>
      <c r="J448" s="303" t="s">
        <v>10915</v>
      </c>
    </row>
    <row r="449" spans="1:10" ht="14.5" customHeight="1" x14ac:dyDescent="0.25">
      <c r="A449" s="278" t="s">
        <v>9631</v>
      </c>
      <c r="B449" s="278" t="s">
        <v>10904</v>
      </c>
      <c r="C449" s="111" t="s">
        <v>9911</v>
      </c>
      <c r="D449" s="301" t="s">
        <v>9912</v>
      </c>
      <c r="E449" s="302" t="s">
        <v>10977</v>
      </c>
      <c r="F449" s="278" t="s">
        <v>4109</v>
      </c>
      <c r="G449" s="278" t="s">
        <v>4108</v>
      </c>
      <c r="H449" s="303" t="s">
        <v>10937</v>
      </c>
      <c r="I449" s="301" t="s">
        <v>10938</v>
      </c>
      <c r="J449" s="303" t="s">
        <v>10915</v>
      </c>
    </row>
    <row r="450" spans="1:10" ht="14.5" customHeight="1" x14ac:dyDescent="0.25">
      <c r="A450" s="278" t="s">
        <v>9631</v>
      </c>
      <c r="B450" s="278" t="s">
        <v>10904</v>
      </c>
      <c r="C450" s="111" t="s">
        <v>9911</v>
      </c>
      <c r="D450" s="301" t="s">
        <v>9912</v>
      </c>
      <c r="E450" s="302" t="s">
        <v>10977</v>
      </c>
      <c r="F450" s="278" t="s">
        <v>4109</v>
      </c>
      <c r="G450" s="278" t="s">
        <v>4108</v>
      </c>
      <c r="H450" s="303" t="s">
        <v>10939</v>
      </c>
      <c r="I450" s="301" t="s">
        <v>11077</v>
      </c>
      <c r="J450" s="303" t="s">
        <v>10915</v>
      </c>
    </row>
    <row r="451" spans="1:10" ht="14.5" customHeight="1" x14ac:dyDescent="0.25">
      <c r="A451" s="278" t="s">
        <v>9631</v>
      </c>
      <c r="B451" s="278" t="s">
        <v>10904</v>
      </c>
      <c r="C451" s="111" t="s">
        <v>9911</v>
      </c>
      <c r="D451" s="301" t="s">
        <v>9912</v>
      </c>
      <c r="E451" s="302" t="s">
        <v>10977</v>
      </c>
      <c r="F451" s="278" t="s">
        <v>4109</v>
      </c>
      <c r="G451" s="278" t="s">
        <v>4108</v>
      </c>
      <c r="H451" s="303" t="s">
        <v>10941</v>
      </c>
      <c r="I451" s="301" t="s">
        <v>11078</v>
      </c>
      <c r="J451" s="303" t="s">
        <v>10915</v>
      </c>
    </row>
    <row r="452" spans="1:10" ht="14.5" customHeight="1" x14ac:dyDescent="0.25">
      <c r="A452" s="278" t="s">
        <v>9631</v>
      </c>
      <c r="B452" s="278" t="s">
        <v>10904</v>
      </c>
      <c r="C452" s="111" t="s">
        <v>9911</v>
      </c>
      <c r="D452" s="301" t="s">
        <v>9912</v>
      </c>
      <c r="E452" s="302" t="s">
        <v>10977</v>
      </c>
      <c r="F452" s="278" t="s">
        <v>4109</v>
      </c>
      <c r="G452" s="278" t="s">
        <v>4108</v>
      </c>
      <c r="H452" s="303" t="s">
        <v>10943</v>
      </c>
      <c r="I452" s="301" t="s">
        <v>11079</v>
      </c>
      <c r="J452" s="303" t="s">
        <v>10915</v>
      </c>
    </row>
    <row r="453" spans="1:10" ht="14.5" customHeight="1" x14ac:dyDescent="0.25">
      <c r="A453" s="278" t="s">
        <v>9631</v>
      </c>
      <c r="B453" s="278" t="s">
        <v>10904</v>
      </c>
      <c r="C453" s="111" t="s">
        <v>9911</v>
      </c>
      <c r="D453" s="301" t="s">
        <v>9912</v>
      </c>
      <c r="E453" s="302" t="s">
        <v>10977</v>
      </c>
      <c r="F453" s="278" t="s">
        <v>4109</v>
      </c>
      <c r="G453" s="278" t="s">
        <v>4108</v>
      </c>
      <c r="H453" s="303" t="s">
        <v>10945</v>
      </c>
      <c r="I453" s="301" t="s">
        <v>11080</v>
      </c>
      <c r="J453" s="303" t="s">
        <v>10915</v>
      </c>
    </row>
    <row r="454" spans="1:10" ht="14.5" customHeight="1" x14ac:dyDescent="0.25">
      <c r="A454" s="278" t="s">
        <v>9631</v>
      </c>
      <c r="B454" s="278" t="s">
        <v>10904</v>
      </c>
      <c r="C454" s="111" t="s">
        <v>9911</v>
      </c>
      <c r="D454" s="301" t="s">
        <v>9912</v>
      </c>
      <c r="E454" s="302" t="s">
        <v>10977</v>
      </c>
      <c r="F454" s="278" t="s">
        <v>4109</v>
      </c>
      <c r="G454" s="278" t="s">
        <v>4108</v>
      </c>
      <c r="H454" s="303" t="s">
        <v>11081</v>
      </c>
      <c r="I454" s="301" t="s">
        <v>11082</v>
      </c>
      <c r="J454" s="303" t="s">
        <v>10969</v>
      </c>
    </row>
    <row r="455" spans="1:10" ht="14.5" customHeight="1" x14ac:dyDescent="0.25">
      <c r="A455" s="278" t="s">
        <v>9631</v>
      </c>
      <c r="B455" s="278" t="s">
        <v>10904</v>
      </c>
      <c r="C455" s="111" t="s">
        <v>9911</v>
      </c>
      <c r="D455" s="301" t="s">
        <v>9912</v>
      </c>
      <c r="E455" s="302" t="s">
        <v>10977</v>
      </c>
      <c r="F455" s="278" t="s">
        <v>4109</v>
      </c>
      <c r="G455" s="278" t="s">
        <v>4108</v>
      </c>
      <c r="H455" s="303" t="s">
        <v>10947</v>
      </c>
      <c r="I455" s="301" t="s">
        <v>10948</v>
      </c>
      <c r="J455" s="303" t="s">
        <v>10915</v>
      </c>
    </row>
    <row r="456" spans="1:10" ht="14.5" customHeight="1" x14ac:dyDescent="0.25">
      <c r="A456" s="278" t="s">
        <v>9631</v>
      </c>
      <c r="B456" s="278" t="s">
        <v>10904</v>
      </c>
      <c r="C456" s="111" t="s">
        <v>9911</v>
      </c>
      <c r="D456" s="301" t="s">
        <v>9912</v>
      </c>
      <c r="E456" s="302" t="s">
        <v>10977</v>
      </c>
      <c r="F456" s="278" t="s">
        <v>4109</v>
      </c>
      <c r="G456" s="278" t="s">
        <v>4108</v>
      </c>
      <c r="H456" s="303" t="s">
        <v>10949</v>
      </c>
      <c r="I456" s="301" t="s">
        <v>10950</v>
      </c>
      <c r="J456" s="303" t="s">
        <v>10915</v>
      </c>
    </row>
    <row r="457" spans="1:10" ht="14.5" customHeight="1" x14ac:dyDescent="0.25">
      <c r="A457" s="278" t="s">
        <v>9631</v>
      </c>
      <c r="B457" s="278" t="s">
        <v>10904</v>
      </c>
      <c r="C457" s="111" t="s">
        <v>9911</v>
      </c>
      <c r="D457" s="301" t="s">
        <v>9912</v>
      </c>
      <c r="E457" s="302" t="s">
        <v>10977</v>
      </c>
      <c r="F457" s="278" t="s">
        <v>4109</v>
      </c>
      <c r="G457" s="278" t="s">
        <v>4108</v>
      </c>
      <c r="H457" s="303" t="s">
        <v>11113</v>
      </c>
      <c r="I457" s="301" t="s">
        <v>11114</v>
      </c>
      <c r="J457" s="303" t="s">
        <v>10972</v>
      </c>
    </row>
    <row r="458" spans="1:10" ht="14.5" customHeight="1" x14ac:dyDescent="0.25">
      <c r="A458" s="278" t="s">
        <v>9631</v>
      </c>
      <c r="B458" s="278" t="s">
        <v>10904</v>
      </c>
      <c r="C458" s="111" t="s">
        <v>9911</v>
      </c>
      <c r="D458" s="301" t="s">
        <v>9912</v>
      </c>
      <c r="E458" s="302" t="s">
        <v>10977</v>
      </c>
      <c r="F458" s="278" t="s">
        <v>4109</v>
      </c>
      <c r="G458" s="278" t="s">
        <v>4108</v>
      </c>
      <c r="H458" s="303" t="s">
        <v>11128</v>
      </c>
      <c r="I458" s="301" t="s">
        <v>11129</v>
      </c>
      <c r="J458" s="303" t="s">
        <v>10972</v>
      </c>
    </row>
    <row r="459" spans="1:10" ht="14.5" customHeight="1" x14ac:dyDescent="0.25">
      <c r="A459" s="278" t="s">
        <v>9631</v>
      </c>
      <c r="B459" s="278" t="s">
        <v>10904</v>
      </c>
      <c r="C459" s="111" t="s">
        <v>9911</v>
      </c>
      <c r="D459" s="301" t="s">
        <v>9912</v>
      </c>
      <c r="E459" s="302" t="s">
        <v>10977</v>
      </c>
      <c r="F459" s="278" t="s">
        <v>4109</v>
      </c>
      <c r="G459" s="278" t="s">
        <v>4108</v>
      </c>
      <c r="H459" s="303" t="s">
        <v>11115</v>
      </c>
      <c r="I459" s="301" t="s">
        <v>11116</v>
      </c>
      <c r="J459" s="303" t="s">
        <v>10972</v>
      </c>
    </row>
    <row r="460" spans="1:10" ht="14.5" customHeight="1" x14ac:dyDescent="0.25">
      <c r="A460" s="278" t="s">
        <v>9631</v>
      </c>
      <c r="B460" s="278" t="s">
        <v>10904</v>
      </c>
      <c r="C460" s="111" t="s">
        <v>9911</v>
      </c>
      <c r="D460" s="301" t="s">
        <v>9912</v>
      </c>
      <c r="E460" s="302" t="s">
        <v>10977</v>
      </c>
      <c r="F460" s="278" t="s">
        <v>4109</v>
      </c>
      <c r="G460" s="278" t="s">
        <v>4108</v>
      </c>
      <c r="H460" s="303" t="s">
        <v>11119</v>
      </c>
      <c r="I460" s="301" t="s">
        <v>11120</v>
      </c>
      <c r="J460" s="303" t="s">
        <v>10972</v>
      </c>
    </row>
    <row r="461" spans="1:10" ht="14.5" customHeight="1" x14ac:dyDescent="0.25">
      <c r="A461" s="278" t="s">
        <v>9631</v>
      </c>
      <c r="B461" s="278" t="s">
        <v>10904</v>
      </c>
      <c r="C461" s="111" t="s">
        <v>9911</v>
      </c>
      <c r="D461" s="301" t="s">
        <v>9912</v>
      </c>
      <c r="E461" s="302" t="s">
        <v>10977</v>
      </c>
      <c r="F461" s="278" t="s">
        <v>4109</v>
      </c>
      <c r="G461" s="278" t="s">
        <v>4108</v>
      </c>
      <c r="H461" s="303" t="s">
        <v>11130</v>
      </c>
      <c r="I461" s="301" t="s">
        <v>11131</v>
      </c>
      <c r="J461" s="303" t="s">
        <v>10972</v>
      </c>
    </row>
    <row r="462" spans="1:10" ht="14.5" customHeight="1" x14ac:dyDescent="0.25">
      <c r="A462" s="278" t="s">
        <v>9631</v>
      </c>
      <c r="B462" s="278" t="s">
        <v>10904</v>
      </c>
      <c r="C462" s="111" t="s">
        <v>9911</v>
      </c>
      <c r="D462" s="301" t="s">
        <v>9912</v>
      </c>
      <c r="E462" s="302" t="s">
        <v>10977</v>
      </c>
      <c r="F462" s="278" t="s">
        <v>4109</v>
      </c>
      <c r="G462" s="278" t="s">
        <v>4108</v>
      </c>
      <c r="H462" s="303" t="s">
        <v>11132</v>
      </c>
      <c r="I462" s="301" t="s">
        <v>11133</v>
      </c>
      <c r="J462" s="303" t="s">
        <v>10972</v>
      </c>
    </row>
    <row r="463" spans="1:10" ht="14.5" customHeight="1" x14ac:dyDescent="0.25">
      <c r="A463" s="278" t="s">
        <v>9631</v>
      </c>
      <c r="B463" s="278" t="s">
        <v>10904</v>
      </c>
      <c r="C463" s="111" t="s">
        <v>9911</v>
      </c>
      <c r="D463" s="301" t="s">
        <v>9912</v>
      </c>
      <c r="E463" s="302" t="s">
        <v>10977</v>
      </c>
      <c r="F463" s="278" t="s">
        <v>4109</v>
      </c>
      <c r="G463" s="278" t="s">
        <v>4108</v>
      </c>
      <c r="H463" s="303" t="s">
        <v>11134</v>
      </c>
      <c r="I463" s="301" t="s">
        <v>11135</v>
      </c>
      <c r="J463" s="303" t="s">
        <v>10972</v>
      </c>
    </row>
    <row r="464" spans="1:10" ht="14.5" customHeight="1" x14ac:dyDescent="0.25">
      <c r="A464" s="278" t="s">
        <v>9631</v>
      </c>
      <c r="B464" s="278" t="s">
        <v>10904</v>
      </c>
      <c r="C464" s="111" t="s">
        <v>9911</v>
      </c>
      <c r="D464" s="301" t="s">
        <v>9912</v>
      </c>
      <c r="E464" s="302" t="s">
        <v>10977</v>
      </c>
      <c r="F464" s="278" t="s">
        <v>4109</v>
      </c>
      <c r="G464" s="278" t="s">
        <v>4108</v>
      </c>
      <c r="H464" s="303" t="s">
        <v>11136</v>
      </c>
      <c r="I464" s="301" t="s">
        <v>11137</v>
      </c>
      <c r="J464" s="303" t="s">
        <v>10972</v>
      </c>
    </row>
    <row r="465" spans="1:10" ht="14.5" customHeight="1" x14ac:dyDescent="0.25">
      <c r="A465" s="278" t="s">
        <v>9631</v>
      </c>
      <c r="B465" s="278" t="s">
        <v>10904</v>
      </c>
      <c r="C465" s="111" t="s">
        <v>9911</v>
      </c>
      <c r="D465" s="301" t="s">
        <v>9912</v>
      </c>
      <c r="E465" s="302" t="s">
        <v>10977</v>
      </c>
      <c r="F465" s="278" t="s">
        <v>4109</v>
      </c>
      <c r="G465" s="278" t="s">
        <v>4108</v>
      </c>
      <c r="H465" s="303" t="s">
        <v>11117</v>
      </c>
      <c r="I465" s="301" t="s">
        <v>11118</v>
      </c>
      <c r="J465" s="303" t="s">
        <v>10972</v>
      </c>
    </row>
    <row r="466" spans="1:10" ht="14.5" customHeight="1" x14ac:dyDescent="0.25">
      <c r="A466" s="278" t="s">
        <v>9631</v>
      </c>
      <c r="B466" s="278" t="s">
        <v>10904</v>
      </c>
      <c r="C466" s="111" t="s">
        <v>9913</v>
      </c>
      <c r="D466" s="301" t="s">
        <v>9914</v>
      </c>
      <c r="E466" s="306" t="s">
        <v>10915</v>
      </c>
      <c r="F466" s="307" t="s">
        <v>4108</v>
      </c>
      <c r="G466" s="278" t="s">
        <v>4108</v>
      </c>
      <c r="H466" s="303" t="s">
        <v>11138</v>
      </c>
      <c r="I466" s="301" t="s">
        <v>11139</v>
      </c>
      <c r="J466" s="303" t="s">
        <v>10915</v>
      </c>
    </row>
    <row r="467" spans="1:10" ht="14.5" customHeight="1" x14ac:dyDescent="0.25">
      <c r="A467" s="278" t="s">
        <v>9631</v>
      </c>
      <c r="B467" s="278" t="s">
        <v>10904</v>
      </c>
      <c r="C467" s="111" t="s">
        <v>9913</v>
      </c>
      <c r="D467" s="301" t="s">
        <v>9914</v>
      </c>
      <c r="E467" s="306" t="s">
        <v>10915</v>
      </c>
      <c r="F467" s="307" t="s">
        <v>4108</v>
      </c>
      <c r="G467" s="278" t="s">
        <v>4108</v>
      </c>
      <c r="H467" s="303" t="s">
        <v>11140</v>
      </c>
      <c r="I467" s="301" t="s">
        <v>11141</v>
      </c>
      <c r="J467" s="303" t="s">
        <v>10915</v>
      </c>
    </row>
    <row r="468" spans="1:10" ht="14.5" customHeight="1" x14ac:dyDescent="0.25">
      <c r="A468" s="278" t="s">
        <v>9631</v>
      </c>
      <c r="B468" s="278" t="s">
        <v>10904</v>
      </c>
      <c r="C468" s="111" t="s">
        <v>9913</v>
      </c>
      <c r="D468" s="301" t="s">
        <v>9914</v>
      </c>
      <c r="E468" s="306" t="s">
        <v>10915</v>
      </c>
      <c r="F468" s="307" t="s">
        <v>4108</v>
      </c>
      <c r="G468" s="278" t="s">
        <v>4108</v>
      </c>
      <c r="H468" s="303" t="s">
        <v>11142</v>
      </c>
      <c r="I468" s="301" t="s">
        <v>9944</v>
      </c>
      <c r="J468" s="303"/>
    </row>
    <row r="469" spans="1:10" ht="14.5" customHeight="1" x14ac:dyDescent="0.25">
      <c r="A469" s="278" t="s">
        <v>9631</v>
      </c>
      <c r="B469" s="278" t="s">
        <v>10904</v>
      </c>
      <c r="C469" s="111" t="s">
        <v>9913</v>
      </c>
      <c r="D469" s="301" t="s">
        <v>9914</v>
      </c>
      <c r="E469" s="306" t="s">
        <v>10915</v>
      </c>
      <c r="F469" s="307" t="s">
        <v>4108</v>
      </c>
      <c r="G469" s="278" t="s">
        <v>4108</v>
      </c>
      <c r="H469" s="303"/>
      <c r="I469" s="301" t="s">
        <v>11105</v>
      </c>
      <c r="J469" s="303"/>
    </row>
    <row r="470" spans="1:10" ht="14.5" customHeight="1" x14ac:dyDescent="0.25">
      <c r="A470" s="278" t="s">
        <v>9631</v>
      </c>
      <c r="B470" s="278" t="s">
        <v>10904</v>
      </c>
      <c r="C470" s="111" t="s">
        <v>9915</v>
      </c>
      <c r="D470" s="301" t="s">
        <v>9916</v>
      </c>
      <c r="E470" s="306" t="s">
        <v>10915</v>
      </c>
      <c r="F470" s="307" t="s">
        <v>4108</v>
      </c>
      <c r="G470" s="278" t="s">
        <v>4108</v>
      </c>
      <c r="H470" s="303"/>
      <c r="I470" s="301" t="s">
        <v>11105</v>
      </c>
      <c r="J470" s="303"/>
    </row>
    <row r="471" spans="1:10" ht="14.5" customHeight="1" x14ac:dyDescent="0.25">
      <c r="A471" s="278" t="s">
        <v>9631</v>
      </c>
      <c r="B471" s="278" t="s">
        <v>10904</v>
      </c>
      <c r="C471" s="111" t="s">
        <v>9917</v>
      </c>
      <c r="D471" s="301" t="s">
        <v>11143</v>
      </c>
      <c r="E471" s="306" t="s">
        <v>10915</v>
      </c>
      <c r="F471" s="307" t="s">
        <v>4108</v>
      </c>
      <c r="G471" s="278" t="s">
        <v>4108</v>
      </c>
      <c r="H471" s="303" t="s">
        <v>11138</v>
      </c>
      <c r="I471" s="301" t="s">
        <v>11139</v>
      </c>
      <c r="J471" s="303" t="s">
        <v>10915</v>
      </c>
    </row>
    <row r="472" spans="1:10" ht="14.5" customHeight="1" x14ac:dyDescent="0.25">
      <c r="A472" s="278" t="s">
        <v>9631</v>
      </c>
      <c r="B472" s="278" t="s">
        <v>10904</v>
      </c>
      <c r="C472" s="111" t="s">
        <v>9917</v>
      </c>
      <c r="D472" s="301" t="s">
        <v>11143</v>
      </c>
      <c r="E472" s="306" t="s">
        <v>10915</v>
      </c>
      <c r="F472" s="307" t="s">
        <v>4108</v>
      </c>
      <c r="G472" s="278" t="s">
        <v>4108</v>
      </c>
      <c r="H472" s="303" t="s">
        <v>11142</v>
      </c>
      <c r="I472" s="301" t="s">
        <v>9944</v>
      </c>
      <c r="J472" s="303"/>
    </row>
    <row r="473" spans="1:10" ht="14.5" customHeight="1" x14ac:dyDescent="0.25">
      <c r="A473" s="278" t="s">
        <v>9631</v>
      </c>
      <c r="B473" s="278" t="s">
        <v>10904</v>
      </c>
      <c r="C473" s="111" t="s">
        <v>9917</v>
      </c>
      <c r="D473" s="301" t="s">
        <v>11143</v>
      </c>
      <c r="E473" s="306" t="s">
        <v>10915</v>
      </c>
      <c r="F473" s="307" t="s">
        <v>4108</v>
      </c>
      <c r="G473" s="278" t="s">
        <v>4108</v>
      </c>
      <c r="H473" s="303"/>
      <c r="I473" s="301" t="s">
        <v>11105</v>
      </c>
      <c r="J473" s="303"/>
    </row>
    <row r="474" spans="1:10" ht="14.5" customHeight="1" x14ac:dyDescent="0.25">
      <c r="A474" s="278" t="s">
        <v>9631</v>
      </c>
      <c r="B474" s="278" t="s">
        <v>10904</v>
      </c>
      <c r="C474" s="111" t="s">
        <v>9919</v>
      </c>
      <c r="D474" s="301" t="s">
        <v>9920</v>
      </c>
      <c r="E474" s="306" t="s">
        <v>10915</v>
      </c>
      <c r="F474" s="307" t="s">
        <v>4108</v>
      </c>
      <c r="G474" s="278" t="s">
        <v>4108</v>
      </c>
      <c r="H474" s="303"/>
      <c r="I474" s="301" t="s">
        <v>11105</v>
      </c>
      <c r="J474" s="303"/>
    </row>
    <row r="475" spans="1:10" s="305" customFormat="1" ht="14.5" customHeight="1" x14ac:dyDescent="0.25">
      <c r="A475" s="278" t="s">
        <v>9631</v>
      </c>
      <c r="B475" s="278" t="s">
        <v>10904</v>
      </c>
      <c r="C475" s="111" t="s">
        <v>9921</v>
      </c>
      <c r="D475" s="301" t="s">
        <v>9922</v>
      </c>
      <c r="E475" s="306" t="s">
        <v>10915</v>
      </c>
      <c r="F475" s="307" t="s">
        <v>4108</v>
      </c>
      <c r="G475" s="278" t="s">
        <v>4108</v>
      </c>
      <c r="H475" s="303"/>
      <c r="I475" s="301" t="s">
        <v>11105</v>
      </c>
      <c r="J475" s="303"/>
    </row>
    <row r="476" spans="1:10" ht="14.5" customHeight="1" x14ac:dyDescent="0.25">
      <c r="A476" s="278" t="s">
        <v>9631</v>
      </c>
      <c r="B476" s="278" t="s">
        <v>10904</v>
      </c>
      <c r="C476" s="111" t="s">
        <v>9923</v>
      </c>
      <c r="D476" s="301" t="s">
        <v>9924</v>
      </c>
      <c r="E476" s="306" t="s">
        <v>10915</v>
      </c>
      <c r="F476" s="307" t="s">
        <v>4108</v>
      </c>
      <c r="G476" s="278" t="s">
        <v>4108</v>
      </c>
      <c r="H476" s="303" t="s">
        <v>10958</v>
      </c>
      <c r="I476" s="301" t="s">
        <v>10959</v>
      </c>
      <c r="J476" s="303" t="s">
        <v>10915</v>
      </c>
    </row>
    <row r="477" spans="1:10" ht="14.5" customHeight="1" x14ac:dyDescent="0.25">
      <c r="A477" s="278" t="s">
        <v>9631</v>
      </c>
      <c r="B477" s="278" t="s">
        <v>10904</v>
      </c>
      <c r="C477" s="111" t="s">
        <v>9925</v>
      </c>
      <c r="D477" s="301" t="s">
        <v>9926</v>
      </c>
      <c r="E477" s="306" t="s">
        <v>10915</v>
      </c>
      <c r="F477" s="307" t="s">
        <v>4108</v>
      </c>
      <c r="G477" s="278" t="s">
        <v>4108</v>
      </c>
      <c r="H477" s="303" t="s">
        <v>11144</v>
      </c>
      <c r="I477" s="301" t="s">
        <v>11145</v>
      </c>
      <c r="J477" s="303" t="s">
        <v>10915</v>
      </c>
    </row>
    <row r="478" spans="1:10" ht="14.5" customHeight="1" x14ac:dyDescent="0.25">
      <c r="A478" s="278" t="s">
        <v>9631</v>
      </c>
      <c r="B478" s="278" t="s">
        <v>10904</v>
      </c>
      <c r="C478" s="111" t="s">
        <v>9927</v>
      </c>
      <c r="D478" s="301" t="s">
        <v>9928</v>
      </c>
      <c r="E478" s="306" t="s">
        <v>10915</v>
      </c>
      <c r="F478" s="307" t="s">
        <v>4108</v>
      </c>
      <c r="G478" s="278" t="s">
        <v>4108</v>
      </c>
      <c r="H478" s="303" t="s">
        <v>11146</v>
      </c>
      <c r="I478" s="301" t="s">
        <v>11147</v>
      </c>
      <c r="J478" s="303" t="s">
        <v>10915</v>
      </c>
    </row>
    <row r="479" spans="1:10" ht="14.5" customHeight="1" x14ac:dyDescent="0.25">
      <c r="A479" s="278" t="s">
        <v>9631</v>
      </c>
      <c r="B479" s="278" t="s">
        <v>10904</v>
      </c>
      <c r="C479" s="111" t="s">
        <v>9929</v>
      </c>
      <c r="D479" s="301" t="s">
        <v>9930</v>
      </c>
      <c r="E479" s="306" t="s">
        <v>10915</v>
      </c>
      <c r="F479" s="307" t="s">
        <v>4108</v>
      </c>
      <c r="G479" s="278" t="s">
        <v>4108</v>
      </c>
      <c r="H479" s="303" t="s">
        <v>11148</v>
      </c>
      <c r="I479" s="301" t="s">
        <v>11149</v>
      </c>
      <c r="J479" s="303" t="s">
        <v>10915</v>
      </c>
    </row>
    <row r="480" spans="1:10" ht="14.5" customHeight="1" x14ac:dyDescent="0.25">
      <c r="A480" s="278" t="s">
        <v>9631</v>
      </c>
      <c r="B480" s="278" t="s">
        <v>10904</v>
      </c>
      <c r="C480" s="111" t="s">
        <v>9931</v>
      </c>
      <c r="D480" s="301" t="s">
        <v>9932</v>
      </c>
      <c r="E480" s="306" t="s">
        <v>10915</v>
      </c>
      <c r="F480" s="307" t="s">
        <v>4108</v>
      </c>
      <c r="G480" s="278" t="s">
        <v>4108</v>
      </c>
      <c r="H480" s="303" t="s">
        <v>11150</v>
      </c>
      <c r="I480" s="301" t="s">
        <v>11151</v>
      </c>
      <c r="J480" s="303" t="s">
        <v>10915</v>
      </c>
    </row>
    <row r="481" spans="1:10" ht="14.5" customHeight="1" x14ac:dyDescent="0.25">
      <c r="A481" s="278" t="s">
        <v>9631</v>
      </c>
      <c r="B481" s="278" t="s">
        <v>10904</v>
      </c>
      <c r="C481" s="111" t="s">
        <v>9933</v>
      </c>
      <c r="D481" s="301" t="s">
        <v>9934</v>
      </c>
      <c r="E481" s="306" t="s">
        <v>10915</v>
      </c>
      <c r="F481" s="307" t="s">
        <v>4108</v>
      </c>
      <c r="G481" s="278" t="s">
        <v>4108</v>
      </c>
      <c r="H481" s="303"/>
      <c r="I481" s="301" t="s">
        <v>11105</v>
      </c>
      <c r="J481" s="303"/>
    </row>
    <row r="482" spans="1:10" ht="14.5" customHeight="1" x14ac:dyDescent="0.25">
      <c r="A482" s="278" t="s">
        <v>9631</v>
      </c>
      <c r="B482" s="278" t="s">
        <v>11152</v>
      </c>
      <c r="C482" s="111" t="s">
        <v>9936</v>
      </c>
      <c r="D482" s="301" t="s">
        <v>9937</v>
      </c>
      <c r="E482" s="306" t="s">
        <v>10915</v>
      </c>
      <c r="F482" s="307" t="s">
        <v>4108</v>
      </c>
      <c r="G482" s="278" t="s">
        <v>4108</v>
      </c>
      <c r="H482" s="303" t="s">
        <v>11153</v>
      </c>
      <c r="I482" s="301" t="s">
        <v>11154</v>
      </c>
      <c r="J482" s="303"/>
    </row>
    <row r="483" spans="1:10" ht="14.5" customHeight="1" x14ac:dyDescent="0.25">
      <c r="A483" s="278" t="s">
        <v>9631</v>
      </c>
      <c r="B483" s="278" t="s">
        <v>11152</v>
      </c>
      <c r="C483" s="111" t="s">
        <v>9938</v>
      </c>
      <c r="D483" s="301" t="s">
        <v>9939</v>
      </c>
      <c r="E483" s="306" t="s">
        <v>10915</v>
      </c>
      <c r="F483" s="307" t="s">
        <v>4108</v>
      </c>
      <c r="G483" s="278" t="s">
        <v>4108</v>
      </c>
      <c r="H483" s="303" t="s">
        <v>11155</v>
      </c>
      <c r="I483" s="301" t="s">
        <v>11156</v>
      </c>
      <c r="J483" s="303"/>
    </row>
    <row r="484" spans="1:10" ht="14.5" customHeight="1" x14ac:dyDescent="0.25">
      <c r="A484" s="278" t="s">
        <v>9631</v>
      </c>
      <c r="B484" s="278" t="s">
        <v>11152</v>
      </c>
      <c r="C484" s="111" t="s">
        <v>9940</v>
      </c>
      <c r="D484" s="301" t="s">
        <v>3773</v>
      </c>
      <c r="E484" s="306" t="s">
        <v>10915</v>
      </c>
      <c r="F484" s="307" t="s">
        <v>4108</v>
      </c>
      <c r="G484" s="278" t="s">
        <v>4108</v>
      </c>
      <c r="H484" s="303" t="s">
        <v>11157</v>
      </c>
      <c r="I484" s="301" t="s">
        <v>3773</v>
      </c>
      <c r="J484" s="303"/>
    </row>
    <row r="485" spans="1:10" ht="14.5" customHeight="1" x14ac:dyDescent="0.25">
      <c r="A485" s="278" t="s">
        <v>9631</v>
      </c>
      <c r="B485" s="278" t="s">
        <v>11152</v>
      </c>
      <c r="C485" s="111" t="s">
        <v>9941</v>
      </c>
      <c r="D485" s="301" t="s">
        <v>9942</v>
      </c>
      <c r="E485" s="306" t="s">
        <v>10915</v>
      </c>
      <c r="F485" s="307" t="s">
        <v>4108</v>
      </c>
      <c r="G485" s="278" t="s">
        <v>4108</v>
      </c>
      <c r="H485" s="303" t="s">
        <v>11158</v>
      </c>
      <c r="I485" s="301" t="s">
        <v>9942</v>
      </c>
      <c r="J485" s="303"/>
    </row>
    <row r="486" spans="1:10" ht="14.5" customHeight="1" x14ac:dyDescent="0.25">
      <c r="A486" s="278" t="s">
        <v>9631</v>
      </c>
      <c r="B486" s="278" t="s">
        <v>11152</v>
      </c>
      <c r="C486" s="111" t="s">
        <v>9943</v>
      </c>
      <c r="D486" s="301" t="s">
        <v>9944</v>
      </c>
      <c r="E486" s="306" t="s">
        <v>10915</v>
      </c>
      <c r="F486" s="307" t="s">
        <v>4108</v>
      </c>
      <c r="G486" s="278" t="s">
        <v>4108</v>
      </c>
      <c r="H486" s="303" t="s">
        <v>11142</v>
      </c>
      <c r="I486" s="301" t="s">
        <v>9944</v>
      </c>
      <c r="J486" s="303"/>
    </row>
    <row r="487" spans="1:10" ht="14.5" customHeight="1" x14ac:dyDescent="0.25">
      <c r="A487" s="278" t="s">
        <v>9631</v>
      </c>
      <c r="B487" s="278" t="s">
        <v>11152</v>
      </c>
      <c r="C487" s="111" t="s">
        <v>9945</v>
      </c>
      <c r="D487" s="301" t="s">
        <v>3771</v>
      </c>
      <c r="E487" s="306" t="s">
        <v>10915</v>
      </c>
      <c r="F487" s="307" t="s">
        <v>4108</v>
      </c>
      <c r="G487" s="278" t="s">
        <v>4108</v>
      </c>
      <c r="H487" s="303" t="s">
        <v>11138</v>
      </c>
      <c r="I487" s="301" t="s">
        <v>11139</v>
      </c>
      <c r="J487" s="303" t="s">
        <v>10915</v>
      </c>
    </row>
    <row r="488" spans="1:10" ht="14.5" customHeight="1" x14ac:dyDescent="0.25">
      <c r="A488" s="278" t="s">
        <v>9631</v>
      </c>
      <c r="B488" s="278" t="s">
        <v>11152</v>
      </c>
      <c r="C488" s="111" t="s">
        <v>9945</v>
      </c>
      <c r="D488" s="301" t="s">
        <v>3771</v>
      </c>
      <c r="E488" s="306" t="s">
        <v>10915</v>
      </c>
      <c r="F488" s="307" t="s">
        <v>4108</v>
      </c>
      <c r="G488" s="278" t="s">
        <v>4108</v>
      </c>
      <c r="H488" s="303" t="s">
        <v>11142</v>
      </c>
      <c r="I488" s="301" t="s">
        <v>9944</v>
      </c>
      <c r="J488" s="303"/>
    </row>
    <row r="489" spans="1:10" ht="14.5" customHeight="1" x14ac:dyDescent="0.25">
      <c r="A489" s="278" t="s">
        <v>9631</v>
      </c>
      <c r="B489" s="278" t="s">
        <v>11152</v>
      </c>
      <c r="C489" s="111" t="s">
        <v>9946</v>
      </c>
      <c r="D489" s="301" t="s">
        <v>9947</v>
      </c>
      <c r="E489" s="306" t="s">
        <v>10915</v>
      </c>
      <c r="F489" s="307" t="s">
        <v>4108</v>
      </c>
      <c r="G489" s="278" t="s">
        <v>4108</v>
      </c>
      <c r="H489" s="303" t="s">
        <v>11140</v>
      </c>
      <c r="I489" s="301" t="s">
        <v>11141</v>
      </c>
      <c r="J489" s="303" t="s">
        <v>10915</v>
      </c>
    </row>
    <row r="490" spans="1:10" ht="14.5" customHeight="1" x14ac:dyDescent="0.25">
      <c r="A490" s="278" t="s">
        <v>9631</v>
      </c>
      <c r="B490" s="278" t="s">
        <v>11152</v>
      </c>
      <c r="C490" s="111" t="s">
        <v>9949</v>
      </c>
      <c r="D490" s="301" t="s">
        <v>9950</v>
      </c>
      <c r="E490" s="306" t="s">
        <v>10915</v>
      </c>
      <c r="F490" s="307" t="s">
        <v>4108</v>
      </c>
      <c r="G490" s="278" t="s">
        <v>4108</v>
      </c>
      <c r="H490" s="303" t="s">
        <v>11159</v>
      </c>
      <c r="I490" s="301" t="s">
        <v>9950</v>
      </c>
      <c r="J490" s="303"/>
    </row>
    <row r="491" spans="1:10" ht="14.5" customHeight="1" x14ac:dyDescent="0.25">
      <c r="A491" s="278" t="s">
        <v>9631</v>
      </c>
      <c r="B491" s="278" t="s">
        <v>11152</v>
      </c>
      <c r="C491" s="111" t="s">
        <v>9951</v>
      </c>
      <c r="D491" s="301" t="s">
        <v>9952</v>
      </c>
      <c r="E491" s="306" t="s">
        <v>10915</v>
      </c>
      <c r="F491" s="307" t="s">
        <v>4108</v>
      </c>
      <c r="G491" s="278" t="s">
        <v>4108</v>
      </c>
      <c r="H491" s="303" t="s">
        <v>11160</v>
      </c>
      <c r="I491" s="301" t="s">
        <v>9952</v>
      </c>
      <c r="J491" s="303"/>
    </row>
    <row r="492" spans="1:10" ht="14.5" customHeight="1" x14ac:dyDescent="0.25">
      <c r="A492" s="278" t="s">
        <v>9631</v>
      </c>
      <c r="B492" s="278" t="s">
        <v>11152</v>
      </c>
      <c r="C492" s="111" t="s">
        <v>9953</v>
      </c>
      <c r="D492" s="301" t="s">
        <v>9954</v>
      </c>
      <c r="E492" s="306" t="s">
        <v>10915</v>
      </c>
      <c r="F492" s="307" t="s">
        <v>4108</v>
      </c>
      <c r="G492" s="278" t="s">
        <v>4108</v>
      </c>
      <c r="H492" s="303" t="s">
        <v>11138</v>
      </c>
      <c r="I492" s="301" t="s">
        <v>11139</v>
      </c>
      <c r="J492" s="303" t="s">
        <v>10915</v>
      </c>
    </row>
    <row r="493" spans="1:10" ht="14.5" customHeight="1" x14ac:dyDescent="0.25">
      <c r="A493" s="278" t="s">
        <v>9631</v>
      </c>
      <c r="B493" s="278" t="s">
        <v>11152</v>
      </c>
      <c r="C493" s="111" t="s">
        <v>9953</v>
      </c>
      <c r="D493" s="301" t="s">
        <v>9954</v>
      </c>
      <c r="E493" s="306" t="s">
        <v>10915</v>
      </c>
      <c r="F493" s="307" t="s">
        <v>4108</v>
      </c>
      <c r="G493" s="278" t="s">
        <v>4108</v>
      </c>
      <c r="H493" s="303" t="s">
        <v>11140</v>
      </c>
      <c r="I493" s="301" t="s">
        <v>11141</v>
      </c>
      <c r="J493" s="303" t="s">
        <v>10915</v>
      </c>
    </row>
    <row r="494" spans="1:10" ht="14.5" customHeight="1" x14ac:dyDescent="0.25">
      <c r="A494" s="278" t="s">
        <v>9631</v>
      </c>
      <c r="B494" s="278" t="s">
        <v>11152</v>
      </c>
      <c r="C494" s="111" t="s">
        <v>9953</v>
      </c>
      <c r="D494" s="301" t="s">
        <v>9954</v>
      </c>
      <c r="E494" s="306" t="s">
        <v>10915</v>
      </c>
      <c r="F494" s="307" t="s">
        <v>4108</v>
      </c>
      <c r="G494" s="278" t="s">
        <v>4108</v>
      </c>
      <c r="H494" s="303" t="s">
        <v>11142</v>
      </c>
      <c r="I494" s="301" t="s">
        <v>9944</v>
      </c>
      <c r="J494" s="303"/>
    </row>
    <row r="495" spans="1:10" ht="14.5" customHeight="1" x14ac:dyDescent="0.25">
      <c r="A495" s="278" t="s">
        <v>9631</v>
      </c>
      <c r="B495" s="278" t="s">
        <v>11152</v>
      </c>
      <c r="C495" s="111" t="s">
        <v>9956</v>
      </c>
      <c r="D495" s="301" t="s">
        <v>9957</v>
      </c>
      <c r="E495" s="306" t="s">
        <v>10915</v>
      </c>
      <c r="F495" s="307" t="s">
        <v>4108</v>
      </c>
      <c r="G495" s="278" t="s">
        <v>4108</v>
      </c>
      <c r="H495" s="303" t="s">
        <v>10907</v>
      </c>
      <c r="I495" s="301" t="s">
        <v>10908</v>
      </c>
      <c r="J495" s="303" t="s">
        <v>10906</v>
      </c>
    </row>
    <row r="496" spans="1:10" ht="14.5" customHeight="1" x14ac:dyDescent="0.25">
      <c r="A496" s="278" t="s">
        <v>9631</v>
      </c>
      <c r="B496" s="278" t="s">
        <v>11152</v>
      </c>
      <c r="C496" s="111" t="s">
        <v>9956</v>
      </c>
      <c r="D496" s="301" t="s">
        <v>9957</v>
      </c>
      <c r="E496" s="306" t="s">
        <v>10915</v>
      </c>
      <c r="F496" s="307" t="s">
        <v>4108</v>
      </c>
      <c r="G496" s="278" t="s">
        <v>4108</v>
      </c>
      <c r="H496" s="303" t="s">
        <v>10909</v>
      </c>
      <c r="I496" s="301" t="s">
        <v>10910</v>
      </c>
      <c r="J496" s="303" t="s">
        <v>10911</v>
      </c>
    </row>
    <row r="497" spans="1:10" ht="14.5" customHeight="1" x14ac:dyDescent="0.25">
      <c r="A497" s="278" t="s">
        <v>9631</v>
      </c>
      <c r="B497" s="278" t="s">
        <v>11152</v>
      </c>
      <c r="C497" s="111" t="s">
        <v>9956</v>
      </c>
      <c r="D497" s="301" t="s">
        <v>9957</v>
      </c>
      <c r="E497" s="306" t="s">
        <v>10915</v>
      </c>
      <c r="F497" s="307" t="s">
        <v>4108</v>
      </c>
      <c r="G497" s="278" t="s">
        <v>4108</v>
      </c>
      <c r="H497" s="303" t="s">
        <v>10912</v>
      </c>
      <c r="I497" s="301" t="s">
        <v>10913</v>
      </c>
      <c r="J497" s="303" t="s">
        <v>10914</v>
      </c>
    </row>
    <row r="498" spans="1:10" ht="14.5" customHeight="1" x14ac:dyDescent="0.25">
      <c r="A498" s="278" t="s">
        <v>9631</v>
      </c>
      <c r="B498" s="278" t="s">
        <v>11152</v>
      </c>
      <c r="C498" s="111" t="s">
        <v>9956</v>
      </c>
      <c r="D498" s="301" t="s">
        <v>9957</v>
      </c>
      <c r="E498" s="306" t="s">
        <v>10915</v>
      </c>
      <c r="F498" s="307" t="s">
        <v>4108</v>
      </c>
      <c r="G498" s="278" t="s">
        <v>4108</v>
      </c>
      <c r="H498" s="303" t="s">
        <v>11161</v>
      </c>
      <c r="I498" s="301" t="s">
        <v>9957</v>
      </c>
      <c r="J498" s="303" t="s">
        <v>10915</v>
      </c>
    </row>
    <row r="499" spans="1:10" ht="14.5" customHeight="1" x14ac:dyDescent="0.25">
      <c r="A499" s="278" t="s">
        <v>9631</v>
      </c>
      <c r="B499" s="278" t="s">
        <v>11162</v>
      </c>
      <c r="C499" s="111" t="s">
        <v>9958</v>
      </c>
      <c r="D499" s="301" t="s">
        <v>3781</v>
      </c>
      <c r="E499" s="306" t="s">
        <v>10915</v>
      </c>
      <c r="F499" s="307" t="s">
        <v>4108</v>
      </c>
      <c r="G499" s="278" t="s">
        <v>4108</v>
      </c>
      <c r="H499" s="303" t="s">
        <v>11163</v>
      </c>
      <c r="I499" s="301" t="s">
        <v>11164</v>
      </c>
      <c r="J499" s="303" t="s">
        <v>11165</v>
      </c>
    </row>
    <row r="500" spans="1:10" ht="14.5" customHeight="1" x14ac:dyDescent="0.25">
      <c r="A500" s="278" t="s">
        <v>9631</v>
      </c>
      <c r="B500" s="278" t="s">
        <v>11162</v>
      </c>
      <c r="C500" s="111" t="s">
        <v>9959</v>
      </c>
      <c r="D500" s="301" t="s">
        <v>9960</v>
      </c>
      <c r="E500" s="306" t="s">
        <v>10915</v>
      </c>
      <c r="F500" s="307" t="s">
        <v>4108</v>
      </c>
      <c r="G500" s="278" t="s">
        <v>4108</v>
      </c>
      <c r="H500" s="303" t="s">
        <v>11163</v>
      </c>
      <c r="I500" s="301" t="s">
        <v>11164</v>
      </c>
      <c r="J500" s="303" t="s">
        <v>11165</v>
      </c>
    </row>
    <row r="501" spans="1:10" ht="14.5" customHeight="1" x14ac:dyDescent="0.25">
      <c r="A501" s="278" t="s">
        <v>9631</v>
      </c>
      <c r="B501" s="278" t="s">
        <v>11162</v>
      </c>
      <c r="C501" s="111" t="s">
        <v>9961</v>
      </c>
      <c r="D501" s="301" t="s">
        <v>9962</v>
      </c>
      <c r="E501" s="306" t="s">
        <v>10915</v>
      </c>
      <c r="F501" s="307" t="s">
        <v>4108</v>
      </c>
      <c r="G501" s="278" t="s">
        <v>4108</v>
      </c>
      <c r="H501" s="303" t="s">
        <v>11163</v>
      </c>
      <c r="I501" s="301" t="s">
        <v>11164</v>
      </c>
      <c r="J501" s="303" t="s">
        <v>11165</v>
      </c>
    </row>
    <row r="502" spans="1:10" ht="14.5" customHeight="1" x14ac:dyDescent="0.25">
      <c r="A502" s="278" t="s">
        <v>9631</v>
      </c>
      <c r="B502" s="278" t="s">
        <v>11162</v>
      </c>
      <c r="C502" s="111" t="s">
        <v>9961</v>
      </c>
      <c r="D502" s="301" t="s">
        <v>9962</v>
      </c>
      <c r="E502" s="306" t="s">
        <v>10915</v>
      </c>
      <c r="F502" s="307" t="s">
        <v>4108</v>
      </c>
      <c r="G502" s="278" t="s">
        <v>4108</v>
      </c>
      <c r="H502" s="303" t="s">
        <v>11166</v>
      </c>
      <c r="I502" s="301" t="s">
        <v>11167</v>
      </c>
      <c r="J502" s="303" t="s">
        <v>11165</v>
      </c>
    </row>
    <row r="503" spans="1:10" ht="14.5" customHeight="1" x14ac:dyDescent="0.25">
      <c r="A503" s="278" t="s">
        <v>9631</v>
      </c>
      <c r="B503" s="278" t="s">
        <v>11162</v>
      </c>
      <c r="C503" s="111" t="s">
        <v>9961</v>
      </c>
      <c r="D503" s="301" t="s">
        <v>9962</v>
      </c>
      <c r="E503" s="306" t="s">
        <v>10915</v>
      </c>
      <c r="F503" s="307" t="s">
        <v>4108</v>
      </c>
      <c r="G503" s="278" t="s">
        <v>4108</v>
      </c>
      <c r="H503" s="303" t="s">
        <v>11168</v>
      </c>
      <c r="I503" s="301" t="s">
        <v>11169</v>
      </c>
      <c r="J503" s="303" t="s">
        <v>11165</v>
      </c>
    </row>
    <row r="504" spans="1:10" ht="14.5" customHeight="1" x14ac:dyDescent="0.25">
      <c r="A504" s="278" t="s">
        <v>9631</v>
      </c>
      <c r="B504" s="278" t="s">
        <v>11162</v>
      </c>
      <c r="C504" s="111" t="s">
        <v>9963</v>
      </c>
      <c r="D504" s="301" t="s">
        <v>3757</v>
      </c>
      <c r="E504" s="306" t="s">
        <v>10915</v>
      </c>
      <c r="F504" s="307" t="s">
        <v>4108</v>
      </c>
      <c r="G504" s="278" t="s">
        <v>4108</v>
      </c>
      <c r="H504" s="303" t="s">
        <v>11163</v>
      </c>
      <c r="I504" s="301" t="s">
        <v>11164</v>
      </c>
      <c r="J504" s="303" t="s">
        <v>11165</v>
      </c>
    </row>
    <row r="505" spans="1:10" ht="14.5" customHeight="1" x14ac:dyDescent="0.25">
      <c r="A505" s="278" t="s">
        <v>9631</v>
      </c>
      <c r="B505" s="278" t="s">
        <v>11162</v>
      </c>
      <c r="C505" s="111" t="s">
        <v>9963</v>
      </c>
      <c r="D505" s="301" t="s">
        <v>3757</v>
      </c>
      <c r="E505" s="306" t="s">
        <v>10915</v>
      </c>
      <c r="F505" s="307" t="s">
        <v>4108</v>
      </c>
      <c r="G505" s="278" t="s">
        <v>4108</v>
      </c>
      <c r="H505" s="303" t="s">
        <v>11166</v>
      </c>
      <c r="I505" s="301" t="s">
        <v>11167</v>
      </c>
      <c r="J505" s="303" t="s">
        <v>11165</v>
      </c>
    </row>
    <row r="506" spans="1:10" ht="14.5" customHeight="1" x14ac:dyDescent="0.25">
      <c r="A506" s="278" t="s">
        <v>9631</v>
      </c>
      <c r="B506" s="278" t="s">
        <v>11162</v>
      </c>
      <c r="C506" s="111" t="s">
        <v>9964</v>
      </c>
      <c r="D506" s="301" t="s">
        <v>3702</v>
      </c>
      <c r="E506" s="306" t="s">
        <v>10915</v>
      </c>
      <c r="F506" s="307" t="s">
        <v>4108</v>
      </c>
      <c r="G506" s="278" t="s">
        <v>4108</v>
      </c>
      <c r="H506" s="303" t="s">
        <v>11163</v>
      </c>
      <c r="I506" s="301" t="s">
        <v>11164</v>
      </c>
      <c r="J506" s="303" t="s">
        <v>11165</v>
      </c>
    </row>
    <row r="507" spans="1:10" ht="14.5" customHeight="1" x14ac:dyDescent="0.25">
      <c r="A507" s="278" t="s">
        <v>9631</v>
      </c>
      <c r="B507" s="278" t="s">
        <v>11162</v>
      </c>
      <c r="C507" s="111" t="s">
        <v>9964</v>
      </c>
      <c r="D507" s="301" t="s">
        <v>3702</v>
      </c>
      <c r="E507" s="306" t="s">
        <v>10915</v>
      </c>
      <c r="F507" s="307" t="s">
        <v>4108</v>
      </c>
      <c r="G507" s="278" t="s">
        <v>4108</v>
      </c>
      <c r="H507" s="303" t="s">
        <v>11166</v>
      </c>
      <c r="I507" s="301" t="s">
        <v>11167</v>
      </c>
      <c r="J507" s="303" t="s">
        <v>11165</v>
      </c>
    </row>
    <row r="508" spans="1:10" ht="14.5" customHeight="1" x14ac:dyDescent="0.25">
      <c r="A508" s="278" t="s">
        <v>9631</v>
      </c>
      <c r="B508" s="278" t="s">
        <v>11162</v>
      </c>
      <c r="C508" s="111" t="s">
        <v>9965</v>
      </c>
      <c r="D508" s="301" t="s">
        <v>9966</v>
      </c>
      <c r="E508" s="306" t="s">
        <v>10915</v>
      </c>
      <c r="F508" s="307" t="s">
        <v>4108</v>
      </c>
      <c r="G508" s="278" t="s">
        <v>4108</v>
      </c>
      <c r="H508" s="303" t="s">
        <v>10907</v>
      </c>
      <c r="I508" s="301" t="s">
        <v>10908</v>
      </c>
      <c r="J508" s="303" t="s">
        <v>10906</v>
      </c>
    </row>
    <row r="509" spans="1:10" ht="14.5" customHeight="1" x14ac:dyDescent="0.25">
      <c r="A509" s="278" t="s">
        <v>9631</v>
      </c>
      <c r="B509" s="278" t="s">
        <v>11162</v>
      </c>
      <c r="C509" s="111" t="s">
        <v>9968</v>
      </c>
      <c r="D509" s="301" t="s">
        <v>9969</v>
      </c>
      <c r="E509" s="306" t="s">
        <v>10915</v>
      </c>
      <c r="F509" s="307" t="s">
        <v>4108</v>
      </c>
      <c r="G509" s="278" t="s">
        <v>4108</v>
      </c>
      <c r="H509" s="303" t="s">
        <v>11170</v>
      </c>
      <c r="I509" s="301" t="s">
        <v>11171</v>
      </c>
      <c r="J509" s="303" t="s">
        <v>11165</v>
      </c>
    </row>
    <row r="510" spans="1:10" ht="14.5" customHeight="1" x14ac:dyDescent="0.25">
      <c r="A510" s="278" t="s">
        <v>9631</v>
      </c>
      <c r="B510" s="278" t="s">
        <v>11162</v>
      </c>
      <c r="C510" s="111" t="s">
        <v>9970</v>
      </c>
      <c r="D510" s="301" t="s">
        <v>9971</v>
      </c>
      <c r="E510" s="306" t="s">
        <v>10915</v>
      </c>
      <c r="F510" s="307" t="s">
        <v>4108</v>
      </c>
      <c r="G510" s="278" t="s">
        <v>4108</v>
      </c>
      <c r="H510" s="303" t="s">
        <v>11170</v>
      </c>
      <c r="I510" s="301" t="s">
        <v>11171</v>
      </c>
      <c r="J510" s="303" t="s">
        <v>11165</v>
      </c>
    </row>
    <row r="511" spans="1:10" ht="14.5" customHeight="1" x14ac:dyDescent="0.25">
      <c r="A511" s="278" t="s">
        <v>9631</v>
      </c>
      <c r="B511" s="278" t="s">
        <v>11162</v>
      </c>
      <c r="C511" s="111" t="s">
        <v>9970</v>
      </c>
      <c r="D511" s="301" t="s">
        <v>9971</v>
      </c>
      <c r="E511" s="306" t="s">
        <v>10915</v>
      </c>
      <c r="F511" s="307" t="s">
        <v>4108</v>
      </c>
      <c r="G511" s="278" t="s">
        <v>4108</v>
      </c>
      <c r="H511" s="303" t="s">
        <v>11163</v>
      </c>
      <c r="I511" s="301" t="s">
        <v>11164</v>
      </c>
      <c r="J511" s="303" t="s">
        <v>11165</v>
      </c>
    </row>
    <row r="512" spans="1:10" ht="14.5" customHeight="1" x14ac:dyDescent="0.25">
      <c r="A512" s="278" t="s">
        <v>9631</v>
      </c>
      <c r="B512" s="278" t="s">
        <v>11162</v>
      </c>
      <c r="C512" s="111" t="s">
        <v>9970</v>
      </c>
      <c r="D512" s="301" t="s">
        <v>9971</v>
      </c>
      <c r="E512" s="306" t="s">
        <v>10915</v>
      </c>
      <c r="F512" s="307" t="s">
        <v>4108</v>
      </c>
      <c r="G512" s="278" t="s">
        <v>4108</v>
      </c>
      <c r="H512" s="303" t="s">
        <v>11166</v>
      </c>
      <c r="I512" s="301" t="s">
        <v>11167</v>
      </c>
      <c r="J512" s="303" t="s">
        <v>11165</v>
      </c>
    </row>
    <row r="513" spans="1:10" ht="14.5" customHeight="1" x14ac:dyDescent="0.25">
      <c r="A513" s="278" t="s">
        <v>9631</v>
      </c>
      <c r="B513" s="278" t="s">
        <v>10904</v>
      </c>
      <c r="C513" s="111" t="s">
        <v>9973</v>
      </c>
      <c r="D513" s="301" t="s">
        <v>9974</v>
      </c>
      <c r="E513" s="302" t="s">
        <v>10986</v>
      </c>
      <c r="F513" s="278" t="s">
        <v>4109</v>
      </c>
      <c r="G513" s="278" t="s">
        <v>4108</v>
      </c>
      <c r="H513" s="303" t="s">
        <v>10907</v>
      </c>
      <c r="I513" s="301" t="s">
        <v>10908</v>
      </c>
      <c r="J513" s="303" t="s">
        <v>10906</v>
      </c>
    </row>
    <row r="514" spans="1:10" ht="14.5" customHeight="1" x14ac:dyDescent="0.25">
      <c r="A514" s="278" t="s">
        <v>9631</v>
      </c>
      <c r="B514" s="278" t="s">
        <v>10904</v>
      </c>
      <c r="C514" s="111" t="s">
        <v>9973</v>
      </c>
      <c r="D514" s="301" t="s">
        <v>9974</v>
      </c>
      <c r="E514" s="302" t="s">
        <v>10986</v>
      </c>
      <c r="F514" s="278" t="s">
        <v>4109</v>
      </c>
      <c r="G514" s="278" t="s">
        <v>4108</v>
      </c>
      <c r="H514" s="303" t="s">
        <v>10967</v>
      </c>
      <c r="I514" s="301" t="s">
        <v>10968</v>
      </c>
      <c r="J514" s="303" t="s">
        <v>10969</v>
      </c>
    </row>
    <row r="515" spans="1:10" ht="14.5" customHeight="1" x14ac:dyDescent="0.25">
      <c r="A515" s="278" t="s">
        <v>9631</v>
      </c>
      <c r="B515" s="278" t="s">
        <v>10904</v>
      </c>
      <c r="C515" s="111" t="s">
        <v>9973</v>
      </c>
      <c r="D515" s="301" t="s">
        <v>9974</v>
      </c>
      <c r="E515" s="302" t="s">
        <v>10986</v>
      </c>
      <c r="F515" s="278" t="s">
        <v>4109</v>
      </c>
      <c r="G515" s="278" t="s">
        <v>4108</v>
      </c>
      <c r="H515" s="303" t="s">
        <v>10970</v>
      </c>
      <c r="I515" s="301" t="s">
        <v>10971</v>
      </c>
      <c r="J515" s="303" t="s">
        <v>10972</v>
      </c>
    </row>
    <row r="516" spans="1:10" ht="14.5" customHeight="1" x14ac:dyDescent="0.25">
      <c r="A516" s="278" t="s">
        <v>9631</v>
      </c>
      <c r="B516" s="278" t="s">
        <v>10904</v>
      </c>
      <c r="C516" s="111" t="s">
        <v>9975</v>
      </c>
      <c r="D516" s="301" t="s">
        <v>9976</v>
      </c>
      <c r="E516" s="302" t="s">
        <v>10986</v>
      </c>
      <c r="F516" s="278" t="s">
        <v>4109</v>
      </c>
      <c r="G516" s="278" t="s">
        <v>4108</v>
      </c>
      <c r="H516" s="303" t="s">
        <v>10907</v>
      </c>
      <c r="I516" s="301" t="s">
        <v>10908</v>
      </c>
      <c r="J516" s="303" t="s">
        <v>10906</v>
      </c>
    </row>
    <row r="517" spans="1:10" ht="14.5" customHeight="1" x14ac:dyDescent="0.25">
      <c r="A517" s="278" t="s">
        <v>9631</v>
      </c>
      <c r="B517" s="278" t="s">
        <v>10904</v>
      </c>
      <c r="C517" s="111" t="s">
        <v>9975</v>
      </c>
      <c r="D517" s="301" t="s">
        <v>9976</v>
      </c>
      <c r="E517" s="302" t="s">
        <v>10986</v>
      </c>
      <c r="F517" s="278" t="s">
        <v>4109</v>
      </c>
      <c r="G517" s="278" t="s">
        <v>4108</v>
      </c>
      <c r="H517" s="303" t="s">
        <v>10996</v>
      </c>
      <c r="I517" s="301" t="s">
        <v>10997</v>
      </c>
      <c r="J517" s="303" t="s">
        <v>10969</v>
      </c>
    </row>
    <row r="518" spans="1:10" ht="14.5" customHeight="1" x14ac:dyDescent="0.25">
      <c r="A518" s="278" t="s">
        <v>9631</v>
      </c>
      <c r="B518" s="278" t="s">
        <v>10904</v>
      </c>
      <c r="C518" s="111" t="s">
        <v>9975</v>
      </c>
      <c r="D518" s="301" t="s">
        <v>9976</v>
      </c>
      <c r="E518" s="302" t="s">
        <v>10986</v>
      </c>
      <c r="F518" s="278" t="s">
        <v>4109</v>
      </c>
      <c r="G518" s="278" t="s">
        <v>4108</v>
      </c>
      <c r="H518" s="303" t="s">
        <v>11010</v>
      </c>
      <c r="I518" s="301" t="s">
        <v>11011</v>
      </c>
      <c r="J518" s="303" t="s">
        <v>10969</v>
      </c>
    </row>
    <row r="519" spans="1:10" ht="14.5" customHeight="1" x14ac:dyDescent="0.25">
      <c r="A519" s="278" t="s">
        <v>9631</v>
      </c>
      <c r="B519" s="278" t="s">
        <v>10904</v>
      </c>
      <c r="C519" s="111" t="s">
        <v>9975</v>
      </c>
      <c r="D519" s="301" t="s">
        <v>9976</v>
      </c>
      <c r="E519" s="302" t="s">
        <v>10986</v>
      </c>
      <c r="F519" s="278" t="s">
        <v>4109</v>
      </c>
      <c r="G519" s="278" t="s">
        <v>4108</v>
      </c>
      <c r="H519" s="303" t="s">
        <v>11014</v>
      </c>
      <c r="I519" s="301" t="s">
        <v>11015</v>
      </c>
      <c r="J519" s="303" t="s">
        <v>10969</v>
      </c>
    </row>
    <row r="520" spans="1:10" ht="14.5" customHeight="1" x14ac:dyDescent="0.25">
      <c r="A520" s="278" t="s">
        <v>9631</v>
      </c>
      <c r="B520" s="278" t="s">
        <v>10904</v>
      </c>
      <c r="C520" s="111" t="s">
        <v>9975</v>
      </c>
      <c r="D520" s="301" t="s">
        <v>9976</v>
      </c>
      <c r="E520" s="302" t="s">
        <v>10986</v>
      </c>
      <c r="F520" s="278" t="s">
        <v>4109</v>
      </c>
      <c r="G520" s="278" t="s">
        <v>4108</v>
      </c>
      <c r="H520" s="303" t="s">
        <v>11016</v>
      </c>
      <c r="I520" s="301" t="s">
        <v>11017</v>
      </c>
      <c r="J520" s="303" t="s">
        <v>10969</v>
      </c>
    </row>
    <row r="521" spans="1:10" ht="14.5" customHeight="1" x14ac:dyDescent="0.25">
      <c r="A521" s="278" t="s">
        <v>9631</v>
      </c>
      <c r="B521" s="278" t="s">
        <v>10904</v>
      </c>
      <c r="C521" s="111" t="s">
        <v>9975</v>
      </c>
      <c r="D521" s="301" t="s">
        <v>9976</v>
      </c>
      <c r="E521" s="302" t="s">
        <v>10986</v>
      </c>
      <c r="F521" s="278" t="s">
        <v>4109</v>
      </c>
      <c r="G521" s="278" t="s">
        <v>4108</v>
      </c>
      <c r="H521" s="303" t="s">
        <v>11022</v>
      </c>
      <c r="I521" s="301" t="s">
        <v>11023</v>
      </c>
      <c r="J521" s="303" t="s">
        <v>10969</v>
      </c>
    </row>
    <row r="522" spans="1:10" ht="14.5" customHeight="1" x14ac:dyDescent="0.25">
      <c r="A522" s="278" t="s">
        <v>9631</v>
      </c>
      <c r="B522" s="278" t="s">
        <v>10904</v>
      </c>
      <c r="C522" s="111" t="s">
        <v>9975</v>
      </c>
      <c r="D522" s="301" t="s">
        <v>9976</v>
      </c>
      <c r="E522" s="302" t="s">
        <v>10986</v>
      </c>
      <c r="F522" s="278" t="s">
        <v>4109</v>
      </c>
      <c r="G522" s="278" t="s">
        <v>4108</v>
      </c>
      <c r="H522" s="303" t="s">
        <v>10998</v>
      </c>
      <c r="I522" s="301" t="s">
        <v>10999</v>
      </c>
      <c r="J522" s="303" t="s">
        <v>10969</v>
      </c>
    </row>
    <row r="523" spans="1:10" ht="14.5" customHeight="1" x14ac:dyDescent="0.25">
      <c r="A523" s="278" t="s">
        <v>9631</v>
      </c>
      <c r="B523" s="278" t="s">
        <v>10904</v>
      </c>
      <c r="C523" s="111" t="s">
        <v>9975</v>
      </c>
      <c r="D523" s="301" t="s">
        <v>9976</v>
      </c>
      <c r="E523" s="302" t="s">
        <v>10986</v>
      </c>
      <c r="F523" s="278" t="s">
        <v>4109</v>
      </c>
      <c r="G523" s="278" t="s">
        <v>4108</v>
      </c>
      <c r="H523" s="303" t="s">
        <v>11000</v>
      </c>
      <c r="I523" s="301" t="s">
        <v>11001</v>
      </c>
      <c r="J523" s="303" t="s">
        <v>10969</v>
      </c>
    </row>
    <row r="524" spans="1:10" ht="14.5" customHeight="1" x14ac:dyDescent="0.25">
      <c r="A524" s="278" t="s">
        <v>9631</v>
      </c>
      <c r="B524" s="278" t="s">
        <v>10904</v>
      </c>
      <c r="C524" s="111" t="s">
        <v>9975</v>
      </c>
      <c r="D524" s="301" t="s">
        <v>9976</v>
      </c>
      <c r="E524" s="302" t="s">
        <v>10986</v>
      </c>
      <c r="F524" s="278" t="s">
        <v>4109</v>
      </c>
      <c r="G524" s="278" t="s">
        <v>4108</v>
      </c>
      <c r="H524" s="303" t="s">
        <v>11002</v>
      </c>
      <c r="I524" s="301" t="s">
        <v>11003</v>
      </c>
      <c r="J524" s="303" t="s">
        <v>10972</v>
      </c>
    </row>
    <row r="525" spans="1:10" ht="14.5" customHeight="1" x14ac:dyDescent="0.25">
      <c r="A525" s="278" t="s">
        <v>9631</v>
      </c>
      <c r="B525" s="278" t="s">
        <v>10904</v>
      </c>
      <c r="C525" s="111" t="s">
        <v>9975</v>
      </c>
      <c r="D525" s="301" t="s">
        <v>9976</v>
      </c>
      <c r="E525" s="302" t="s">
        <v>10986</v>
      </c>
      <c r="F525" s="278" t="s">
        <v>4109</v>
      </c>
      <c r="G525" s="278" t="s">
        <v>4108</v>
      </c>
      <c r="H525" s="303" t="s">
        <v>11012</v>
      </c>
      <c r="I525" s="301" t="s">
        <v>11013</v>
      </c>
      <c r="J525" s="303" t="s">
        <v>10972</v>
      </c>
    </row>
    <row r="526" spans="1:10" ht="14.5" customHeight="1" x14ac:dyDescent="0.25">
      <c r="A526" s="278" t="s">
        <v>9631</v>
      </c>
      <c r="B526" s="278" t="s">
        <v>10904</v>
      </c>
      <c r="C526" s="111" t="s">
        <v>9975</v>
      </c>
      <c r="D526" s="301" t="s">
        <v>9976</v>
      </c>
      <c r="E526" s="302" t="s">
        <v>10986</v>
      </c>
      <c r="F526" s="278" t="s">
        <v>4109</v>
      </c>
      <c r="G526" s="278" t="s">
        <v>4108</v>
      </c>
      <c r="H526" s="303" t="s">
        <v>11018</v>
      </c>
      <c r="I526" s="301" t="s">
        <v>11019</v>
      </c>
      <c r="J526" s="303" t="s">
        <v>10972</v>
      </c>
    </row>
    <row r="527" spans="1:10" ht="14.5" customHeight="1" x14ac:dyDescent="0.25">
      <c r="A527" s="278" t="s">
        <v>9631</v>
      </c>
      <c r="B527" s="278" t="s">
        <v>10904</v>
      </c>
      <c r="C527" s="111" t="s">
        <v>9975</v>
      </c>
      <c r="D527" s="301" t="s">
        <v>9976</v>
      </c>
      <c r="E527" s="302" t="s">
        <v>10986</v>
      </c>
      <c r="F527" s="278" t="s">
        <v>4109</v>
      </c>
      <c r="G527" s="278" t="s">
        <v>4108</v>
      </c>
      <c r="H527" s="303" t="s">
        <v>11020</v>
      </c>
      <c r="I527" s="301" t="s">
        <v>11021</v>
      </c>
      <c r="J527" s="303" t="s">
        <v>10972</v>
      </c>
    </row>
    <row r="528" spans="1:10" ht="14.5" customHeight="1" x14ac:dyDescent="0.25">
      <c r="A528" s="278" t="s">
        <v>9631</v>
      </c>
      <c r="B528" s="278" t="s">
        <v>10904</v>
      </c>
      <c r="C528" s="111" t="s">
        <v>9975</v>
      </c>
      <c r="D528" s="301" t="s">
        <v>9976</v>
      </c>
      <c r="E528" s="302" t="s">
        <v>10986</v>
      </c>
      <c r="F528" s="278" t="s">
        <v>4109</v>
      </c>
      <c r="G528" s="278" t="s">
        <v>4108</v>
      </c>
      <c r="H528" s="303" t="s">
        <v>11024</v>
      </c>
      <c r="I528" s="301" t="s">
        <v>11025</v>
      </c>
      <c r="J528" s="303" t="s">
        <v>10972</v>
      </c>
    </row>
    <row r="529" spans="1:10" ht="14.5" customHeight="1" x14ac:dyDescent="0.25">
      <c r="A529" s="278" t="s">
        <v>9631</v>
      </c>
      <c r="B529" s="278" t="s">
        <v>10904</v>
      </c>
      <c r="C529" s="111" t="s">
        <v>9975</v>
      </c>
      <c r="D529" s="301" t="s">
        <v>9976</v>
      </c>
      <c r="E529" s="302" t="s">
        <v>10986</v>
      </c>
      <c r="F529" s="278" t="s">
        <v>4109</v>
      </c>
      <c r="G529" s="278" t="s">
        <v>4108</v>
      </c>
      <c r="H529" s="303" t="s">
        <v>11004</v>
      </c>
      <c r="I529" s="301" t="s">
        <v>11005</v>
      </c>
      <c r="J529" s="303" t="s">
        <v>10972</v>
      </c>
    </row>
    <row r="530" spans="1:10" ht="14.5" customHeight="1" x14ac:dyDescent="0.25">
      <c r="A530" s="278" t="s">
        <v>9631</v>
      </c>
      <c r="B530" s="278" t="s">
        <v>10904</v>
      </c>
      <c r="C530" s="111" t="s">
        <v>9975</v>
      </c>
      <c r="D530" s="301" t="s">
        <v>9976</v>
      </c>
      <c r="E530" s="302" t="s">
        <v>10986</v>
      </c>
      <c r="F530" s="278" t="s">
        <v>4109</v>
      </c>
      <c r="G530" s="278" t="s">
        <v>4108</v>
      </c>
      <c r="H530" s="303" t="s">
        <v>11006</v>
      </c>
      <c r="I530" s="301" t="s">
        <v>11007</v>
      </c>
      <c r="J530" s="303" t="s">
        <v>10972</v>
      </c>
    </row>
    <row r="531" spans="1:10" ht="14.5" customHeight="1" x14ac:dyDescent="0.25">
      <c r="A531" s="278" t="s">
        <v>9631</v>
      </c>
      <c r="B531" s="278" t="s">
        <v>10904</v>
      </c>
      <c r="C531" s="111" t="s">
        <v>9975</v>
      </c>
      <c r="D531" s="301" t="s">
        <v>9976</v>
      </c>
      <c r="E531" s="302" t="s">
        <v>10986</v>
      </c>
      <c r="F531" s="278" t="s">
        <v>4109</v>
      </c>
      <c r="G531" s="278" t="s">
        <v>4108</v>
      </c>
      <c r="H531" s="303" t="s">
        <v>11008</v>
      </c>
      <c r="I531" s="301" t="s">
        <v>11009</v>
      </c>
      <c r="J531" s="303" t="s">
        <v>10972</v>
      </c>
    </row>
    <row r="532" spans="1:10" ht="14.5" customHeight="1" x14ac:dyDescent="0.25">
      <c r="A532" s="278" t="s">
        <v>9631</v>
      </c>
      <c r="B532" s="278" t="s">
        <v>10904</v>
      </c>
      <c r="C532" s="111" t="s">
        <v>9977</v>
      </c>
      <c r="D532" s="301" t="s">
        <v>9978</v>
      </c>
      <c r="E532" s="302" t="s">
        <v>10986</v>
      </c>
      <c r="F532" s="278" t="s">
        <v>4109</v>
      </c>
      <c r="G532" s="278" t="s">
        <v>4108</v>
      </c>
      <c r="H532" s="303" t="s">
        <v>10907</v>
      </c>
      <c r="I532" s="301" t="s">
        <v>10908</v>
      </c>
      <c r="J532" s="303" t="s">
        <v>10906</v>
      </c>
    </row>
    <row r="533" spans="1:10" ht="14.5" customHeight="1" x14ac:dyDescent="0.25">
      <c r="A533" s="278" t="s">
        <v>9631</v>
      </c>
      <c r="B533" s="278" t="s">
        <v>10904</v>
      </c>
      <c r="C533" s="111" t="s">
        <v>9977</v>
      </c>
      <c r="D533" s="301" t="s">
        <v>9978</v>
      </c>
      <c r="E533" s="302" t="s">
        <v>10986</v>
      </c>
      <c r="F533" s="278" t="s">
        <v>4109</v>
      </c>
      <c r="G533" s="278" t="s">
        <v>4108</v>
      </c>
      <c r="H533" s="303" t="s">
        <v>11026</v>
      </c>
      <c r="I533" s="301" t="s">
        <v>11027</v>
      </c>
      <c r="J533" s="303" t="s">
        <v>10969</v>
      </c>
    </row>
    <row r="534" spans="1:10" ht="14.5" customHeight="1" x14ac:dyDescent="0.25">
      <c r="A534" s="278" t="s">
        <v>9631</v>
      </c>
      <c r="B534" s="278" t="s">
        <v>10904</v>
      </c>
      <c r="C534" s="111" t="s">
        <v>9977</v>
      </c>
      <c r="D534" s="301" t="s">
        <v>9978</v>
      </c>
      <c r="E534" s="302" t="s">
        <v>10986</v>
      </c>
      <c r="F534" s="278" t="s">
        <v>4109</v>
      </c>
      <c r="G534" s="278" t="s">
        <v>4108</v>
      </c>
      <c r="H534" s="303" t="s">
        <v>11034</v>
      </c>
      <c r="I534" s="301" t="s">
        <v>11035</v>
      </c>
      <c r="J534" s="303" t="s">
        <v>10969</v>
      </c>
    </row>
    <row r="535" spans="1:10" ht="14.5" customHeight="1" x14ac:dyDescent="0.25">
      <c r="A535" s="278" t="s">
        <v>9631</v>
      </c>
      <c r="B535" s="278" t="s">
        <v>10904</v>
      </c>
      <c r="C535" s="111" t="s">
        <v>9977</v>
      </c>
      <c r="D535" s="301" t="s">
        <v>9978</v>
      </c>
      <c r="E535" s="302" t="s">
        <v>10986</v>
      </c>
      <c r="F535" s="278" t="s">
        <v>4109</v>
      </c>
      <c r="G535" s="278" t="s">
        <v>4108</v>
      </c>
      <c r="H535" s="303" t="s">
        <v>11038</v>
      </c>
      <c r="I535" s="301" t="s">
        <v>11039</v>
      </c>
      <c r="J535" s="303" t="s">
        <v>10969</v>
      </c>
    </row>
    <row r="536" spans="1:10" ht="14.5" customHeight="1" x14ac:dyDescent="0.25">
      <c r="A536" s="278" t="s">
        <v>9631</v>
      </c>
      <c r="B536" s="278" t="s">
        <v>10904</v>
      </c>
      <c r="C536" s="111" t="s">
        <v>9977</v>
      </c>
      <c r="D536" s="301" t="s">
        <v>9978</v>
      </c>
      <c r="E536" s="302" t="s">
        <v>10986</v>
      </c>
      <c r="F536" s="278" t="s">
        <v>4109</v>
      </c>
      <c r="G536" s="278" t="s">
        <v>4108</v>
      </c>
      <c r="H536" s="303" t="s">
        <v>11028</v>
      </c>
      <c r="I536" s="301" t="s">
        <v>11029</v>
      </c>
      <c r="J536" s="303" t="s">
        <v>10969</v>
      </c>
    </row>
    <row r="537" spans="1:10" ht="14.5" customHeight="1" x14ac:dyDescent="0.25">
      <c r="A537" s="278" t="s">
        <v>9631</v>
      </c>
      <c r="B537" s="278" t="s">
        <v>10904</v>
      </c>
      <c r="C537" s="111" t="s">
        <v>9977</v>
      </c>
      <c r="D537" s="301" t="s">
        <v>9978</v>
      </c>
      <c r="E537" s="302" t="s">
        <v>10986</v>
      </c>
      <c r="F537" s="278" t="s">
        <v>4109</v>
      </c>
      <c r="G537" s="278" t="s">
        <v>4108</v>
      </c>
      <c r="H537" s="303" t="s">
        <v>11042</v>
      </c>
      <c r="I537" s="301" t="s">
        <v>11043</v>
      </c>
      <c r="J537" s="303" t="s">
        <v>10969</v>
      </c>
    </row>
    <row r="538" spans="1:10" ht="14.5" customHeight="1" x14ac:dyDescent="0.25">
      <c r="A538" s="278" t="s">
        <v>9631</v>
      </c>
      <c r="B538" s="278" t="s">
        <v>10904</v>
      </c>
      <c r="C538" s="111" t="s">
        <v>9977</v>
      </c>
      <c r="D538" s="301" t="s">
        <v>9978</v>
      </c>
      <c r="E538" s="302" t="s">
        <v>10986</v>
      </c>
      <c r="F538" s="278" t="s">
        <v>4109</v>
      </c>
      <c r="G538" s="278" t="s">
        <v>4108</v>
      </c>
      <c r="H538" s="303" t="s">
        <v>11030</v>
      </c>
      <c r="I538" s="301" t="s">
        <v>11031</v>
      </c>
      <c r="J538" s="303" t="s">
        <v>10972</v>
      </c>
    </row>
    <row r="539" spans="1:10" ht="14.5" customHeight="1" x14ac:dyDescent="0.25">
      <c r="A539" s="278" t="s">
        <v>9631</v>
      </c>
      <c r="B539" s="278" t="s">
        <v>10904</v>
      </c>
      <c r="C539" s="111" t="s">
        <v>9977</v>
      </c>
      <c r="D539" s="301" t="s">
        <v>9978</v>
      </c>
      <c r="E539" s="302" t="s">
        <v>10986</v>
      </c>
      <c r="F539" s="278" t="s">
        <v>4109</v>
      </c>
      <c r="G539" s="278" t="s">
        <v>4108</v>
      </c>
      <c r="H539" s="303" t="s">
        <v>11036</v>
      </c>
      <c r="I539" s="301" t="s">
        <v>11037</v>
      </c>
      <c r="J539" s="303" t="s">
        <v>10972</v>
      </c>
    </row>
    <row r="540" spans="1:10" s="276" customFormat="1" ht="14.5" customHeight="1" x14ac:dyDescent="0.25">
      <c r="A540" s="278" t="s">
        <v>9631</v>
      </c>
      <c r="B540" s="278" t="s">
        <v>10904</v>
      </c>
      <c r="C540" s="111" t="s">
        <v>9977</v>
      </c>
      <c r="D540" s="301" t="s">
        <v>9978</v>
      </c>
      <c r="E540" s="302" t="s">
        <v>10986</v>
      </c>
      <c r="F540" s="278" t="s">
        <v>4109</v>
      </c>
      <c r="G540" s="278" t="s">
        <v>4108</v>
      </c>
      <c r="H540" s="303" t="s">
        <v>11040</v>
      </c>
      <c r="I540" s="301" t="s">
        <v>11041</v>
      </c>
      <c r="J540" s="303" t="s">
        <v>10972</v>
      </c>
    </row>
    <row r="541" spans="1:10" s="276" customFormat="1" ht="14.5" customHeight="1" x14ac:dyDescent="0.25">
      <c r="A541" s="278" t="s">
        <v>9631</v>
      </c>
      <c r="B541" s="278" t="s">
        <v>10904</v>
      </c>
      <c r="C541" s="111" t="s">
        <v>9977</v>
      </c>
      <c r="D541" s="301" t="s">
        <v>9978</v>
      </c>
      <c r="E541" s="302" t="s">
        <v>10986</v>
      </c>
      <c r="F541" s="278" t="s">
        <v>4109</v>
      </c>
      <c r="G541" s="278" t="s">
        <v>4108</v>
      </c>
      <c r="H541" s="303" t="s">
        <v>11032</v>
      </c>
      <c r="I541" s="301" t="s">
        <v>11033</v>
      </c>
      <c r="J541" s="303" t="s">
        <v>10972</v>
      </c>
    </row>
    <row r="542" spans="1:10" s="276" customFormat="1" ht="14.5" customHeight="1" x14ac:dyDescent="0.25">
      <c r="A542" s="278" t="s">
        <v>9631</v>
      </c>
      <c r="B542" s="278" t="s">
        <v>10904</v>
      </c>
      <c r="C542" s="111" t="s">
        <v>9977</v>
      </c>
      <c r="D542" s="301" t="s">
        <v>9978</v>
      </c>
      <c r="E542" s="302" t="s">
        <v>10986</v>
      </c>
      <c r="F542" s="278" t="s">
        <v>4109</v>
      </c>
      <c r="G542" s="278" t="s">
        <v>4108</v>
      </c>
      <c r="H542" s="303" t="s">
        <v>11044</v>
      </c>
      <c r="I542" s="301" t="s">
        <v>11045</v>
      </c>
      <c r="J542" s="303" t="s">
        <v>10972</v>
      </c>
    </row>
    <row r="543" spans="1:10" s="276" customFormat="1" ht="14.5" customHeight="1" x14ac:dyDescent="0.25">
      <c r="A543" s="278" t="s">
        <v>9631</v>
      </c>
      <c r="B543" s="278" t="s">
        <v>10904</v>
      </c>
      <c r="C543" s="111" t="s">
        <v>9979</v>
      </c>
      <c r="D543" s="301" t="s">
        <v>9980</v>
      </c>
      <c r="E543" s="302" t="s">
        <v>10977</v>
      </c>
      <c r="F543" s="278" t="s">
        <v>4109</v>
      </c>
      <c r="G543" s="278" t="s">
        <v>4108</v>
      </c>
      <c r="H543" s="303" t="s">
        <v>10960</v>
      </c>
      <c r="I543" s="301" t="s">
        <v>10961</v>
      </c>
      <c r="J543" s="303" t="s">
        <v>10915</v>
      </c>
    </row>
    <row r="544" spans="1:10" s="276" customFormat="1" ht="14.5" customHeight="1" x14ac:dyDescent="0.25">
      <c r="A544" s="278" t="s">
        <v>9631</v>
      </c>
      <c r="B544" s="278" t="s">
        <v>10904</v>
      </c>
      <c r="C544" s="111" t="s">
        <v>9979</v>
      </c>
      <c r="D544" s="301" t="s">
        <v>9980</v>
      </c>
      <c r="E544" s="302" t="s">
        <v>10977</v>
      </c>
      <c r="F544" s="278" t="s">
        <v>4109</v>
      </c>
      <c r="G544" s="278" t="s">
        <v>4108</v>
      </c>
      <c r="H544" s="303" t="s">
        <v>10962</v>
      </c>
      <c r="I544" s="301" t="s">
        <v>10963</v>
      </c>
      <c r="J544" s="303" t="s">
        <v>10906</v>
      </c>
    </row>
    <row r="545" spans="1:10" s="276" customFormat="1" ht="14.5" customHeight="1" x14ac:dyDescent="0.25">
      <c r="A545" s="278" t="s">
        <v>9631</v>
      </c>
      <c r="B545" s="278" t="s">
        <v>10904</v>
      </c>
      <c r="C545" s="111" t="s">
        <v>9979</v>
      </c>
      <c r="D545" s="301" t="s">
        <v>9980</v>
      </c>
      <c r="E545" s="302" t="s">
        <v>10977</v>
      </c>
      <c r="F545" s="278" t="s">
        <v>4109</v>
      </c>
      <c r="G545" s="278" t="s">
        <v>4108</v>
      </c>
      <c r="H545" s="303" t="s">
        <v>11172</v>
      </c>
      <c r="I545" s="301" t="s">
        <v>11173</v>
      </c>
      <c r="J545" s="303" t="s">
        <v>10969</v>
      </c>
    </row>
    <row r="546" spans="1:10" s="276" customFormat="1" ht="14.5" customHeight="1" x14ac:dyDescent="0.25">
      <c r="A546" s="278" t="s">
        <v>9631</v>
      </c>
      <c r="B546" s="278" t="s">
        <v>10904</v>
      </c>
      <c r="C546" s="111" t="s">
        <v>9981</v>
      </c>
      <c r="D546" s="301" t="s">
        <v>9982</v>
      </c>
      <c r="E546" s="302" t="s">
        <v>10977</v>
      </c>
      <c r="F546" s="278" t="s">
        <v>4109</v>
      </c>
      <c r="G546" s="278" t="s">
        <v>4108</v>
      </c>
      <c r="H546" s="303" t="s">
        <v>10960</v>
      </c>
      <c r="I546" s="301" t="s">
        <v>10961</v>
      </c>
      <c r="J546" s="303" t="s">
        <v>10915</v>
      </c>
    </row>
    <row r="547" spans="1:10" s="276" customFormat="1" ht="14.5" customHeight="1" x14ac:dyDescent="0.25">
      <c r="A547" s="278" t="s">
        <v>9631</v>
      </c>
      <c r="B547" s="278" t="s">
        <v>10904</v>
      </c>
      <c r="C547" s="111" t="s">
        <v>9981</v>
      </c>
      <c r="D547" s="301" t="s">
        <v>9982</v>
      </c>
      <c r="E547" s="302" t="s">
        <v>10977</v>
      </c>
      <c r="F547" s="278" t="s">
        <v>4109</v>
      </c>
      <c r="G547" s="278" t="s">
        <v>4108</v>
      </c>
      <c r="H547" s="303" t="s">
        <v>11172</v>
      </c>
      <c r="I547" s="301" t="s">
        <v>11173</v>
      </c>
      <c r="J547" s="303" t="s">
        <v>10969</v>
      </c>
    </row>
    <row r="548" spans="1:10" s="276" customFormat="1" ht="14.5" customHeight="1" x14ac:dyDescent="0.25">
      <c r="A548" s="278" t="s">
        <v>9631</v>
      </c>
      <c r="B548" s="278" t="s">
        <v>10904</v>
      </c>
      <c r="C548" s="111" t="s">
        <v>9983</v>
      </c>
      <c r="D548" s="184" t="s">
        <v>11174</v>
      </c>
      <c r="E548" s="306" t="s">
        <v>11123</v>
      </c>
      <c r="F548" s="278" t="s">
        <v>4109</v>
      </c>
      <c r="G548" s="278" t="s">
        <v>4108</v>
      </c>
      <c r="H548" s="303" t="s">
        <v>11175</v>
      </c>
      <c r="I548" s="301" t="s">
        <v>11176</v>
      </c>
      <c r="J548" s="303" t="s">
        <v>11123</v>
      </c>
    </row>
    <row r="549" spans="1:10" s="276" customFormat="1" ht="14.5" customHeight="1" x14ac:dyDescent="0.25">
      <c r="A549" s="278" t="s">
        <v>9631</v>
      </c>
      <c r="B549" s="278" t="s">
        <v>10904</v>
      </c>
      <c r="C549" s="111" t="s">
        <v>9986</v>
      </c>
      <c r="D549" s="184" t="s">
        <v>11177</v>
      </c>
      <c r="E549" s="306" t="s">
        <v>11123</v>
      </c>
      <c r="F549" s="278" t="s">
        <v>4109</v>
      </c>
      <c r="G549" s="278" t="s">
        <v>4108</v>
      </c>
      <c r="H549" s="303" t="s">
        <v>11121</v>
      </c>
      <c r="I549" s="301" t="s">
        <v>11122</v>
      </c>
      <c r="J549" s="303" t="s">
        <v>11123</v>
      </c>
    </row>
    <row r="550" spans="1:10" s="276" customFormat="1" ht="14.5" customHeight="1" x14ac:dyDescent="0.25">
      <c r="A550" s="278" t="s">
        <v>9631</v>
      </c>
      <c r="B550" s="278" t="s">
        <v>10904</v>
      </c>
      <c r="C550" s="111" t="s">
        <v>9989</v>
      </c>
      <c r="D550" s="301" t="s">
        <v>9990</v>
      </c>
      <c r="E550" s="302" t="s">
        <v>10977</v>
      </c>
      <c r="F550" s="278" t="s">
        <v>4109</v>
      </c>
      <c r="G550" s="278" t="s">
        <v>4108</v>
      </c>
      <c r="H550" s="303"/>
      <c r="I550" s="301" t="s">
        <v>11178</v>
      </c>
      <c r="J550" s="303"/>
    </row>
    <row r="551" spans="1:10" s="276" customFormat="1" ht="14.5" customHeight="1" x14ac:dyDescent="0.25">
      <c r="A551" s="308" t="s">
        <v>9631</v>
      </c>
      <c r="B551" s="308" t="s">
        <v>11179</v>
      </c>
      <c r="C551" s="273" t="s">
        <v>9991</v>
      </c>
      <c r="D551" s="274" t="s">
        <v>9992</v>
      </c>
      <c r="E551" s="309" t="s">
        <v>11180</v>
      </c>
      <c r="F551" s="308" t="s">
        <v>4108</v>
      </c>
      <c r="G551" s="308" t="s">
        <v>4108</v>
      </c>
      <c r="H551" s="309"/>
      <c r="I551" s="310" t="s">
        <v>11180</v>
      </c>
      <c r="J551" s="309" t="s">
        <v>11180</v>
      </c>
    </row>
    <row r="552" spans="1:10" s="276" customFormat="1" ht="14.5" customHeight="1" x14ac:dyDescent="0.25">
      <c r="A552" s="308" t="s">
        <v>9631</v>
      </c>
      <c r="B552" s="308" t="s">
        <v>11179</v>
      </c>
      <c r="C552" s="273" t="s">
        <v>9993</v>
      </c>
      <c r="D552" s="274" t="s">
        <v>9994</v>
      </c>
      <c r="E552" s="309" t="s">
        <v>11180</v>
      </c>
      <c r="F552" s="308" t="s">
        <v>4108</v>
      </c>
      <c r="G552" s="308" t="s">
        <v>4108</v>
      </c>
      <c r="H552" s="309"/>
      <c r="I552" s="310" t="s">
        <v>11180</v>
      </c>
      <c r="J552" s="309" t="s">
        <v>11180</v>
      </c>
    </row>
    <row r="553" spans="1:10" s="276" customFormat="1" ht="14.5" customHeight="1" x14ac:dyDescent="0.25">
      <c r="A553" s="308" t="s">
        <v>9631</v>
      </c>
      <c r="B553" s="308" t="s">
        <v>11179</v>
      </c>
      <c r="C553" s="273" t="s">
        <v>9995</v>
      </c>
      <c r="D553" s="274" t="s">
        <v>9996</v>
      </c>
      <c r="E553" s="309" t="s">
        <v>11180</v>
      </c>
      <c r="F553" s="308" t="s">
        <v>4108</v>
      </c>
      <c r="G553" s="308" t="s">
        <v>4108</v>
      </c>
      <c r="H553" s="309"/>
      <c r="I553" s="310" t="s">
        <v>11180</v>
      </c>
      <c r="J553" s="309" t="s">
        <v>11180</v>
      </c>
    </row>
    <row r="554" spans="1:10" s="276" customFormat="1" ht="14.5" customHeight="1" x14ac:dyDescent="0.25">
      <c r="A554" s="308" t="s">
        <v>9631</v>
      </c>
      <c r="B554" s="308" t="s">
        <v>11179</v>
      </c>
      <c r="C554" s="273" t="s">
        <v>9997</v>
      </c>
      <c r="D554" s="274" t="s">
        <v>9998</v>
      </c>
      <c r="E554" s="309" t="s">
        <v>11180</v>
      </c>
      <c r="F554" s="308" t="s">
        <v>4108</v>
      </c>
      <c r="G554" s="308" t="s">
        <v>4108</v>
      </c>
      <c r="H554" s="309"/>
      <c r="I554" s="310" t="s">
        <v>11180</v>
      </c>
      <c r="J554" s="309" t="s">
        <v>11180</v>
      </c>
    </row>
    <row r="555" spans="1:10" s="276" customFormat="1" ht="14.5" customHeight="1" x14ac:dyDescent="0.25">
      <c r="A555" s="308" t="s">
        <v>9631</v>
      </c>
      <c r="B555" s="308" t="s">
        <v>11179</v>
      </c>
      <c r="C555" s="273" t="s">
        <v>9999</v>
      </c>
      <c r="D555" s="274" t="s">
        <v>10000</v>
      </c>
      <c r="E555" s="309" t="s">
        <v>11180</v>
      </c>
      <c r="F555" s="308" t="s">
        <v>4108</v>
      </c>
      <c r="G555" s="308" t="s">
        <v>4108</v>
      </c>
      <c r="H555" s="309"/>
      <c r="I555" s="310" t="s">
        <v>11180</v>
      </c>
      <c r="J555" s="309" t="s">
        <v>11180</v>
      </c>
    </row>
    <row r="556" spans="1:10" s="276" customFormat="1" ht="14.5" customHeight="1" x14ac:dyDescent="0.25">
      <c r="A556" s="308" t="s">
        <v>9631</v>
      </c>
      <c r="B556" s="308" t="s">
        <v>11179</v>
      </c>
      <c r="C556" s="273" t="s">
        <v>10001</v>
      </c>
      <c r="D556" s="274" t="s">
        <v>10002</v>
      </c>
      <c r="E556" s="309" t="s">
        <v>11180</v>
      </c>
      <c r="F556" s="308" t="s">
        <v>4108</v>
      </c>
      <c r="G556" s="308" t="s">
        <v>4108</v>
      </c>
      <c r="H556" s="309"/>
      <c r="I556" s="310" t="s">
        <v>11180</v>
      </c>
      <c r="J556" s="309" t="s">
        <v>11180</v>
      </c>
    </row>
    <row r="557" spans="1:10" s="276" customFormat="1" ht="14.5" customHeight="1" x14ac:dyDescent="0.25">
      <c r="A557" s="308" t="s">
        <v>9631</v>
      </c>
      <c r="B557" s="308" t="s">
        <v>11179</v>
      </c>
      <c r="C557" s="273" t="s">
        <v>10003</v>
      </c>
      <c r="D557" s="274" t="s">
        <v>10004</v>
      </c>
      <c r="E557" s="309" t="s">
        <v>11180</v>
      </c>
      <c r="F557" s="308" t="s">
        <v>4108</v>
      </c>
      <c r="G557" s="308" t="s">
        <v>4108</v>
      </c>
      <c r="H557" s="309"/>
      <c r="I557" s="310" t="s">
        <v>11180</v>
      </c>
      <c r="J557" s="309" t="s">
        <v>11180</v>
      </c>
    </row>
    <row r="558" spans="1:10" s="276" customFormat="1" ht="14.5" customHeight="1" x14ac:dyDescent="0.25">
      <c r="A558" s="308" t="s">
        <v>9631</v>
      </c>
      <c r="B558" s="308" t="s">
        <v>11179</v>
      </c>
      <c r="C558" s="273" t="s">
        <v>10005</v>
      </c>
      <c r="D558" s="274" t="s">
        <v>10006</v>
      </c>
      <c r="E558" s="309" t="s">
        <v>11180</v>
      </c>
      <c r="F558" s="308" t="s">
        <v>4108</v>
      </c>
      <c r="G558" s="308" t="s">
        <v>4108</v>
      </c>
      <c r="H558" s="309"/>
      <c r="I558" s="310" t="s">
        <v>11180</v>
      </c>
      <c r="J558" s="309" t="s">
        <v>11180</v>
      </c>
    </row>
    <row r="559" spans="1:10" s="276" customFormat="1" ht="14.5" customHeight="1" x14ac:dyDescent="0.25">
      <c r="A559" s="308" t="s">
        <v>9631</v>
      </c>
      <c r="B559" s="308" t="s">
        <v>11179</v>
      </c>
      <c r="C559" s="273" t="s">
        <v>10007</v>
      </c>
      <c r="D559" s="274" t="s">
        <v>10008</v>
      </c>
      <c r="E559" s="309" t="s">
        <v>11180</v>
      </c>
      <c r="F559" s="308" t="s">
        <v>4108</v>
      </c>
      <c r="G559" s="308" t="s">
        <v>4108</v>
      </c>
      <c r="H559" s="309"/>
      <c r="I559" s="310" t="s">
        <v>11180</v>
      </c>
      <c r="J559" s="309" t="s">
        <v>11180</v>
      </c>
    </row>
    <row r="560" spans="1:10" s="276" customFormat="1" ht="14.5" customHeight="1" x14ac:dyDescent="0.25">
      <c r="A560" s="308" t="s">
        <v>9631</v>
      </c>
      <c r="B560" s="308" t="s">
        <v>11179</v>
      </c>
      <c r="C560" s="273" t="s">
        <v>10009</v>
      </c>
      <c r="D560" s="274" t="s">
        <v>10010</v>
      </c>
      <c r="E560" s="309" t="s">
        <v>11180</v>
      </c>
      <c r="F560" s="308" t="s">
        <v>4108</v>
      </c>
      <c r="G560" s="308" t="s">
        <v>4108</v>
      </c>
      <c r="H560" s="309"/>
      <c r="I560" s="310" t="s">
        <v>11180</v>
      </c>
      <c r="J560" s="309" t="s">
        <v>11180</v>
      </c>
    </row>
    <row r="561" spans="1:10" s="276" customFormat="1" ht="14.5" customHeight="1" x14ac:dyDescent="0.25">
      <c r="A561" s="308" t="s">
        <v>9631</v>
      </c>
      <c r="B561" s="308" t="s">
        <v>11179</v>
      </c>
      <c r="C561" s="273" t="s">
        <v>10011</v>
      </c>
      <c r="D561" s="274" t="s">
        <v>10012</v>
      </c>
      <c r="E561" s="309" t="s">
        <v>11180</v>
      </c>
      <c r="F561" s="308" t="s">
        <v>4108</v>
      </c>
      <c r="G561" s="308" t="s">
        <v>4108</v>
      </c>
      <c r="H561" s="309"/>
      <c r="I561" s="310" t="s">
        <v>11180</v>
      </c>
      <c r="J561" s="309" t="s">
        <v>11180</v>
      </c>
    </row>
    <row r="562" spans="1:10" s="276" customFormat="1" ht="14.5" customHeight="1" x14ac:dyDescent="0.25">
      <c r="A562" s="308" t="s">
        <v>9631</v>
      </c>
      <c r="B562" s="308" t="s">
        <v>11179</v>
      </c>
      <c r="C562" s="273" t="s">
        <v>10013</v>
      </c>
      <c r="D562" s="274" t="s">
        <v>10014</v>
      </c>
      <c r="E562" s="309" t="s">
        <v>11180</v>
      </c>
      <c r="F562" s="308" t="s">
        <v>4108</v>
      </c>
      <c r="G562" s="308" t="s">
        <v>4108</v>
      </c>
      <c r="H562" s="309"/>
      <c r="I562" s="310" t="s">
        <v>11180</v>
      </c>
      <c r="J562" s="309" t="s">
        <v>11180</v>
      </c>
    </row>
    <row r="563" spans="1:10" s="276" customFormat="1" ht="14.5" customHeight="1" x14ac:dyDescent="0.25">
      <c r="A563" s="308" t="s">
        <v>9631</v>
      </c>
      <c r="B563" s="308" t="s">
        <v>11179</v>
      </c>
      <c r="C563" s="273" t="s">
        <v>10015</v>
      </c>
      <c r="D563" s="274" t="s">
        <v>10016</v>
      </c>
      <c r="E563" s="309" t="s">
        <v>11180</v>
      </c>
      <c r="F563" s="308" t="s">
        <v>4108</v>
      </c>
      <c r="G563" s="308" t="s">
        <v>4108</v>
      </c>
      <c r="H563" s="309"/>
      <c r="I563" s="310" t="s">
        <v>11180</v>
      </c>
      <c r="J563" s="309" t="s">
        <v>11180</v>
      </c>
    </row>
    <row r="564" spans="1:10" s="276" customFormat="1" ht="14.5" customHeight="1" x14ac:dyDescent="0.25">
      <c r="A564" s="308" t="s">
        <v>9631</v>
      </c>
      <c r="B564" s="308" t="s">
        <v>11179</v>
      </c>
      <c r="C564" s="273" t="s">
        <v>10017</v>
      </c>
      <c r="D564" s="274" t="s">
        <v>10018</v>
      </c>
      <c r="E564" s="309" t="s">
        <v>11180</v>
      </c>
      <c r="F564" s="308" t="s">
        <v>4108</v>
      </c>
      <c r="G564" s="308" t="s">
        <v>4108</v>
      </c>
      <c r="H564" s="309"/>
      <c r="I564" s="310" t="s">
        <v>11180</v>
      </c>
      <c r="J564" s="309" t="s">
        <v>11180</v>
      </c>
    </row>
    <row r="565" spans="1:10" s="276" customFormat="1" ht="14.5" customHeight="1" x14ac:dyDescent="0.25">
      <c r="A565" s="308" t="s">
        <v>9631</v>
      </c>
      <c r="B565" s="308" t="s">
        <v>11179</v>
      </c>
      <c r="C565" s="273" t="s">
        <v>10019</v>
      </c>
      <c r="D565" s="274" t="s">
        <v>10020</v>
      </c>
      <c r="E565" s="309" t="s">
        <v>11180</v>
      </c>
      <c r="F565" s="308" t="s">
        <v>4108</v>
      </c>
      <c r="G565" s="308" t="s">
        <v>4108</v>
      </c>
      <c r="H565" s="309"/>
      <c r="I565" s="310" t="s">
        <v>11180</v>
      </c>
      <c r="J565" s="309" t="s">
        <v>11180</v>
      </c>
    </row>
    <row r="566" spans="1:10" s="276" customFormat="1" ht="14.5" customHeight="1" x14ac:dyDescent="0.25">
      <c r="A566" s="308" t="s">
        <v>9631</v>
      </c>
      <c r="B566" s="308" t="s">
        <v>11179</v>
      </c>
      <c r="C566" s="273" t="s">
        <v>10021</v>
      </c>
      <c r="D566" s="276" t="s">
        <v>10022</v>
      </c>
      <c r="E566" s="309" t="s">
        <v>11180</v>
      </c>
      <c r="F566" s="308" t="s">
        <v>4108</v>
      </c>
      <c r="G566" s="308" t="s">
        <v>4108</v>
      </c>
      <c r="H566" s="309"/>
      <c r="I566" s="310" t="s">
        <v>11180</v>
      </c>
      <c r="J566" s="309" t="s">
        <v>11180</v>
      </c>
    </row>
    <row r="567" spans="1:10" s="276" customFormat="1" ht="14.5" customHeight="1" x14ac:dyDescent="0.25">
      <c r="A567" s="308" t="s">
        <v>9631</v>
      </c>
      <c r="B567" s="308" t="s">
        <v>11179</v>
      </c>
      <c r="C567" s="273" t="s">
        <v>10023</v>
      </c>
      <c r="D567" s="274" t="s">
        <v>10024</v>
      </c>
      <c r="E567" s="309" t="s">
        <v>11180</v>
      </c>
      <c r="F567" s="308" t="s">
        <v>4108</v>
      </c>
      <c r="G567" s="308" t="s">
        <v>4108</v>
      </c>
      <c r="H567" s="309"/>
      <c r="I567" s="311" t="s">
        <v>11181</v>
      </c>
      <c r="J567" s="309" t="s">
        <v>11180</v>
      </c>
    </row>
    <row r="568" spans="1:10" s="276" customFormat="1" ht="14.5" customHeight="1" x14ac:dyDescent="0.25">
      <c r="A568" s="308" t="s">
        <v>9631</v>
      </c>
      <c r="B568" s="308" t="s">
        <v>11179</v>
      </c>
      <c r="C568" s="273" t="s">
        <v>10025</v>
      </c>
      <c r="D568" s="274" t="s">
        <v>10026</v>
      </c>
      <c r="E568" s="309" t="s">
        <v>11180</v>
      </c>
      <c r="F568" s="308" t="s">
        <v>4108</v>
      </c>
      <c r="G568" s="308" t="s">
        <v>4108</v>
      </c>
      <c r="H568" s="309"/>
      <c r="I568" s="311" t="s">
        <v>11181</v>
      </c>
      <c r="J568" s="309" t="s">
        <v>11180</v>
      </c>
    </row>
    <row r="569" spans="1:10" s="276" customFormat="1" ht="14.5" customHeight="1" x14ac:dyDescent="0.25">
      <c r="A569" s="308" t="s">
        <v>9631</v>
      </c>
      <c r="B569" s="308" t="s">
        <v>11179</v>
      </c>
      <c r="C569" s="273" t="s">
        <v>10027</v>
      </c>
      <c r="D569" s="274" t="s">
        <v>10028</v>
      </c>
      <c r="E569" s="309" t="s">
        <v>11180</v>
      </c>
      <c r="F569" s="308" t="s">
        <v>4108</v>
      </c>
      <c r="G569" s="308" t="s">
        <v>4108</v>
      </c>
      <c r="H569" s="309"/>
      <c r="I569" s="311" t="s">
        <v>11181</v>
      </c>
      <c r="J569" s="309" t="s">
        <v>11180</v>
      </c>
    </row>
    <row r="570" spans="1:10" s="276" customFormat="1" ht="14.5" customHeight="1" x14ac:dyDescent="0.25">
      <c r="A570" s="308" t="s">
        <v>9631</v>
      </c>
      <c r="B570" s="308" t="s">
        <v>11179</v>
      </c>
      <c r="C570" s="273" t="s">
        <v>10029</v>
      </c>
      <c r="D570" s="274" t="s">
        <v>10030</v>
      </c>
      <c r="E570" s="309" t="s">
        <v>11180</v>
      </c>
      <c r="F570" s="308" t="s">
        <v>4108</v>
      </c>
      <c r="G570" s="308" t="s">
        <v>4108</v>
      </c>
      <c r="H570" s="309"/>
      <c r="I570" s="311" t="s">
        <v>11181</v>
      </c>
      <c r="J570" s="309" t="s">
        <v>11180</v>
      </c>
    </row>
    <row r="571" spans="1:10" s="276" customFormat="1" ht="14.5" customHeight="1" x14ac:dyDescent="0.25">
      <c r="A571" s="308" t="s">
        <v>9631</v>
      </c>
      <c r="B571" s="308" t="s">
        <v>11179</v>
      </c>
      <c r="C571" s="273" t="s">
        <v>10031</v>
      </c>
      <c r="D571" s="274" t="s">
        <v>10032</v>
      </c>
      <c r="E571" s="309" t="s">
        <v>11180</v>
      </c>
      <c r="F571" s="308" t="s">
        <v>4108</v>
      </c>
      <c r="G571" s="308" t="s">
        <v>4108</v>
      </c>
      <c r="H571" s="309"/>
      <c r="I571" s="311" t="s">
        <v>11181</v>
      </c>
      <c r="J571" s="309" t="s">
        <v>11180</v>
      </c>
    </row>
    <row r="572" spans="1:10" s="276" customFormat="1" ht="14.5" customHeight="1" x14ac:dyDescent="0.25">
      <c r="A572" s="308" t="s">
        <v>9631</v>
      </c>
      <c r="B572" s="308" t="s">
        <v>11179</v>
      </c>
      <c r="C572" s="273" t="s">
        <v>10033</v>
      </c>
      <c r="D572" s="274" t="s">
        <v>10034</v>
      </c>
      <c r="E572" s="309" t="s">
        <v>11180</v>
      </c>
      <c r="F572" s="308" t="s">
        <v>4108</v>
      </c>
      <c r="G572" s="308" t="s">
        <v>4108</v>
      </c>
      <c r="H572" s="309"/>
      <c r="I572" s="311" t="s">
        <v>11181</v>
      </c>
      <c r="J572" s="309" t="s">
        <v>11180</v>
      </c>
    </row>
    <row r="573" spans="1:10" s="276" customFormat="1" ht="14.5" customHeight="1" x14ac:dyDescent="0.25">
      <c r="A573" s="308" t="s">
        <v>9631</v>
      </c>
      <c r="B573" s="308" t="s">
        <v>11179</v>
      </c>
      <c r="C573" s="273" t="s">
        <v>10035</v>
      </c>
      <c r="D573" s="274" t="s">
        <v>10036</v>
      </c>
      <c r="E573" s="309" t="s">
        <v>11180</v>
      </c>
      <c r="F573" s="308" t="s">
        <v>4108</v>
      </c>
      <c r="G573" s="308" t="s">
        <v>4108</v>
      </c>
      <c r="H573" s="309"/>
      <c r="I573" s="311" t="s">
        <v>11181</v>
      </c>
      <c r="J573" s="309" t="s">
        <v>11180</v>
      </c>
    </row>
    <row r="574" spans="1:10" s="276" customFormat="1" ht="14.5" customHeight="1" x14ac:dyDescent="0.25">
      <c r="A574" s="308" t="s">
        <v>9631</v>
      </c>
      <c r="B574" s="308" t="s">
        <v>11179</v>
      </c>
      <c r="C574" s="273" t="s">
        <v>10037</v>
      </c>
      <c r="D574" s="274" t="s">
        <v>10038</v>
      </c>
      <c r="E574" s="309" t="s">
        <v>11180</v>
      </c>
      <c r="F574" s="308" t="s">
        <v>4108</v>
      </c>
      <c r="G574" s="308" t="s">
        <v>4108</v>
      </c>
      <c r="H574" s="309"/>
      <c r="I574" s="311" t="s">
        <v>11181</v>
      </c>
      <c r="J574" s="309" t="s">
        <v>11180</v>
      </c>
    </row>
    <row r="575" spans="1:10" s="276" customFormat="1" ht="14.5" customHeight="1" x14ac:dyDescent="0.25">
      <c r="A575" s="308" t="s">
        <v>9631</v>
      </c>
      <c r="B575" s="308" t="s">
        <v>11179</v>
      </c>
      <c r="C575" s="273" t="s">
        <v>10039</v>
      </c>
      <c r="D575" s="274" t="s">
        <v>10040</v>
      </c>
      <c r="E575" s="309" t="s">
        <v>11180</v>
      </c>
      <c r="F575" s="308" t="s">
        <v>4108</v>
      </c>
      <c r="G575" s="308" t="s">
        <v>4108</v>
      </c>
      <c r="H575" s="309"/>
      <c r="I575" s="310" t="s">
        <v>11180</v>
      </c>
      <c r="J575" s="309" t="s">
        <v>11180</v>
      </c>
    </row>
    <row r="576" spans="1:10" s="276" customFormat="1" ht="14.5" customHeight="1" x14ac:dyDescent="0.25">
      <c r="A576" s="308" t="s">
        <v>9631</v>
      </c>
      <c r="B576" s="308" t="s">
        <v>11179</v>
      </c>
      <c r="C576" s="273" t="s">
        <v>10041</v>
      </c>
      <c r="D576" s="274" t="s">
        <v>10042</v>
      </c>
      <c r="E576" s="309" t="s">
        <v>11180</v>
      </c>
      <c r="F576" s="308" t="s">
        <v>4108</v>
      </c>
      <c r="G576" s="308" t="s">
        <v>4108</v>
      </c>
      <c r="H576" s="309"/>
      <c r="I576" s="310" t="s">
        <v>11180</v>
      </c>
      <c r="J576" s="309" t="s">
        <v>11180</v>
      </c>
    </row>
    <row r="577" spans="1:10" s="276" customFormat="1" ht="14.5" customHeight="1" x14ac:dyDescent="0.25">
      <c r="A577" s="308" t="s">
        <v>9631</v>
      </c>
      <c r="B577" s="308" t="s">
        <v>11179</v>
      </c>
      <c r="C577" s="273" t="s">
        <v>10043</v>
      </c>
      <c r="D577" s="274" t="s">
        <v>10044</v>
      </c>
      <c r="E577" s="309" t="s">
        <v>11180</v>
      </c>
      <c r="F577" s="308" t="s">
        <v>4108</v>
      </c>
      <c r="G577" s="308" t="s">
        <v>4108</v>
      </c>
      <c r="H577" s="309"/>
      <c r="I577" s="310" t="s">
        <v>11180</v>
      </c>
      <c r="J577" s="309" t="s">
        <v>11180</v>
      </c>
    </row>
    <row r="578" spans="1:10" s="276" customFormat="1" ht="14.5" customHeight="1" x14ac:dyDescent="0.25">
      <c r="A578" s="308" t="s">
        <v>9631</v>
      </c>
      <c r="B578" s="308" t="s">
        <v>11179</v>
      </c>
      <c r="C578" s="273" t="s">
        <v>10045</v>
      </c>
      <c r="D578" s="274" t="s">
        <v>10046</v>
      </c>
      <c r="E578" s="309" t="s">
        <v>11180</v>
      </c>
      <c r="F578" s="308" t="s">
        <v>4108</v>
      </c>
      <c r="G578" s="308" t="s">
        <v>4108</v>
      </c>
      <c r="H578" s="309"/>
      <c r="I578" s="310" t="s">
        <v>11180</v>
      </c>
      <c r="J578" s="309" t="s">
        <v>11180</v>
      </c>
    </row>
    <row r="579" spans="1:10" s="276" customFormat="1" ht="14.5" customHeight="1" x14ac:dyDescent="0.25">
      <c r="A579" s="308" t="s">
        <v>9631</v>
      </c>
      <c r="B579" s="308" t="s">
        <v>11179</v>
      </c>
      <c r="C579" s="273" t="s">
        <v>10047</v>
      </c>
      <c r="D579" s="274" t="s">
        <v>10048</v>
      </c>
      <c r="E579" s="309" t="s">
        <v>11180</v>
      </c>
      <c r="F579" s="308" t="s">
        <v>4108</v>
      </c>
      <c r="G579" s="308" t="s">
        <v>4108</v>
      </c>
      <c r="H579" s="309"/>
      <c r="I579" s="310" t="s">
        <v>11180</v>
      </c>
      <c r="J579" s="309" t="s">
        <v>11180</v>
      </c>
    </row>
    <row r="580" spans="1:10" s="276" customFormat="1" ht="14.5" customHeight="1" x14ac:dyDescent="0.25">
      <c r="A580" s="308" t="s">
        <v>9631</v>
      </c>
      <c r="B580" s="308" t="s">
        <v>11179</v>
      </c>
      <c r="C580" s="273" t="s">
        <v>10049</v>
      </c>
      <c r="D580" s="274" t="s">
        <v>10050</v>
      </c>
      <c r="E580" s="309" t="s">
        <v>11180</v>
      </c>
      <c r="F580" s="308" t="s">
        <v>4108</v>
      </c>
      <c r="G580" s="308" t="s">
        <v>4108</v>
      </c>
      <c r="H580" s="309"/>
      <c r="I580" s="310" t="s">
        <v>11180</v>
      </c>
      <c r="J580" s="309" t="s">
        <v>11180</v>
      </c>
    </row>
    <row r="581" spans="1:10" s="276" customFormat="1" ht="14.5" customHeight="1" x14ac:dyDescent="0.25">
      <c r="A581" s="308" t="s">
        <v>9631</v>
      </c>
      <c r="B581" s="308" t="s">
        <v>11179</v>
      </c>
      <c r="C581" s="273" t="s">
        <v>10051</v>
      </c>
      <c r="D581" s="274" t="s">
        <v>10052</v>
      </c>
      <c r="E581" s="309" t="s">
        <v>11180</v>
      </c>
      <c r="F581" s="308" t="s">
        <v>4108</v>
      </c>
      <c r="G581" s="308" t="s">
        <v>4108</v>
      </c>
      <c r="H581" s="309"/>
      <c r="I581" s="310" t="s">
        <v>11180</v>
      </c>
      <c r="J581" s="309" t="s">
        <v>11180</v>
      </c>
    </row>
    <row r="582" spans="1:10" s="276" customFormat="1" ht="14.5" customHeight="1" x14ac:dyDescent="0.25">
      <c r="A582" s="308" t="s">
        <v>9631</v>
      </c>
      <c r="B582" s="308" t="s">
        <v>11179</v>
      </c>
      <c r="C582" s="273" t="s">
        <v>10053</v>
      </c>
      <c r="D582" s="274" t="s">
        <v>10054</v>
      </c>
      <c r="E582" s="309" t="s">
        <v>11180</v>
      </c>
      <c r="F582" s="308" t="s">
        <v>4108</v>
      </c>
      <c r="G582" s="308" t="s">
        <v>4108</v>
      </c>
      <c r="H582" s="309"/>
      <c r="I582" s="310" t="s">
        <v>11180</v>
      </c>
      <c r="J582" s="309" t="s">
        <v>11180</v>
      </c>
    </row>
    <row r="583" spans="1:10" s="276" customFormat="1" ht="14.5" customHeight="1" x14ac:dyDescent="0.25">
      <c r="A583" s="308" t="s">
        <v>9631</v>
      </c>
      <c r="B583" s="308" t="s">
        <v>11179</v>
      </c>
      <c r="C583" s="273" t="s">
        <v>10055</v>
      </c>
      <c r="D583" s="274" t="s">
        <v>10056</v>
      </c>
      <c r="E583" s="309" t="s">
        <v>11180</v>
      </c>
      <c r="F583" s="308" t="s">
        <v>4108</v>
      </c>
      <c r="G583" s="308" t="s">
        <v>4108</v>
      </c>
      <c r="H583" s="309"/>
      <c r="I583" s="310" t="s">
        <v>11180</v>
      </c>
      <c r="J583" s="309" t="s">
        <v>11180</v>
      </c>
    </row>
    <row r="584" spans="1:10" s="276" customFormat="1" ht="14.5" customHeight="1" x14ac:dyDescent="0.25">
      <c r="A584" s="308" t="s">
        <v>9631</v>
      </c>
      <c r="B584" s="308" t="s">
        <v>11179</v>
      </c>
      <c r="C584" s="273" t="s">
        <v>10057</v>
      </c>
      <c r="D584" s="274" t="s">
        <v>10058</v>
      </c>
      <c r="E584" s="309" t="s">
        <v>11180</v>
      </c>
      <c r="F584" s="308" t="s">
        <v>4108</v>
      </c>
      <c r="G584" s="308" t="s">
        <v>4108</v>
      </c>
      <c r="H584" s="309"/>
      <c r="I584" s="310" t="s">
        <v>11180</v>
      </c>
      <c r="J584" s="309" t="s">
        <v>11180</v>
      </c>
    </row>
    <row r="585" spans="1:10" s="276" customFormat="1" ht="14.5" customHeight="1" x14ac:dyDescent="0.25">
      <c r="A585" s="308" t="s">
        <v>9631</v>
      </c>
      <c r="B585" s="308" t="s">
        <v>11179</v>
      </c>
      <c r="C585" s="273" t="s">
        <v>10059</v>
      </c>
      <c r="D585" s="274" t="s">
        <v>10060</v>
      </c>
      <c r="E585" s="309" t="s">
        <v>11180</v>
      </c>
      <c r="F585" s="308" t="s">
        <v>4108</v>
      </c>
      <c r="G585" s="308" t="s">
        <v>4108</v>
      </c>
      <c r="H585" s="309"/>
      <c r="I585" s="310" t="s">
        <v>11180</v>
      </c>
      <c r="J585" s="309" t="s">
        <v>11180</v>
      </c>
    </row>
    <row r="586" spans="1:10" s="276" customFormat="1" ht="14.5" customHeight="1" x14ac:dyDescent="0.25">
      <c r="A586" s="308" t="s">
        <v>9631</v>
      </c>
      <c r="B586" s="308" t="s">
        <v>11179</v>
      </c>
      <c r="C586" s="273" t="s">
        <v>10061</v>
      </c>
      <c r="D586" s="274" t="s">
        <v>10062</v>
      </c>
      <c r="E586" s="309" t="s">
        <v>11180</v>
      </c>
      <c r="F586" s="308" t="s">
        <v>4108</v>
      </c>
      <c r="G586" s="308" t="s">
        <v>4108</v>
      </c>
      <c r="H586" s="309"/>
      <c r="I586" s="310" t="s">
        <v>11180</v>
      </c>
      <c r="J586" s="309" t="s">
        <v>11180</v>
      </c>
    </row>
    <row r="587" spans="1:10" s="276" customFormat="1" ht="14.5" customHeight="1" x14ac:dyDescent="0.25">
      <c r="A587" s="308" t="s">
        <v>9631</v>
      </c>
      <c r="B587" s="308" t="s">
        <v>11179</v>
      </c>
      <c r="C587" s="273" t="s">
        <v>10063</v>
      </c>
      <c r="D587" s="274" t="s">
        <v>10064</v>
      </c>
      <c r="E587" s="309" t="s">
        <v>11180</v>
      </c>
      <c r="F587" s="308" t="s">
        <v>4108</v>
      </c>
      <c r="G587" s="308" t="s">
        <v>4108</v>
      </c>
      <c r="H587" s="309"/>
      <c r="I587" s="310" t="s">
        <v>11180</v>
      </c>
      <c r="J587" s="309" t="s">
        <v>11180</v>
      </c>
    </row>
    <row r="588" spans="1:10" s="276" customFormat="1" ht="14.5" customHeight="1" x14ac:dyDescent="0.25">
      <c r="A588" s="308" t="s">
        <v>9631</v>
      </c>
      <c r="B588" s="308" t="s">
        <v>11179</v>
      </c>
      <c r="C588" s="273" t="s">
        <v>10065</v>
      </c>
      <c r="D588" s="274" t="s">
        <v>10066</v>
      </c>
      <c r="E588" s="309" t="s">
        <v>11180</v>
      </c>
      <c r="F588" s="308" t="s">
        <v>4108</v>
      </c>
      <c r="G588" s="308" t="s">
        <v>4108</v>
      </c>
      <c r="H588" s="309"/>
      <c r="I588" s="310" t="s">
        <v>11180</v>
      </c>
      <c r="J588" s="309" t="s">
        <v>11180</v>
      </c>
    </row>
    <row r="589" spans="1:10" s="276" customFormat="1" ht="14.5" customHeight="1" x14ac:dyDescent="0.25">
      <c r="A589" s="308" t="s">
        <v>9631</v>
      </c>
      <c r="B589" s="308" t="s">
        <v>11179</v>
      </c>
      <c r="C589" s="273" t="s">
        <v>10067</v>
      </c>
      <c r="D589" s="274" t="s">
        <v>10068</v>
      </c>
      <c r="E589" s="309" t="s">
        <v>11180</v>
      </c>
      <c r="F589" s="308" t="s">
        <v>4108</v>
      </c>
      <c r="G589" s="308" t="s">
        <v>4108</v>
      </c>
      <c r="H589" s="309"/>
      <c r="I589" s="310" t="s">
        <v>11180</v>
      </c>
      <c r="J589" s="309" t="s">
        <v>11180</v>
      </c>
    </row>
    <row r="590" spans="1:10" s="276" customFormat="1" ht="14.5" customHeight="1" x14ac:dyDescent="0.25">
      <c r="A590" s="308" t="s">
        <v>9631</v>
      </c>
      <c r="B590" s="308" t="s">
        <v>11179</v>
      </c>
      <c r="C590" s="273" t="s">
        <v>10069</v>
      </c>
      <c r="D590" s="274" t="s">
        <v>10070</v>
      </c>
      <c r="E590" s="309" t="s">
        <v>11180</v>
      </c>
      <c r="F590" s="308" t="s">
        <v>4108</v>
      </c>
      <c r="G590" s="308" t="s">
        <v>4108</v>
      </c>
      <c r="H590" s="309"/>
      <c r="I590" s="310" t="s">
        <v>11180</v>
      </c>
      <c r="J590" s="309" t="s">
        <v>11180</v>
      </c>
    </row>
    <row r="591" spans="1:10" s="276" customFormat="1" ht="14.5" customHeight="1" x14ac:dyDescent="0.25">
      <c r="A591" s="308" t="s">
        <v>9631</v>
      </c>
      <c r="B591" s="308" t="s">
        <v>11179</v>
      </c>
      <c r="C591" s="273" t="s">
        <v>10071</v>
      </c>
      <c r="D591" s="274" t="s">
        <v>10072</v>
      </c>
      <c r="E591" s="309" t="s">
        <v>11180</v>
      </c>
      <c r="F591" s="308" t="s">
        <v>4108</v>
      </c>
      <c r="G591" s="308" t="s">
        <v>4108</v>
      </c>
      <c r="H591" s="309"/>
      <c r="I591" s="310" t="s">
        <v>11180</v>
      </c>
      <c r="J591" s="309" t="s">
        <v>11180</v>
      </c>
    </row>
    <row r="592" spans="1:10" s="276" customFormat="1" ht="14.5" customHeight="1" x14ac:dyDescent="0.25">
      <c r="A592" s="308" t="s">
        <v>9631</v>
      </c>
      <c r="B592" s="308" t="s">
        <v>11179</v>
      </c>
      <c r="C592" s="273" t="s">
        <v>10073</v>
      </c>
      <c r="D592" s="274" t="s">
        <v>10074</v>
      </c>
      <c r="E592" s="309" t="s">
        <v>11180</v>
      </c>
      <c r="F592" s="308" t="s">
        <v>4108</v>
      </c>
      <c r="G592" s="308" t="s">
        <v>4108</v>
      </c>
      <c r="H592" s="309"/>
      <c r="I592" s="310" t="s">
        <v>11180</v>
      </c>
      <c r="J592" s="309" t="s">
        <v>11180</v>
      </c>
    </row>
    <row r="593" spans="1:10" s="276" customFormat="1" ht="14.5" customHeight="1" x14ac:dyDescent="0.25">
      <c r="A593" s="308" t="s">
        <v>9631</v>
      </c>
      <c r="B593" s="308" t="s">
        <v>11179</v>
      </c>
      <c r="C593" s="273" t="s">
        <v>10075</v>
      </c>
      <c r="D593" s="274" t="s">
        <v>10076</v>
      </c>
      <c r="E593" s="309" t="s">
        <v>11180</v>
      </c>
      <c r="F593" s="308" t="s">
        <v>4108</v>
      </c>
      <c r="G593" s="308" t="s">
        <v>4108</v>
      </c>
      <c r="H593" s="309"/>
      <c r="I593" s="310" t="s">
        <v>11180</v>
      </c>
      <c r="J593" s="309" t="s">
        <v>11180</v>
      </c>
    </row>
    <row r="594" spans="1:10" s="276" customFormat="1" ht="14.5" customHeight="1" x14ac:dyDescent="0.25">
      <c r="A594" s="308" t="s">
        <v>9631</v>
      </c>
      <c r="B594" s="308" t="s">
        <v>11179</v>
      </c>
      <c r="C594" s="273" t="s">
        <v>10077</v>
      </c>
      <c r="D594" s="274" t="s">
        <v>9950</v>
      </c>
      <c r="E594" s="309" t="s">
        <v>11180</v>
      </c>
      <c r="F594" s="308" t="s">
        <v>4108</v>
      </c>
      <c r="G594" s="308" t="s">
        <v>4108</v>
      </c>
      <c r="H594" s="309"/>
      <c r="I594" s="311" t="s">
        <v>11182</v>
      </c>
      <c r="J594" s="309" t="s">
        <v>11180</v>
      </c>
    </row>
    <row r="595" spans="1:10" s="5" customFormat="1" ht="14.5" customHeight="1" x14ac:dyDescent="0.35">
      <c r="A595" s="308" t="s">
        <v>9631</v>
      </c>
      <c r="B595" s="308" t="s">
        <v>11179</v>
      </c>
      <c r="C595" s="273" t="s">
        <v>10078</v>
      </c>
      <c r="D595" s="274" t="s">
        <v>11183</v>
      </c>
      <c r="E595" s="309" t="s">
        <v>11180</v>
      </c>
      <c r="F595" s="308" t="s">
        <v>4108</v>
      </c>
      <c r="G595" s="308" t="s">
        <v>4108</v>
      </c>
      <c r="H595" s="309"/>
      <c r="I595" s="311" t="s">
        <v>11184</v>
      </c>
      <c r="J595" s="309" t="s">
        <v>11180</v>
      </c>
    </row>
    <row r="596" spans="1:10" s="5" customFormat="1" ht="14.5" customHeight="1" x14ac:dyDescent="0.35">
      <c r="A596" s="308" t="s">
        <v>9631</v>
      </c>
      <c r="B596" s="308" t="s">
        <v>11179</v>
      </c>
      <c r="C596" s="273" t="s">
        <v>10079</v>
      </c>
      <c r="D596" s="274" t="s">
        <v>10080</v>
      </c>
      <c r="E596" s="309" t="s">
        <v>11180</v>
      </c>
      <c r="F596" s="308" t="s">
        <v>4108</v>
      </c>
      <c r="G596" s="308" t="s">
        <v>4108</v>
      </c>
      <c r="H596" s="309"/>
      <c r="I596" s="310" t="s">
        <v>11180</v>
      </c>
      <c r="J596" s="309" t="s">
        <v>11180</v>
      </c>
    </row>
    <row r="597" spans="1:10" s="5" customFormat="1" ht="14.5" customHeight="1" x14ac:dyDescent="0.35">
      <c r="A597" s="308" t="s">
        <v>9631</v>
      </c>
      <c r="B597" s="308" t="s">
        <v>11179</v>
      </c>
      <c r="C597" s="273" t="s">
        <v>10081</v>
      </c>
      <c r="D597" s="274" t="s">
        <v>10082</v>
      </c>
      <c r="E597" s="309" t="s">
        <v>11180</v>
      </c>
      <c r="F597" s="308" t="s">
        <v>4108</v>
      </c>
      <c r="G597" s="308" t="s">
        <v>4108</v>
      </c>
      <c r="H597" s="309"/>
      <c r="I597" s="310" t="s">
        <v>11180</v>
      </c>
      <c r="J597" s="309" t="s">
        <v>11180</v>
      </c>
    </row>
    <row r="598" spans="1:10" s="5" customFormat="1" ht="14.5" customHeight="1" x14ac:dyDescent="0.35">
      <c r="A598" s="308" t="s">
        <v>9631</v>
      </c>
      <c r="B598" s="308" t="s">
        <v>11179</v>
      </c>
      <c r="C598" s="273" t="s">
        <v>10084</v>
      </c>
      <c r="D598" s="274" t="s">
        <v>10085</v>
      </c>
      <c r="E598" s="309" t="s">
        <v>11180</v>
      </c>
      <c r="F598" s="308" t="s">
        <v>4108</v>
      </c>
      <c r="G598" s="308" t="s">
        <v>4108</v>
      </c>
      <c r="H598" s="309"/>
      <c r="I598" s="310" t="s">
        <v>11180</v>
      </c>
      <c r="J598" s="309" t="s">
        <v>11180</v>
      </c>
    </row>
    <row r="599" spans="1:10" s="5" customFormat="1" ht="14.5" customHeight="1" x14ac:dyDescent="0.35">
      <c r="A599" s="308" t="s">
        <v>9631</v>
      </c>
      <c r="B599" s="308" t="s">
        <v>11179</v>
      </c>
      <c r="C599" s="273" t="s">
        <v>10086</v>
      </c>
      <c r="D599" s="274" t="s">
        <v>10087</v>
      </c>
      <c r="E599" s="309" t="s">
        <v>11180</v>
      </c>
      <c r="F599" s="308" t="s">
        <v>4108</v>
      </c>
      <c r="G599" s="308" t="s">
        <v>4108</v>
      </c>
      <c r="H599" s="309"/>
      <c r="I599" s="311" t="s">
        <v>11185</v>
      </c>
      <c r="J599" s="309" t="s">
        <v>11180</v>
      </c>
    </row>
    <row r="600" spans="1:10" s="5" customFormat="1" ht="14.5" customHeight="1" x14ac:dyDescent="0.35">
      <c r="A600" s="308" t="s">
        <v>9631</v>
      </c>
      <c r="B600" s="308" t="s">
        <v>11179</v>
      </c>
      <c r="C600" s="273" t="s">
        <v>10088</v>
      </c>
      <c r="D600" s="274" t="s">
        <v>10089</v>
      </c>
      <c r="E600" s="309" t="s">
        <v>11180</v>
      </c>
      <c r="F600" s="308" t="s">
        <v>4108</v>
      </c>
      <c r="G600" s="308" t="s">
        <v>4108</v>
      </c>
      <c r="H600" s="309"/>
      <c r="I600" s="310" t="s">
        <v>11180</v>
      </c>
      <c r="J600" s="309" t="s">
        <v>11180</v>
      </c>
    </row>
    <row r="601" spans="1:10" s="5" customFormat="1" ht="14.5" customHeight="1" x14ac:dyDescent="0.35">
      <c r="A601" s="308" t="s">
        <v>9631</v>
      </c>
      <c r="B601" s="308" t="s">
        <v>11179</v>
      </c>
      <c r="C601" s="273" t="s">
        <v>10091</v>
      </c>
      <c r="D601" s="274" t="s">
        <v>10092</v>
      </c>
      <c r="E601" s="309" t="s">
        <v>11180</v>
      </c>
      <c r="F601" s="308" t="s">
        <v>4108</v>
      </c>
      <c r="G601" s="308" t="s">
        <v>4108</v>
      </c>
      <c r="H601" s="309"/>
      <c r="I601" s="310" t="s">
        <v>11180</v>
      </c>
      <c r="J601" s="309" t="s">
        <v>11180</v>
      </c>
    </row>
    <row r="602" spans="1:10" s="5" customFormat="1" ht="14.5" customHeight="1" x14ac:dyDescent="0.35">
      <c r="A602" s="308" t="s">
        <v>9631</v>
      </c>
      <c r="B602" s="308" t="s">
        <v>11179</v>
      </c>
      <c r="C602" s="273" t="s">
        <v>10093</v>
      </c>
      <c r="D602" s="274" t="s">
        <v>10094</v>
      </c>
      <c r="E602" s="309" t="s">
        <v>11180</v>
      </c>
      <c r="F602" s="308" t="s">
        <v>4108</v>
      </c>
      <c r="G602" s="308" t="s">
        <v>4108</v>
      </c>
      <c r="H602" s="309"/>
      <c r="I602" s="310" t="s">
        <v>11180</v>
      </c>
      <c r="J602" s="309" t="s">
        <v>11180</v>
      </c>
    </row>
    <row r="603" spans="1:10" s="5" customFormat="1" ht="14.5" customHeight="1" x14ac:dyDescent="0.35">
      <c r="A603" s="308" t="s">
        <v>9631</v>
      </c>
      <c r="B603" s="308" t="s">
        <v>11179</v>
      </c>
      <c r="C603" s="273" t="s">
        <v>10095</v>
      </c>
      <c r="D603" s="274" t="s">
        <v>9914</v>
      </c>
      <c r="E603" s="309" t="s">
        <v>11180</v>
      </c>
      <c r="F603" s="308" t="s">
        <v>4108</v>
      </c>
      <c r="G603" s="308" t="s">
        <v>4108</v>
      </c>
      <c r="H603" s="309"/>
      <c r="I603" s="310" t="s">
        <v>11180</v>
      </c>
      <c r="J603" s="309" t="s">
        <v>11180</v>
      </c>
    </row>
    <row r="604" spans="1:10" s="5" customFormat="1" ht="14.5" customHeight="1" x14ac:dyDescent="0.35">
      <c r="A604" s="308" t="s">
        <v>9631</v>
      </c>
      <c r="B604" s="308" t="s">
        <v>11179</v>
      </c>
      <c r="C604" s="277" t="s">
        <v>10096</v>
      </c>
      <c r="D604" s="274" t="s">
        <v>10097</v>
      </c>
      <c r="E604" s="309" t="s">
        <v>11180</v>
      </c>
      <c r="F604" s="308" t="s">
        <v>4108</v>
      </c>
      <c r="G604" s="308" t="s">
        <v>4108</v>
      </c>
      <c r="H604" s="309"/>
      <c r="I604" s="311" t="s">
        <v>11186</v>
      </c>
      <c r="J604" s="309" t="s">
        <v>11180</v>
      </c>
    </row>
    <row r="605" spans="1:10" s="5" customFormat="1" ht="14.5" customHeight="1" x14ac:dyDescent="0.35">
      <c r="A605" s="308" t="s">
        <v>9631</v>
      </c>
      <c r="B605" s="308" t="s">
        <v>11179</v>
      </c>
      <c r="C605" s="277" t="s">
        <v>10098</v>
      </c>
      <c r="D605" s="274" t="s">
        <v>10099</v>
      </c>
      <c r="E605" s="309" t="s">
        <v>11180</v>
      </c>
      <c r="F605" s="308" t="s">
        <v>4108</v>
      </c>
      <c r="G605" s="308" t="s">
        <v>4108</v>
      </c>
      <c r="H605" s="309"/>
      <c r="I605" s="311" t="s">
        <v>11186</v>
      </c>
      <c r="J605" s="309" t="s">
        <v>11180</v>
      </c>
    </row>
    <row r="606" spans="1:10" ht="14.5" customHeight="1" x14ac:dyDescent="0.25">
      <c r="A606" s="278" t="s">
        <v>3705</v>
      </c>
      <c r="B606" s="278" t="s">
        <v>10904</v>
      </c>
      <c r="C606" s="278" t="s">
        <v>10100</v>
      </c>
      <c r="D606" s="279" t="s">
        <v>10101</v>
      </c>
      <c r="E606" s="306" t="s">
        <v>10969</v>
      </c>
      <c r="F606" s="278" t="s">
        <v>4109</v>
      </c>
      <c r="G606" s="278" t="s">
        <v>4108</v>
      </c>
      <c r="H606" s="306" t="s">
        <v>11187</v>
      </c>
      <c r="I606" s="269" t="s">
        <v>11188</v>
      </c>
      <c r="J606" s="306" t="s">
        <v>10969</v>
      </c>
    </row>
    <row r="607" spans="1:10" ht="14.5" customHeight="1" x14ac:dyDescent="0.25">
      <c r="A607" s="278" t="s">
        <v>3705</v>
      </c>
      <c r="B607" s="278" t="s">
        <v>10904</v>
      </c>
      <c r="C607" s="278" t="s">
        <v>10100</v>
      </c>
      <c r="D607" s="279" t="s">
        <v>10101</v>
      </c>
      <c r="E607" s="306" t="s">
        <v>10969</v>
      </c>
      <c r="F607" s="278" t="s">
        <v>4109</v>
      </c>
      <c r="G607" s="278" t="s">
        <v>4108</v>
      </c>
      <c r="H607" s="306" t="s">
        <v>11189</v>
      </c>
      <c r="I607" s="269" t="s">
        <v>11190</v>
      </c>
      <c r="J607" s="306" t="s">
        <v>10969</v>
      </c>
    </row>
    <row r="608" spans="1:10" ht="14.5" customHeight="1" x14ac:dyDescent="0.25">
      <c r="A608" s="278" t="s">
        <v>3705</v>
      </c>
      <c r="B608" s="278" t="s">
        <v>10904</v>
      </c>
      <c r="C608" s="278" t="s">
        <v>10100</v>
      </c>
      <c r="D608" s="279" t="s">
        <v>10101</v>
      </c>
      <c r="E608" s="306" t="s">
        <v>10969</v>
      </c>
      <c r="F608" s="278" t="s">
        <v>4109</v>
      </c>
      <c r="G608" s="278" t="s">
        <v>4108</v>
      </c>
      <c r="H608" s="306" t="s">
        <v>11191</v>
      </c>
      <c r="I608" s="269" t="s">
        <v>11192</v>
      </c>
      <c r="J608" s="306" t="s">
        <v>10969</v>
      </c>
    </row>
    <row r="609" spans="1:10" ht="14.5" customHeight="1" x14ac:dyDescent="0.25">
      <c r="A609" s="278" t="s">
        <v>3705</v>
      </c>
      <c r="B609" s="278" t="s">
        <v>10904</v>
      </c>
      <c r="C609" s="278" t="s">
        <v>10100</v>
      </c>
      <c r="D609" s="279" t="s">
        <v>10101</v>
      </c>
      <c r="E609" s="306" t="s">
        <v>10969</v>
      </c>
      <c r="F609" s="278" t="s">
        <v>4109</v>
      </c>
      <c r="G609" s="278" t="s">
        <v>4108</v>
      </c>
      <c r="H609" s="306" t="s">
        <v>11193</v>
      </c>
      <c r="I609" s="269" t="s">
        <v>11194</v>
      </c>
      <c r="J609" s="306" t="s">
        <v>10969</v>
      </c>
    </row>
    <row r="610" spans="1:10" ht="14.5" customHeight="1" x14ac:dyDescent="0.25">
      <c r="A610" s="278" t="s">
        <v>3705</v>
      </c>
      <c r="B610" s="278" t="s">
        <v>10904</v>
      </c>
      <c r="C610" s="278" t="s">
        <v>10102</v>
      </c>
      <c r="D610" s="279" t="s">
        <v>10103</v>
      </c>
      <c r="E610" s="306" t="s">
        <v>10969</v>
      </c>
      <c r="F610" s="278" t="s">
        <v>4109</v>
      </c>
      <c r="G610" s="278" t="s">
        <v>4108</v>
      </c>
      <c r="H610" s="306" t="s">
        <v>11189</v>
      </c>
      <c r="I610" s="269" t="s">
        <v>11190</v>
      </c>
      <c r="J610" s="306" t="s">
        <v>10969</v>
      </c>
    </row>
    <row r="611" spans="1:10" ht="14.5" customHeight="1" x14ac:dyDescent="0.25">
      <c r="A611" s="278" t="s">
        <v>3705</v>
      </c>
      <c r="B611" s="278" t="s">
        <v>10904</v>
      </c>
      <c r="C611" s="278" t="s">
        <v>10102</v>
      </c>
      <c r="D611" s="279" t="s">
        <v>10103</v>
      </c>
      <c r="E611" s="306" t="s">
        <v>10969</v>
      </c>
      <c r="F611" s="278" t="s">
        <v>4109</v>
      </c>
      <c r="G611" s="278" t="s">
        <v>4108</v>
      </c>
      <c r="H611" s="306" t="s">
        <v>11191</v>
      </c>
      <c r="I611" s="269" t="s">
        <v>11192</v>
      </c>
      <c r="J611" s="306" t="s">
        <v>10969</v>
      </c>
    </row>
    <row r="612" spans="1:10" ht="14.5" customHeight="1" x14ac:dyDescent="0.25">
      <c r="A612" s="278" t="s">
        <v>3705</v>
      </c>
      <c r="B612" s="278" t="s">
        <v>10904</v>
      </c>
      <c r="C612" s="278" t="s">
        <v>10102</v>
      </c>
      <c r="D612" s="279" t="s">
        <v>10103</v>
      </c>
      <c r="E612" s="306" t="s">
        <v>10969</v>
      </c>
      <c r="F612" s="278" t="s">
        <v>4109</v>
      </c>
      <c r="G612" s="278" t="s">
        <v>4108</v>
      </c>
      <c r="H612" s="306" t="s">
        <v>11193</v>
      </c>
      <c r="I612" s="269" t="s">
        <v>11194</v>
      </c>
      <c r="J612" s="306" t="s">
        <v>10969</v>
      </c>
    </row>
    <row r="613" spans="1:10" ht="14.5" customHeight="1" x14ac:dyDescent="0.25">
      <c r="A613" s="278" t="s">
        <v>3705</v>
      </c>
      <c r="B613" s="278" t="s">
        <v>10904</v>
      </c>
      <c r="C613" s="278" t="s">
        <v>10104</v>
      </c>
      <c r="D613" s="279" t="s">
        <v>10105</v>
      </c>
      <c r="E613" s="306" t="s">
        <v>10969</v>
      </c>
      <c r="F613" s="278" t="s">
        <v>4109</v>
      </c>
      <c r="G613" s="278" t="s">
        <v>4108</v>
      </c>
      <c r="H613" s="306" t="s">
        <v>11191</v>
      </c>
      <c r="I613" s="269" t="s">
        <v>11192</v>
      </c>
      <c r="J613" s="306" t="s">
        <v>10969</v>
      </c>
    </row>
    <row r="614" spans="1:10" ht="14.5" customHeight="1" x14ac:dyDescent="0.25">
      <c r="A614" s="278" t="s">
        <v>3705</v>
      </c>
      <c r="B614" s="278" t="s">
        <v>10904</v>
      </c>
      <c r="C614" s="278" t="s">
        <v>10104</v>
      </c>
      <c r="D614" s="279" t="s">
        <v>10105</v>
      </c>
      <c r="E614" s="306" t="s">
        <v>10969</v>
      </c>
      <c r="F614" s="278" t="s">
        <v>4109</v>
      </c>
      <c r="G614" s="278" t="s">
        <v>4108</v>
      </c>
      <c r="H614" s="306" t="s">
        <v>11195</v>
      </c>
      <c r="I614" s="269" t="s">
        <v>11196</v>
      </c>
      <c r="J614" s="306" t="s">
        <v>10969</v>
      </c>
    </row>
    <row r="615" spans="1:10" ht="14.5" customHeight="1" x14ac:dyDescent="0.25">
      <c r="A615" s="278" t="s">
        <v>3705</v>
      </c>
      <c r="B615" s="278" t="s">
        <v>10904</v>
      </c>
      <c r="C615" s="278" t="s">
        <v>10104</v>
      </c>
      <c r="D615" s="279" t="s">
        <v>10105</v>
      </c>
      <c r="E615" s="306" t="s">
        <v>10969</v>
      </c>
      <c r="F615" s="278" t="s">
        <v>4109</v>
      </c>
      <c r="G615" s="278" t="s">
        <v>4108</v>
      </c>
      <c r="H615" s="306" t="s">
        <v>11197</v>
      </c>
      <c r="I615" s="269" t="s">
        <v>11198</v>
      </c>
      <c r="J615" s="306" t="s">
        <v>10969</v>
      </c>
    </row>
    <row r="616" spans="1:10" ht="14.5" customHeight="1" x14ac:dyDescent="0.25">
      <c r="A616" s="278" t="s">
        <v>3705</v>
      </c>
      <c r="B616" s="278" t="s">
        <v>10904</v>
      </c>
      <c r="C616" s="278" t="s">
        <v>10104</v>
      </c>
      <c r="D616" s="279" t="s">
        <v>10105</v>
      </c>
      <c r="E616" s="306" t="s">
        <v>10969</v>
      </c>
      <c r="F616" s="278" t="s">
        <v>4109</v>
      </c>
      <c r="G616" s="278" t="s">
        <v>4108</v>
      </c>
      <c r="H616" s="306" t="s">
        <v>11199</v>
      </c>
      <c r="I616" s="269" t="s">
        <v>11200</v>
      </c>
      <c r="J616" s="306" t="s">
        <v>10969</v>
      </c>
    </row>
    <row r="617" spans="1:10" ht="14.5" customHeight="1" x14ac:dyDescent="0.25">
      <c r="A617" s="278" t="s">
        <v>3705</v>
      </c>
      <c r="B617" s="278" t="s">
        <v>10904</v>
      </c>
      <c r="C617" s="278" t="s">
        <v>10104</v>
      </c>
      <c r="D617" s="279" t="s">
        <v>10105</v>
      </c>
      <c r="E617" s="306" t="s">
        <v>10969</v>
      </c>
      <c r="F617" s="278" t="s">
        <v>4109</v>
      </c>
      <c r="G617" s="278" t="s">
        <v>4108</v>
      </c>
      <c r="H617" s="306" t="s">
        <v>11201</v>
      </c>
      <c r="I617" s="269" t="s">
        <v>11202</v>
      </c>
      <c r="J617" s="306" t="s">
        <v>10969</v>
      </c>
    </row>
    <row r="618" spans="1:10" ht="14.5" customHeight="1" x14ac:dyDescent="0.25">
      <c r="A618" s="278" t="s">
        <v>3705</v>
      </c>
      <c r="B618" s="278" t="s">
        <v>10904</v>
      </c>
      <c r="C618" s="278" t="s">
        <v>10104</v>
      </c>
      <c r="D618" s="279" t="s">
        <v>10105</v>
      </c>
      <c r="E618" s="306" t="s">
        <v>10969</v>
      </c>
      <c r="F618" s="278" t="s">
        <v>4109</v>
      </c>
      <c r="G618" s="278" t="s">
        <v>4108</v>
      </c>
      <c r="H618" s="306" t="s">
        <v>11193</v>
      </c>
      <c r="I618" s="269" t="s">
        <v>11194</v>
      </c>
      <c r="J618" s="306" t="s">
        <v>10969</v>
      </c>
    </row>
    <row r="619" spans="1:10" ht="14.5" customHeight="1" x14ac:dyDescent="0.25">
      <c r="A619" s="352" t="s">
        <v>3705</v>
      </c>
      <c r="B619" s="284" t="s">
        <v>10904</v>
      </c>
      <c r="C619" s="284" t="s">
        <v>29</v>
      </c>
      <c r="D619" s="285" t="s">
        <v>10106</v>
      </c>
      <c r="E619" s="342" t="s">
        <v>10969</v>
      </c>
      <c r="F619" s="284" t="s">
        <v>4109</v>
      </c>
      <c r="G619" s="284" t="s">
        <v>4108</v>
      </c>
      <c r="H619" s="342" t="s">
        <v>11203</v>
      </c>
      <c r="I619" s="271" t="s">
        <v>11204</v>
      </c>
      <c r="J619" s="342" t="s">
        <v>10969</v>
      </c>
    </row>
    <row r="620" spans="1:10" ht="14.5" customHeight="1" x14ac:dyDescent="0.25">
      <c r="A620" s="278" t="s">
        <v>3705</v>
      </c>
      <c r="B620" s="278" t="s">
        <v>10904</v>
      </c>
      <c r="C620" s="278" t="s">
        <v>29</v>
      </c>
      <c r="D620" s="279" t="s">
        <v>10106</v>
      </c>
      <c r="E620" s="306" t="s">
        <v>10969</v>
      </c>
      <c r="F620" s="278" t="s">
        <v>4109</v>
      </c>
      <c r="G620" s="278" t="s">
        <v>4108</v>
      </c>
      <c r="H620" s="306" t="s">
        <v>11187</v>
      </c>
      <c r="I620" s="269" t="s">
        <v>11188</v>
      </c>
      <c r="J620" s="306" t="s">
        <v>10969</v>
      </c>
    </row>
    <row r="621" spans="1:10" ht="14.5" customHeight="1" x14ac:dyDescent="0.25">
      <c r="A621" s="352" t="s">
        <v>3705</v>
      </c>
      <c r="B621" s="284" t="s">
        <v>10904</v>
      </c>
      <c r="C621" s="284" t="s">
        <v>29</v>
      </c>
      <c r="D621" s="285" t="s">
        <v>10106</v>
      </c>
      <c r="E621" s="342" t="s">
        <v>10969</v>
      </c>
      <c r="F621" s="284" t="s">
        <v>4109</v>
      </c>
      <c r="G621" s="284" t="s">
        <v>4108</v>
      </c>
      <c r="H621" s="342" t="s">
        <v>11205</v>
      </c>
      <c r="I621" s="271" t="s">
        <v>11206</v>
      </c>
      <c r="J621" s="342" t="s">
        <v>10969</v>
      </c>
    </row>
    <row r="622" spans="1:10" ht="14.5" customHeight="1" x14ac:dyDescent="0.25">
      <c r="A622" s="278" t="s">
        <v>3705</v>
      </c>
      <c r="B622" s="278" t="s">
        <v>10904</v>
      </c>
      <c r="C622" s="278" t="s">
        <v>29</v>
      </c>
      <c r="D622" s="279" t="s">
        <v>10106</v>
      </c>
      <c r="E622" s="306" t="s">
        <v>10969</v>
      </c>
      <c r="F622" s="278" t="s">
        <v>4109</v>
      </c>
      <c r="G622" s="278" t="s">
        <v>4108</v>
      </c>
      <c r="H622" s="306" t="s">
        <v>11207</v>
      </c>
      <c r="I622" s="269" t="s">
        <v>11208</v>
      </c>
      <c r="J622" s="306" t="s">
        <v>10969</v>
      </c>
    </row>
    <row r="623" spans="1:10" ht="14.5" customHeight="1" x14ac:dyDescent="0.25">
      <c r="A623" s="352" t="s">
        <v>3705</v>
      </c>
      <c r="B623" s="284" t="s">
        <v>10904</v>
      </c>
      <c r="C623" s="284" t="s">
        <v>29</v>
      </c>
      <c r="D623" s="285" t="s">
        <v>10106</v>
      </c>
      <c r="E623" s="342" t="s">
        <v>10969</v>
      </c>
      <c r="F623" s="284" t="s">
        <v>4109</v>
      </c>
      <c r="G623" s="284" t="s">
        <v>4108</v>
      </c>
      <c r="H623" s="342" t="s">
        <v>11189</v>
      </c>
      <c r="I623" s="271" t="s">
        <v>11190</v>
      </c>
      <c r="J623" s="342" t="s">
        <v>10969</v>
      </c>
    </row>
    <row r="624" spans="1:10" ht="14.5" customHeight="1" x14ac:dyDescent="0.25">
      <c r="A624" s="278" t="s">
        <v>3705</v>
      </c>
      <c r="B624" s="278" t="s">
        <v>10904</v>
      </c>
      <c r="C624" s="278" t="s">
        <v>29</v>
      </c>
      <c r="D624" s="279" t="s">
        <v>10106</v>
      </c>
      <c r="E624" s="306" t="s">
        <v>10969</v>
      </c>
      <c r="F624" s="278" t="s">
        <v>4109</v>
      </c>
      <c r="G624" s="278" t="s">
        <v>4108</v>
      </c>
      <c r="H624" s="306" t="s">
        <v>11191</v>
      </c>
      <c r="I624" s="269" t="s">
        <v>11192</v>
      </c>
      <c r="J624" s="306" t="s">
        <v>10969</v>
      </c>
    </row>
    <row r="625" spans="1:10" ht="14.5" customHeight="1" x14ac:dyDescent="0.25">
      <c r="A625" s="278" t="s">
        <v>3705</v>
      </c>
      <c r="B625" s="278" t="s">
        <v>10904</v>
      </c>
      <c r="C625" s="278" t="s">
        <v>29</v>
      </c>
      <c r="D625" s="279" t="s">
        <v>10106</v>
      </c>
      <c r="E625" s="306" t="s">
        <v>10969</v>
      </c>
      <c r="F625" s="278" t="s">
        <v>4109</v>
      </c>
      <c r="G625" s="278" t="s">
        <v>4108</v>
      </c>
      <c r="H625" s="306" t="s">
        <v>11209</v>
      </c>
      <c r="I625" s="269" t="s">
        <v>11210</v>
      </c>
      <c r="J625" s="306" t="s">
        <v>10969</v>
      </c>
    </row>
    <row r="626" spans="1:10" ht="14.5" customHeight="1" x14ac:dyDescent="0.25">
      <c r="A626" s="356" t="s">
        <v>3705</v>
      </c>
      <c r="B626" s="338" t="s">
        <v>10904</v>
      </c>
      <c r="C626" s="338" t="s">
        <v>29</v>
      </c>
      <c r="D626" s="339" t="s">
        <v>10106</v>
      </c>
      <c r="E626" s="340" t="s">
        <v>10969</v>
      </c>
      <c r="F626" s="338" t="s">
        <v>4109</v>
      </c>
      <c r="G626" s="338" t="s">
        <v>4108</v>
      </c>
      <c r="H626" s="340" t="s">
        <v>11197</v>
      </c>
      <c r="I626" s="341" t="s">
        <v>11198</v>
      </c>
      <c r="J626" s="340" t="s">
        <v>10969</v>
      </c>
    </row>
    <row r="627" spans="1:10" ht="14.5" customHeight="1" x14ac:dyDescent="0.25">
      <c r="A627" s="352" t="s">
        <v>3705</v>
      </c>
      <c r="B627" s="284" t="s">
        <v>10904</v>
      </c>
      <c r="C627" s="284" t="s">
        <v>29</v>
      </c>
      <c r="D627" s="285" t="s">
        <v>10106</v>
      </c>
      <c r="E627" s="342" t="s">
        <v>10969</v>
      </c>
      <c r="F627" s="284" t="s">
        <v>4109</v>
      </c>
      <c r="G627" s="284" t="s">
        <v>4108</v>
      </c>
      <c r="H627" s="342" t="s">
        <v>11199</v>
      </c>
      <c r="I627" s="271" t="s">
        <v>11200</v>
      </c>
      <c r="J627" s="342" t="s">
        <v>10969</v>
      </c>
    </row>
    <row r="628" spans="1:10" ht="14.5" customHeight="1" x14ac:dyDescent="0.25">
      <c r="A628" s="352" t="s">
        <v>3705</v>
      </c>
      <c r="B628" s="284" t="s">
        <v>10904</v>
      </c>
      <c r="C628" s="284" t="s">
        <v>29</v>
      </c>
      <c r="D628" s="285" t="s">
        <v>10106</v>
      </c>
      <c r="E628" s="342" t="s">
        <v>10969</v>
      </c>
      <c r="F628" s="284" t="s">
        <v>4109</v>
      </c>
      <c r="G628" s="284" t="s">
        <v>4108</v>
      </c>
      <c r="H628" s="342" t="s">
        <v>11201</v>
      </c>
      <c r="I628" s="271" t="s">
        <v>11202</v>
      </c>
      <c r="J628" s="342" t="s">
        <v>10969</v>
      </c>
    </row>
    <row r="629" spans="1:10" ht="14.5" customHeight="1" x14ac:dyDescent="0.25">
      <c r="A629" s="278" t="s">
        <v>3705</v>
      </c>
      <c r="B629" s="278" t="s">
        <v>10904</v>
      </c>
      <c r="C629" s="278" t="s">
        <v>29</v>
      </c>
      <c r="D629" s="279" t="s">
        <v>10106</v>
      </c>
      <c r="E629" s="306" t="s">
        <v>10969</v>
      </c>
      <c r="F629" s="278" t="s">
        <v>4109</v>
      </c>
      <c r="G629" s="278" t="s">
        <v>4108</v>
      </c>
      <c r="H629" s="306" t="s">
        <v>11193</v>
      </c>
      <c r="I629" s="269" t="s">
        <v>11194</v>
      </c>
      <c r="J629" s="306" t="s">
        <v>10969</v>
      </c>
    </row>
    <row r="630" spans="1:10" ht="14.5" customHeight="1" x14ac:dyDescent="0.25">
      <c r="A630" s="278" t="s">
        <v>3705</v>
      </c>
      <c r="B630" s="278" t="s">
        <v>10904</v>
      </c>
      <c r="C630" s="278" t="s">
        <v>10107</v>
      </c>
      <c r="D630" s="279" t="s">
        <v>10108</v>
      </c>
      <c r="E630" s="306" t="s">
        <v>10969</v>
      </c>
      <c r="F630" s="278" t="s">
        <v>4109</v>
      </c>
      <c r="G630" s="278" t="s">
        <v>4108</v>
      </c>
      <c r="H630" s="306" t="s">
        <v>11187</v>
      </c>
      <c r="I630" s="269" t="s">
        <v>11188</v>
      </c>
      <c r="J630" s="306" t="s">
        <v>10969</v>
      </c>
    </row>
    <row r="631" spans="1:10" ht="14.5" customHeight="1" x14ac:dyDescent="0.25">
      <c r="A631" s="352" t="s">
        <v>3705</v>
      </c>
      <c r="B631" s="284" t="s">
        <v>10904</v>
      </c>
      <c r="C631" s="284" t="s">
        <v>10107</v>
      </c>
      <c r="D631" s="285" t="s">
        <v>10108</v>
      </c>
      <c r="E631" s="342" t="s">
        <v>10969</v>
      </c>
      <c r="F631" s="284" t="s">
        <v>4109</v>
      </c>
      <c r="G631" s="284" t="s">
        <v>4108</v>
      </c>
      <c r="H631" s="342" t="s">
        <v>11205</v>
      </c>
      <c r="I631" s="271" t="s">
        <v>11206</v>
      </c>
      <c r="J631" s="342" t="s">
        <v>10969</v>
      </c>
    </row>
    <row r="632" spans="1:10" ht="14.5" customHeight="1" x14ac:dyDescent="0.25">
      <c r="A632" s="278" t="s">
        <v>3705</v>
      </c>
      <c r="B632" s="278" t="s">
        <v>10904</v>
      </c>
      <c r="C632" s="278" t="s">
        <v>10107</v>
      </c>
      <c r="D632" s="279" t="s">
        <v>10108</v>
      </c>
      <c r="E632" s="306" t="s">
        <v>10969</v>
      </c>
      <c r="F632" s="278" t="s">
        <v>4109</v>
      </c>
      <c r="G632" s="278" t="s">
        <v>4108</v>
      </c>
      <c r="H632" s="306" t="s">
        <v>11207</v>
      </c>
      <c r="I632" s="269" t="s">
        <v>11208</v>
      </c>
      <c r="J632" s="306" t="s">
        <v>10969</v>
      </c>
    </row>
    <row r="633" spans="1:10" ht="14.5" customHeight="1" x14ac:dyDescent="0.25">
      <c r="A633" s="278" t="s">
        <v>3705</v>
      </c>
      <c r="B633" s="278" t="s">
        <v>10904</v>
      </c>
      <c r="C633" s="278" t="s">
        <v>10107</v>
      </c>
      <c r="D633" s="279" t="s">
        <v>10108</v>
      </c>
      <c r="E633" s="306" t="s">
        <v>10969</v>
      </c>
      <c r="F633" s="278" t="s">
        <v>4109</v>
      </c>
      <c r="G633" s="278" t="s">
        <v>4108</v>
      </c>
      <c r="H633" s="306" t="s">
        <v>11191</v>
      </c>
      <c r="I633" s="269" t="s">
        <v>11192</v>
      </c>
      <c r="J633" s="306" t="s">
        <v>10969</v>
      </c>
    </row>
    <row r="634" spans="1:10" ht="14.5" customHeight="1" x14ac:dyDescent="0.25">
      <c r="A634" s="278" t="s">
        <v>3705</v>
      </c>
      <c r="B634" s="278" t="s">
        <v>10904</v>
      </c>
      <c r="C634" s="278" t="s">
        <v>10107</v>
      </c>
      <c r="D634" s="279" t="s">
        <v>10108</v>
      </c>
      <c r="E634" s="306" t="s">
        <v>10969</v>
      </c>
      <c r="F634" s="278" t="s">
        <v>4109</v>
      </c>
      <c r="G634" s="278" t="s">
        <v>4108</v>
      </c>
      <c r="H634" s="306" t="s">
        <v>11209</v>
      </c>
      <c r="I634" s="269" t="s">
        <v>11210</v>
      </c>
      <c r="J634" s="306" t="s">
        <v>10969</v>
      </c>
    </row>
    <row r="635" spans="1:10" ht="14.5" customHeight="1" x14ac:dyDescent="0.25">
      <c r="A635" s="278" t="s">
        <v>3705</v>
      </c>
      <c r="B635" s="278" t="s">
        <v>10904</v>
      </c>
      <c r="C635" s="278" t="s">
        <v>10107</v>
      </c>
      <c r="D635" s="279" t="s">
        <v>10108</v>
      </c>
      <c r="E635" s="306" t="s">
        <v>10969</v>
      </c>
      <c r="F635" s="278" t="s">
        <v>4109</v>
      </c>
      <c r="G635" s="278" t="s">
        <v>4108</v>
      </c>
      <c r="H635" s="306" t="s">
        <v>11193</v>
      </c>
      <c r="I635" s="269" t="s">
        <v>11194</v>
      </c>
      <c r="J635" s="306" t="s">
        <v>10969</v>
      </c>
    </row>
    <row r="636" spans="1:10" ht="14.5" customHeight="1" x14ac:dyDescent="0.25">
      <c r="A636" s="278" t="s">
        <v>3705</v>
      </c>
      <c r="B636" s="278" t="s">
        <v>10904</v>
      </c>
      <c r="C636" s="278" t="s">
        <v>10109</v>
      </c>
      <c r="D636" s="279" t="s">
        <v>10110</v>
      </c>
      <c r="E636" s="306" t="s">
        <v>10969</v>
      </c>
      <c r="F636" s="278" t="s">
        <v>4109</v>
      </c>
      <c r="G636" s="278" t="s">
        <v>4108</v>
      </c>
      <c r="H636" s="306" t="s">
        <v>11191</v>
      </c>
      <c r="I636" s="269" t="s">
        <v>11192</v>
      </c>
      <c r="J636" s="306" t="s">
        <v>10969</v>
      </c>
    </row>
    <row r="637" spans="1:10" ht="14.5" customHeight="1" x14ac:dyDescent="0.25">
      <c r="A637" s="278" t="s">
        <v>3705</v>
      </c>
      <c r="B637" s="278" t="s">
        <v>10904</v>
      </c>
      <c r="C637" s="278" t="s">
        <v>10109</v>
      </c>
      <c r="D637" s="279" t="s">
        <v>10110</v>
      </c>
      <c r="E637" s="306" t="s">
        <v>10969</v>
      </c>
      <c r="F637" s="278" t="s">
        <v>4109</v>
      </c>
      <c r="G637" s="278" t="s">
        <v>4108</v>
      </c>
      <c r="H637" s="306" t="s">
        <v>11193</v>
      </c>
      <c r="I637" s="269" t="s">
        <v>11194</v>
      </c>
      <c r="J637" s="306" t="s">
        <v>10969</v>
      </c>
    </row>
    <row r="638" spans="1:10" ht="14.5" customHeight="1" x14ac:dyDescent="0.25">
      <c r="A638" s="352" t="s">
        <v>3705</v>
      </c>
      <c r="B638" s="284" t="s">
        <v>10904</v>
      </c>
      <c r="C638" s="284" t="s">
        <v>10111</v>
      </c>
      <c r="D638" s="285" t="s">
        <v>10112</v>
      </c>
      <c r="E638" s="342" t="s">
        <v>10969</v>
      </c>
      <c r="F638" s="284" t="s">
        <v>4109</v>
      </c>
      <c r="G638" s="284" t="s">
        <v>4108</v>
      </c>
      <c r="H638" s="284" t="s">
        <v>11211</v>
      </c>
      <c r="I638" s="285" t="s">
        <v>11212</v>
      </c>
      <c r="J638" s="342" t="s">
        <v>10969</v>
      </c>
    </row>
    <row r="639" spans="1:10" ht="14.5" customHeight="1" x14ac:dyDescent="0.25">
      <c r="A639" s="352" t="s">
        <v>3705</v>
      </c>
      <c r="B639" s="284" t="s">
        <v>10904</v>
      </c>
      <c r="C639" s="284" t="s">
        <v>10113</v>
      </c>
      <c r="D639" s="285" t="s">
        <v>10114</v>
      </c>
      <c r="E639" s="342" t="s">
        <v>10969</v>
      </c>
      <c r="F639" s="284" t="s">
        <v>4109</v>
      </c>
      <c r="G639" s="284" t="s">
        <v>4108</v>
      </c>
      <c r="H639" s="284" t="s">
        <v>11211</v>
      </c>
      <c r="I639" s="285" t="s">
        <v>11212</v>
      </c>
      <c r="J639" s="342" t="s">
        <v>10969</v>
      </c>
    </row>
    <row r="640" spans="1:10" ht="14.5" customHeight="1" x14ac:dyDescent="0.25">
      <c r="A640" s="352" t="s">
        <v>3705</v>
      </c>
      <c r="B640" s="284" t="s">
        <v>10904</v>
      </c>
      <c r="C640" s="284" t="s">
        <v>10115</v>
      </c>
      <c r="D640" s="285" t="s">
        <v>10116</v>
      </c>
      <c r="E640" s="342" t="s">
        <v>10969</v>
      </c>
      <c r="F640" s="284" t="s">
        <v>4109</v>
      </c>
      <c r="G640" s="284" t="s">
        <v>4108</v>
      </c>
      <c r="H640" s="284" t="s">
        <v>11211</v>
      </c>
      <c r="I640" s="285" t="s">
        <v>11212</v>
      </c>
      <c r="J640" s="342" t="s">
        <v>10969</v>
      </c>
    </row>
    <row r="641" spans="1:10" ht="14.5" customHeight="1" x14ac:dyDescent="0.25">
      <c r="A641" s="352" t="s">
        <v>3705</v>
      </c>
      <c r="B641" s="284" t="s">
        <v>10904</v>
      </c>
      <c r="C641" s="284" t="s">
        <v>10117</v>
      </c>
      <c r="D641" s="285" t="s">
        <v>10118</v>
      </c>
      <c r="E641" s="342" t="s">
        <v>10969</v>
      </c>
      <c r="F641" s="284" t="s">
        <v>4109</v>
      </c>
      <c r="G641" s="284" t="s">
        <v>4108</v>
      </c>
      <c r="H641" s="284" t="s">
        <v>11211</v>
      </c>
      <c r="I641" s="285" t="s">
        <v>11212</v>
      </c>
      <c r="J641" s="342" t="s">
        <v>10969</v>
      </c>
    </row>
    <row r="642" spans="1:10" ht="14.5" customHeight="1" x14ac:dyDescent="0.25">
      <c r="A642" s="352" t="s">
        <v>3705</v>
      </c>
      <c r="B642" s="284" t="s">
        <v>10904</v>
      </c>
      <c r="C642" s="284" t="s">
        <v>10119</v>
      </c>
      <c r="D642" s="285" t="s">
        <v>10120</v>
      </c>
      <c r="E642" s="342" t="s">
        <v>10969</v>
      </c>
      <c r="F642" s="284" t="s">
        <v>4109</v>
      </c>
      <c r="G642" s="284" t="s">
        <v>4108</v>
      </c>
      <c r="H642" s="284" t="s">
        <v>11191</v>
      </c>
      <c r="I642" s="285" t="s">
        <v>11192</v>
      </c>
      <c r="J642" s="342" t="s">
        <v>10969</v>
      </c>
    </row>
    <row r="643" spans="1:10" ht="14.5" customHeight="1" x14ac:dyDescent="0.25">
      <c r="A643" s="352" t="s">
        <v>3705</v>
      </c>
      <c r="B643" s="284" t="s">
        <v>10904</v>
      </c>
      <c r="C643" s="284" t="s">
        <v>10119</v>
      </c>
      <c r="D643" s="285" t="s">
        <v>10120</v>
      </c>
      <c r="E643" s="342" t="s">
        <v>10969</v>
      </c>
      <c r="F643" s="284" t="s">
        <v>4109</v>
      </c>
      <c r="G643" s="284" t="s">
        <v>4108</v>
      </c>
      <c r="H643" s="284" t="s">
        <v>11213</v>
      </c>
      <c r="I643" s="285" t="s">
        <v>11214</v>
      </c>
      <c r="J643" s="342" t="s">
        <v>10969</v>
      </c>
    </row>
    <row r="644" spans="1:10" ht="14.5" customHeight="1" x14ac:dyDescent="0.25">
      <c r="A644" s="352" t="s">
        <v>3705</v>
      </c>
      <c r="B644" s="284" t="s">
        <v>10904</v>
      </c>
      <c r="C644" s="284" t="s">
        <v>10119</v>
      </c>
      <c r="D644" s="285" t="s">
        <v>10120</v>
      </c>
      <c r="E644" s="342" t="s">
        <v>10969</v>
      </c>
      <c r="F644" s="284" t="s">
        <v>4109</v>
      </c>
      <c r="G644" s="284" t="s">
        <v>4108</v>
      </c>
      <c r="H644" s="284" t="s">
        <v>11195</v>
      </c>
      <c r="I644" s="285" t="s">
        <v>11196</v>
      </c>
      <c r="J644" s="342" t="s">
        <v>10969</v>
      </c>
    </row>
    <row r="645" spans="1:10" ht="14.5" customHeight="1" x14ac:dyDescent="0.25">
      <c r="A645" s="352" t="s">
        <v>3705</v>
      </c>
      <c r="B645" s="284" t="s">
        <v>10904</v>
      </c>
      <c r="C645" s="284" t="s">
        <v>10119</v>
      </c>
      <c r="D645" s="285" t="s">
        <v>10120</v>
      </c>
      <c r="E645" s="342" t="s">
        <v>10969</v>
      </c>
      <c r="F645" s="284" t="s">
        <v>4109</v>
      </c>
      <c r="G645" s="284" t="s">
        <v>4108</v>
      </c>
      <c r="H645" s="284" t="s">
        <v>11197</v>
      </c>
      <c r="I645" s="285" t="s">
        <v>11198</v>
      </c>
      <c r="J645" s="342" t="s">
        <v>10969</v>
      </c>
    </row>
    <row r="646" spans="1:10" ht="14.5" customHeight="1" x14ac:dyDescent="0.25">
      <c r="A646" s="352" t="s">
        <v>3705</v>
      </c>
      <c r="B646" s="284" t="s">
        <v>10904</v>
      </c>
      <c r="C646" s="284" t="s">
        <v>10119</v>
      </c>
      <c r="D646" s="285" t="s">
        <v>10120</v>
      </c>
      <c r="E646" s="342" t="s">
        <v>10969</v>
      </c>
      <c r="F646" s="284" t="s">
        <v>4109</v>
      </c>
      <c r="G646" s="284" t="s">
        <v>4108</v>
      </c>
      <c r="H646" s="284" t="s">
        <v>11215</v>
      </c>
      <c r="I646" s="285" t="s">
        <v>11216</v>
      </c>
      <c r="J646" s="342" t="s">
        <v>10969</v>
      </c>
    </row>
    <row r="647" spans="1:10" ht="14.5" customHeight="1" x14ac:dyDescent="0.25">
      <c r="A647" s="352" t="s">
        <v>3705</v>
      </c>
      <c r="B647" s="284" t="s">
        <v>10904</v>
      </c>
      <c r="C647" s="284" t="s">
        <v>10121</v>
      </c>
      <c r="D647" s="285" t="s">
        <v>10122</v>
      </c>
      <c r="E647" s="342" t="s">
        <v>10969</v>
      </c>
      <c r="F647" s="284" t="s">
        <v>4109</v>
      </c>
      <c r="G647" s="284" t="s">
        <v>4108</v>
      </c>
      <c r="H647" s="284" t="s">
        <v>11191</v>
      </c>
      <c r="I647" s="285" t="s">
        <v>11192</v>
      </c>
      <c r="J647" s="342" t="s">
        <v>10969</v>
      </c>
    </row>
    <row r="648" spans="1:10" ht="14.5" customHeight="1" x14ac:dyDescent="0.25">
      <c r="A648" s="352" t="s">
        <v>3705</v>
      </c>
      <c r="B648" s="284" t="s">
        <v>10904</v>
      </c>
      <c r="C648" s="284" t="s">
        <v>10121</v>
      </c>
      <c r="D648" s="285" t="s">
        <v>10122</v>
      </c>
      <c r="E648" s="342" t="s">
        <v>10969</v>
      </c>
      <c r="F648" s="284" t="s">
        <v>4109</v>
      </c>
      <c r="G648" s="284" t="s">
        <v>4108</v>
      </c>
      <c r="H648" s="284" t="s">
        <v>11213</v>
      </c>
      <c r="I648" s="285" t="s">
        <v>11214</v>
      </c>
      <c r="J648" s="342" t="s">
        <v>10969</v>
      </c>
    </row>
    <row r="649" spans="1:10" ht="14.5" customHeight="1" x14ac:dyDescent="0.25">
      <c r="A649" s="352" t="s">
        <v>3705</v>
      </c>
      <c r="B649" s="284" t="s">
        <v>10904</v>
      </c>
      <c r="C649" s="284" t="s">
        <v>10121</v>
      </c>
      <c r="D649" s="285" t="s">
        <v>10122</v>
      </c>
      <c r="E649" s="342" t="s">
        <v>10969</v>
      </c>
      <c r="F649" s="284" t="s">
        <v>4109</v>
      </c>
      <c r="G649" s="284" t="s">
        <v>4108</v>
      </c>
      <c r="H649" s="284" t="s">
        <v>11195</v>
      </c>
      <c r="I649" s="285" t="s">
        <v>11196</v>
      </c>
      <c r="J649" s="342" t="s">
        <v>10969</v>
      </c>
    </row>
    <row r="650" spans="1:10" ht="14.5" customHeight="1" x14ac:dyDescent="0.25">
      <c r="A650" s="352" t="s">
        <v>3705</v>
      </c>
      <c r="B650" s="284" t="s">
        <v>10904</v>
      </c>
      <c r="C650" s="284" t="s">
        <v>10121</v>
      </c>
      <c r="D650" s="285" t="s">
        <v>10122</v>
      </c>
      <c r="E650" s="342" t="s">
        <v>10969</v>
      </c>
      <c r="F650" s="284" t="s">
        <v>4109</v>
      </c>
      <c r="G650" s="284" t="s">
        <v>4108</v>
      </c>
      <c r="H650" s="284" t="s">
        <v>11197</v>
      </c>
      <c r="I650" s="285" t="s">
        <v>11198</v>
      </c>
      <c r="J650" s="342" t="s">
        <v>10969</v>
      </c>
    </row>
    <row r="651" spans="1:10" ht="14.5" customHeight="1" x14ac:dyDescent="0.25">
      <c r="A651" s="352" t="s">
        <v>3705</v>
      </c>
      <c r="B651" s="284" t="s">
        <v>10904</v>
      </c>
      <c r="C651" s="284" t="s">
        <v>10121</v>
      </c>
      <c r="D651" s="285" t="s">
        <v>10122</v>
      </c>
      <c r="E651" s="342" t="s">
        <v>10969</v>
      </c>
      <c r="F651" s="284" t="s">
        <v>4109</v>
      </c>
      <c r="G651" s="284" t="s">
        <v>4108</v>
      </c>
      <c r="H651" s="284" t="s">
        <v>11215</v>
      </c>
      <c r="I651" s="285" t="s">
        <v>11216</v>
      </c>
      <c r="J651" s="342" t="s">
        <v>10969</v>
      </c>
    </row>
    <row r="652" spans="1:10" ht="14.5" customHeight="1" x14ac:dyDescent="0.25">
      <c r="A652" s="352" t="s">
        <v>3705</v>
      </c>
      <c r="B652" s="284" t="s">
        <v>10904</v>
      </c>
      <c r="C652" s="284" t="s">
        <v>10123</v>
      </c>
      <c r="D652" s="285" t="s">
        <v>10124</v>
      </c>
      <c r="E652" s="342" t="s">
        <v>10969</v>
      </c>
      <c r="F652" s="284" t="s">
        <v>4109</v>
      </c>
      <c r="G652" s="284" t="s">
        <v>4108</v>
      </c>
      <c r="H652" s="284" t="s">
        <v>11191</v>
      </c>
      <c r="I652" s="285" t="s">
        <v>11192</v>
      </c>
      <c r="J652" s="342" t="s">
        <v>10969</v>
      </c>
    </row>
    <row r="653" spans="1:10" ht="14.5" customHeight="1" x14ac:dyDescent="0.25">
      <c r="A653" s="352" t="s">
        <v>3705</v>
      </c>
      <c r="B653" s="284" t="s">
        <v>10904</v>
      </c>
      <c r="C653" s="284" t="s">
        <v>10123</v>
      </c>
      <c r="D653" s="285" t="s">
        <v>10124</v>
      </c>
      <c r="E653" s="342" t="s">
        <v>10969</v>
      </c>
      <c r="F653" s="284" t="s">
        <v>4109</v>
      </c>
      <c r="G653" s="284" t="s">
        <v>4108</v>
      </c>
      <c r="H653" s="284" t="s">
        <v>11213</v>
      </c>
      <c r="I653" s="285" t="s">
        <v>11214</v>
      </c>
      <c r="J653" s="342" t="s">
        <v>10969</v>
      </c>
    </row>
    <row r="654" spans="1:10" ht="14.5" customHeight="1" x14ac:dyDescent="0.25">
      <c r="A654" s="352" t="s">
        <v>3705</v>
      </c>
      <c r="B654" s="284" t="s">
        <v>10904</v>
      </c>
      <c r="C654" s="284" t="s">
        <v>10123</v>
      </c>
      <c r="D654" s="285" t="s">
        <v>10124</v>
      </c>
      <c r="E654" s="342" t="s">
        <v>10969</v>
      </c>
      <c r="F654" s="284" t="s">
        <v>4109</v>
      </c>
      <c r="G654" s="284" t="s">
        <v>4108</v>
      </c>
      <c r="H654" s="284" t="s">
        <v>11195</v>
      </c>
      <c r="I654" s="285" t="s">
        <v>11196</v>
      </c>
      <c r="J654" s="342" t="s">
        <v>10969</v>
      </c>
    </row>
    <row r="655" spans="1:10" ht="14.5" customHeight="1" x14ac:dyDescent="0.25">
      <c r="A655" s="352" t="s">
        <v>3705</v>
      </c>
      <c r="B655" s="284" t="s">
        <v>10904</v>
      </c>
      <c r="C655" s="284" t="s">
        <v>10123</v>
      </c>
      <c r="D655" s="285" t="s">
        <v>10124</v>
      </c>
      <c r="E655" s="342" t="s">
        <v>10969</v>
      </c>
      <c r="F655" s="284" t="s">
        <v>4109</v>
      </c>
      <c r="G655" s="284" t="s">
        <v>4108</v>
      </c>
      <c r="H655" s="284" t="s">
        <v>11197</v>
      </c>
      <c r="I655" s="285" t="s">
        <v>11198</v>
      </c>
      <c r="J655" s="342" t="s">
        <v>10969</v>
      </c>
    </row>
    <row r="656" spans="1:10" ht="14.5" customHeight="1" x14ac:dyDescent="0.25">
      <c r="A656" s="352" t="s">
        <v>3705</v>
      </c>
      <c r="B656" s="284" t="s">
        <v>10904</v>
      </c>
      <c r="C656" s="284" t="s">
        <v>10123</v>
      </c>
      <c r="D656" s="285" t="s">
        <v>10124</v>
      </c>
      <c r="E656" s="342" t="s">
        <v>10969</v>
      </c>
      <c r="F656" s="284" t="s">
        <v>4109</v>
      </c>
      <c r="G656" s="284" t="s">
        <v>4108</v>
      </c>
      <c r="H656" s="284" t="s">
        <v>11215</v>
      </c>
      <c r="I656" s="285" t="s">
        <v>11216</v>
      </c>
      <c r="J656" s="342" t="s">
        <v>10969</v>
      </c>
    </row>
    <row r="657" spans="1:10" ht="14.5" customHeight="1" x14ac:dyDescent="0.25">
      <c r="A657" s="278" t="s">
        <v>3705</v>
      </c>
      <c r="B657" s="278" t="s">
        <v>10904</v>
      </c>
      <c r="C657" s="278" t="s">
        <v>10125</v>
      </c>
      <c r="D657" s="279" t="s">
        <v>10126</v>
      </c>
      <c r="E657" s="306" t="s">
        <v>10969</v>
      </c>
      <c r="F657" s="278" t="s">
        <v>4109</v>
      </c>
      <c r="G657" s="278" t="s">
        <v>4108</v>
      </c>
      <c r="H657" s="306" t="s">
        <v>11191</v>
      </c>
      <c r="I657" s="269" t="s">
        <v>11192</v>
      </c>
      <c r="J657" s="306" t="s">
        <v>10969</v>
      </c>
    </row>
    <row r="658" spans="1:10" ht="14.5" customHeight="1" x14ac:dyDescent="0.25">
      <c r="A658" s="278" t="s">
        <v>3705</v>
      </c>
      <c r="B658" s="278" t="s">
        <v>10904</v>
      </c>
      <c r="C658" s="278" t="s">
        <v>10125</v>
      </c>
      <c r="D658" s="279" t="s">
        <v>10126</v>
      </c>
      <c r="E658" s="306" t="s">
        <v>10969</v>
      </c>
      <c r="F658" s="278" t="s">
        <v>4109</v>
      </c>
      <c r="G658" s="278" t="s">
        <v>4108</v>
      </c>
      <c r="H658" s="306" t="s">
        <v>11197</v>
      </c>
      <c r="I658" s="269" t="s">
        <v>11198</v>
      </c>
      <c r="J658" s="306" t="s">
        <v>10969</v>
      </c>
    </row>
    <row r="659" spans="1:10" ht="14.5" customHeight="1" x14ac:dyDescent="0.25">
      <c r="A659" s="278" t="s">
        <v>3705</v>
      </c>
      <c r="B659" s="278" t="s">
        <v>10904</v>
      </c>
      <c r="C659" s="278" t="s">
        <v>10125</v>
      </c>
      <c r="D659" s="279" t="s">
        <v>10126</v>
      </c>
      <c r="E659" s="306" t="s">
        <v>10969</v>
      </c>
      <c r="F659" s="278" t="s">
        <v>4109</v>
      </c>
      <c r="G659" s="278" t="s">
        <v>4108</v>
      </c>
      <c r="H659" s="306" t="s">
        <v>11199</v>
      </c>
      <c r="I659" s="269" t="s">
        <v>11200</v>
      </c>
      <c r="J659" s="306" t="s">
        <v>10969</v>
      </c>
    </row>
    <row r="660" spans="1:10" ht="14.5" customHeight="1" x14ac:dyDescent="0.25">
      <c r="A660" s="278" t="s">
        <v>3705</v>
      </c>
      <c r="B660" s="278" t="s">
        <v>10904</v>
      </c>
      <c r="C660" s="278" t="s">
        <v>10125</v>
      </c>
      <c r="D660" s="279" t="s">
        <v>10126</v>
      </c>
      <c r="E660" s="306" t="s">
        <v>10969</v>
      </c>
      <c r="F660" s="278" t="s">
        <v>4109</v>
      </c>
      <c r="G660" s="278" t="s">
        <v>4108</v>
      </c>
      <c r="H660" s="306" t="s">
        <v>11201</v>
      </c>
      <c r="I660" s="269" t="s">
        <v>11202</v>
      </c>
      <c r="J660" s="306" t="s">
        <v>10969</v>
      </c>
    </row>
    <row r="661" spans="1:10" ht="14.5" customHeight="1" x14ac:dyDescent="0.25">
      <c r="A661" s="278" t="s">
        <v>3705</v>
      </c>
      <c r="B661" s="278" t="s">
        <v>10904</v>
      </c>
      <c r="C661" s="278" t="s">
        <v>10125</v>
      </c>
      <c r="D661" s="279" t="s">
        <v>10126</v>
      </c>
      <c r="E661" s="306" t="s">
        <v>10969</v>
      </c>
      <c r="F661" s="278" t="s">
        <v>4109</v>
      </c>
      <c r="G661" s="278" t="s">
        <v>4108</v>
      </c>
      <c r="H661" s="306" t="s">
        <v>11217</v>
      </c>
      <c r="I661" s="269" t="s">
        <v>11218</v>
      </c>
      <c r="J661" s="306" t="s">
        <v>10969</v>
      </c>
    </row>
    <row r="662" spans="1:10" ht="14.5" customHeight="1" x14ac:dyDescent="0.25">
      <c r="A662" s="278" t="s">
        <v>3705</v>
      </c>
      <c r="B662" s="278" t="s">
        <v>10904</v>
      </c>
      <c r="C662" s="278" t="s">
        <v>10127</v>
      </c>
      <c r="D662" s="279" t="s">
        <v>10128</v>
      </c>
      <c r="E662" s="306" t="s">
        <v>10969</v>
      </c>
      <c r="F662" s="278" t="s">
        <v>4109</v>
      </c>
      <c r="G662" s="278" t="s">
        <v>4108</v>
      </c>
      <c r="H662" s="306" t="s">
        <v>11219</v>
      </c>
      <c r="I662" s="269" t="s">
        <v>11220</v>
      </c>
      <c r="J662" s="306" t="s">
        <v>10969</v>
      </c>
    </row>
    <row r="663" spans="1:10" ht="14.5" customHeight="1" x14ac:dyDescent="0.25">
      <c r="A663" s="278" t="s">
        <v>3705</v>
      </c>
      <c r="B663" s="278" t="s">
        <v>10904</v>
      </c>
      <c r="C663" s="278" t="s">
        <v>10127</v>
      </c>
      <c r="D663" s="279" t="s">
        <v>10128</v>
      </c>
      <c r="E663" s="306" t="s">
        <v>10969</v>
      </c>
      <c r="F663" s="278" t="s">
        <v>4109</v>
      </c>
      <c r="G663" s="278" t="s">
        <v>4108</v>
      </c>
      <c r="H663" s="306" t="s">
        <v>11197</v>
      </c>
      <c r="I663" s="269" t="s">
        <v>11198</v>
      </c>
      <c r="J663" s="306" t="s">
        <v>10969</v>
      </c>
    </row>
    <row r="664" spans="1:10" ht="14.5" customHeight="1" x14ac:dyDescent="0.25">
      <c r="A664" s="278" t="s">
        <v>3705</v>
      </c>
      <c r="B664" s="278" t="s">
        <v>10904</v>
      </c>
      <c r="C664" s="278" t="s">
        <v>10127</v>
      </c>
      <c r="D664" s="279" t="s">
        <v>10128</v>
      </c>
      <c r="E664" s="306" t="s">
        <v>10969</v>
      </c>
      <c r="F664" s="278" t="s">
        <v>4109</v>
      </c>
      <c r="G664" s="278" t="s">
        <v>4108</v>
      </c>
      <c r="H664" s="306" t="s">
        <v>11201</v>
      </c>
      <c r="I664" s="269" t="s">
        <v>11202</v>
      </c>
      <c r="J664" s="306" t="s">
        <v>10969</v>
      </c>
    </row>
    <row r="665" spans="1:10" ht="14.5" customHeight="1" x14ac:dyDescent="0.25">
      <c r="A665" s="278" t="s">
        <v>3705</v>
      </c>
      <c r="B665" s="278" t="s">
        <v>10904</v>
      </c>
      <c r="C665" s="278" t="s">
        <v>10127</v>
      </c>
      <c r="D665" s="279" t="s">
        <v>10128</v>
      </c>
      <c r="E665" s="306" t="s">
        <v>10969</v>
      </c>
      <c r="F665" s="278" t="s">
        <v>4109</v>
      </c>
      <c r="G665" s="278" t="s">
        <v>4108</v>
      </c>
      <c r="H665" s="306" t="s">
        <v>11221</v>
      </c>
      <c r="I665" s="269" t="s">
        <v>11222</v>
      </c>
      <c r="J665" s="306" t="s">
        <v>10969</v>
      </c>
    </row>
    <row r="666" spans="1:10" ht="14.5" customHeight="1" x14ac:dyDescent="0.25">
      <c r="A666" s="278" t="s">
        <v>3705</v>
      </c>
      <c r="B666" s="278" t="s">
        <v>10904</v>
      </c>
      <c r="C666" s="278" t="s">
        <v>10129</v>
      </c>
      <c r="D666" s="279" t="s">
        <v>10130</v>
      </c>
      <c r="E666" s="306" t="s">
        <v>10969</v>
      </c>
      <c r="F666" s="278" t="s">
        <v>4109</v>
      </c>
      <c r="G666" s="278" t="s">
        <v>4108</v>
      </c>
      <c r="H666" s="306" t="s">
        <v>11207</v>
      </c>
      <c r="I666" s="269" t="s">
        <v>11208</v>
      </c>
      <c r="J666" s="306" t="s">
        <v>10969</v>
      </c>
    </row>
    <row r="667" spans="1:10" ht="14.5" customHeight="1" x14ac:dyDescent="0.25">
      <c r="A667" s="278" t="s">
        <v>3705</v>
      </c>
      <c r="B667" s="278" t="s">
        <v>10904</v>
      </c>
      <c r="C667" s="278" t="s">
        <v>10129</v>
      </c>
      <c r="D667" s="279" t="s">
        <v>10130</v>
      </c>
      <c r="E667" s="306" t="s">
        <v>10969</v>
      </c>
      <c r="F667" s="278" t="s">
        <v>4109</v>
      </c>
      <c r="G667" s="278" t="s">
        <v>4108</v>
      </c>
      <c r="H667" s="306" t="s">
        <v>11191</v>
      </c>
      <c r="I667" s="269" t="s">
        <v>11192</v>
      </c>
      <c r="J667" s="306" t="s">
        <v>10969</v>
      </c>
    </row>
    <row r="668" spans="1:10" ht="14.5" customHeight="1" x14ac:dyDescent="0.25">
      <c r="A668" s="278" t="s">
        <v>3705</v>
      </c>
      <c r="B668" s="278" t="s">
        <v>10904</v>
      </c>
      <c r="C668" s="278" t="s">
        <v>10129</v>
      </c>
      <c r="D668" s="279" t="s">
        <v>10130</v>
      </c>
      <c r="E668" s="306" t="s">
        <v>10969</v>
      </c>
      <c r="F668" s="278" t="s">
        <v>4109</v>
      </c>
      <c r="G668" s="278" t="s">
        <v>4108</v>
      </c>
      <c r="H668" s="306" t="s">
        <v>11193</v>
      </c>
      <c r="I668" s="269" t="s">
        <v>11194</v>
      </c>
      <c r="J668" s="306" t="s">
        <v>10969</v>
      </c>
    </row>
    <row r="669" spans="1:10" ht="14.5" customHeight="1" x14ac:dyDescent="0.25">
      <c r="A669" s="278" t="s">
        <v>3705</v>
      </c>
      <c r="B669" s="278" t="s">
        <v>10904</v>
      </c>
      <c r="C669" s="278" t="s">
        <v>10132</v>
      </c>
      <c r="D669" s="279" t="s">
        <v>10133</v>
      </c>
      <c r="E669" s="306" t="s">
        <v>10969</v>
      </c>
      <c r="F669" s="278" t="s">
        <v>4109</v>
      </c>
      <c r="G669" s="278" t="s">
        <v>4108</v>
      </c>
      <c r="H669" s="306" t="s">
        <v>11191</v>
      </c>
      <c r="I669" s="269" t="s">
        <v>11192</v>
      </c>
      <c r="J669" s="306" t="s">
        <v>10969</v>
      </c>
    </row>
    <row r="670" spans="1:10" ht="14.5" customHeight="1" x14ac:dyDescent="0.25">
      <c r="A670" s="278" t="s">
        <v>3705</v>
      </c>
      <c r="B670" s="278" t="s">
        <v>10904</v>
      </c>
      <c r="C670" s="278" t="s">
        <v>10132</v>
      </c>
      <c r="D670" s="279" t="s">
        <v>10133</v>
      </c>
      <c r="E670" s="306" t="s">
        <v>10969</v>
      </c>
      <c r="F670" s="278" t="s">
        <v>4109</v>
      </c>
      <c r="G670" s="278" t="s">
        <v>4108</v>
      </c>
      <c r="H670" s="306" t="s">
        <v>11197</v>
      </c>
      <c r="I670" s="269" t="s">
        <v>11198</v>
      </c>
      <c r="J670" s="306" t="s">
        <v>10969</v>
      </c>
    </row>
    <row r="671" spans="1:10" ht="14.5" customHeight="1" x14ac:dyDescent="0.25">
      <c r="A671" s="278" t="s">
        <v>3705</v>
      </c>
      <c r="B671" s="278" t="s">
        <v>10904</v>
      </c>
      <c r="C671" s="278" t="s">
        <v>10132</v>
      </c>
      <c r="D671" s="279" t="s">
        <v>10133</v>
      </c>
      <c r="E671" s="306" t="s">
        <v>10969</v>
      </c>
      <c r="F671" s="278" t="s">
        <v>4109</v>
      </c>
      <c r="G671" s="278" t="s">
        <v>4108</v>
      </c>
      <c r="H671" s="306" t="s">
        <v>11193</v>
      </c>
      <c r="I671" s="269" t="s">
        <v>11194</v>
      </c>
      <c r="J671" s="306" t="s">
        <v>10969</v>
      </c>
    </row>
    <row r="672" spans="1:10" ht="14.5" customHeight="1" x14ac:dyDescent="0.25">
      <c r="A672" s="278" t="s">
        <v>3705</v>
      </c>
      <c r="B672" s="278" t="s">
        <v>10904</v>
      </c>
      <c r="C672" s="278" t="s">
        <v>10134</v>
      </c>
      <c r="D672" s="279" t="s">
        <v>10135</v>
      </c>
      <c r="E672" s="306" t="s">
        <v>10969</v>
      </c>
      <c r="F672" s="278" t="s">
        <v>4109</v>
      </c>
      <c r="G672" s="278" t="s">
        <v>4108</v>
      </c>
      <c r="H672" s="306" t="s">
        <v>11191</v>
      </c>
      <c r="I672" s="269" t="s">
        <v>11192</v>
      </c>
      <c r="J672" s="306" t="s">
        <v>10969</v>
      </c>
    </row>
    <row r="673" spans="1:10" ht="14.5" customHeight="1" x14ac:dyDescent="0.25">
      <c r="A673" s="278" t="s">
        <v>3705</v>
      </c>
      <c r="B673" s="278" t="s">
        <v>10904</v>
      </c>
      <c r="C673" s="278" t="s">
        <v>10134</v>
      </c>
      <c r="D673" s="279" t="s">
        <v>10135</v>
      </c>
      <c r="E673" s="306" t="s">
        <v>10969</v>
      </c>
      <c r="F673" s="278" t="s">
        <v>4109</v>
      </c>
      <c r="G673" s="278" t="s">
        <v>4108</v>
      </c>
      <c r="H673" s="306" t="s">
        <v>11197</v>
      </c>
      <c r="I673" s="269" t="s">
        <v>11198</v>
      </c>
      <c r="J673" s="306" t="s">
        <v>10969</v>
      </c>
    </row>
    <row r="674" spans="1:10" ht="14.5" customHeight="1" x14ac:dyDescent="0.25">
      <c r="A674" s="278" t="s">
        <v>3705</v>
      </c>
      <c r="B674" s="278" t="s">
        <v>10904</v>
      </c>
      <c r="C674" s="278" t="s">
        <v>10134</v>
      </c>
      <c r="D674" s="279" t="s">
        <v>10135</v>
      </c>
      <c r="E674" s="306" t="s">
        <v>10969</v>
      </c>
      <c r="F674" s="278" t="s">
        <v>4109</v>
      </c>
      <c r="G674" s="278" t="s">
        <v>4108</v>
      </c>
      <c r="H674" s="306" t="s">
        <v>11199</v>
      </c>
      <c r="I674" s="269" t="s">
        <v>11200</v>
      </c>
      <c r="J674" s="306" t="s">
        <v>10969</v>
      </c>
    </row>
    <row r="675" spans="1:10" ht="14.5" customHeight="1" x14ac:dyDescent="0.25">
      <c r="A675" s="278" t="s">
        <v>3705</v>
      </c>
      <c r="B675" s="278" t="s">
        <v>10904</v>
      </c>
      <c r="C675" s="278" t="s">
        <v>10136</v>
      </c>
      <c r="D675" s="279" t="s">
        <v>10137</v>
      </c>
      <c r="E675" s="306" t="s">
        <v>10969</v>
      </c>
      <c r="F675" s="278" t="s">
        <v>4109</v>
      </c>
      <c r="G675" s="278" t="s">
        <v>4109</v>
      </c>
      <c r="H675" s="306" t="s">
        <v>11191</v>
      </c>
      <c r="I675" s="269" t="s">
        <v>11192</v>
      </c>
      <c r="J675" s="306" t="s">
        <v>10969</v>
      </c>
    </row>
    <row r="676" spans="1:10" ht="14.5" customHeight="1" x14ac:dyDescent="0.25">
      <c r="A676" s="278" t="s">
        <v>3705</v>
      </c>
      <c r="B676" s="278" t="s">
        <v>10904</v>
      </c>
      <c r="C676" s="278" t="s">
        <v>10136</v>
      </c>
      <c r="D676" s="279" t="s">
        <v>10137</v>
      </c>
      <c r="E676" s="306" t="s">
        <v>10969</v>
      </c>
      <c r="F676" s="278" t="s">
        <v>4109</v>
      </c>
      <c r="G676" s="278" t="s">
        <v>4109</v>
      </c>
      <c r="H676" s="306" t="s">
        <v>11197</v>
      </c>
      <c r="I676" s="269" t="s">
        <v>11198</v>
      </c>
      <c r="J676" s="306" t="s">
        <v>10969</v>
      </c>
    </row>
    <row r="677" spans="1:10" ht="14.5" customHeight="1" x14ac:dyDescent="0.25">
      <c r="A677" s="278" t="s">
        <v>3705</v>
      </c>
      <c r="B677" s="278" t="s">
        <v>10904</v>
      </c>
      <c r="C677" s="278" t="s">
        <v>10136</v>
      </c>
      <c r="D677" s="279" t="s">
        <v>10137</v>
      </c>
      <c r="E677" s="306" t="s">
        <v>10969</v>
      </c>
      <c r="F677" s="278" t="s">
        <v>4109</v>
      </c>
      <c r="G677" s="278" t="s">
        <v>4109</v>
      </c>
      <c r="H677" s="306" t="s">
        <v>11199</v>
      </c>
      <c r="I677" s="269" t="s">
        <v>11200</v>
      </c>
      <c r="J677" s="306" t="s">
        <v>10969</v>
      </c>
    </row>
    <row r="678" spans="1:10" ht="14.5" customHeight="1" x14ac:dyDescent="0.25">
      <c r="A678" s="278" t="s">
        <v>3705</v>
      </c>
      <c r="B678" s="278" t="s">
        <v>10904</v>
      </c>
      <c r="C678" s="278" t="s">
        <v>10138</v>
      </c>
      <c r="D678" s="279" t="s">
        <v>10139</v>
      </c>
      <c r="E678" s="306" t="s">
        <v>10969</v>
      </c>
      <c r="F678" s="278" t="s">
        <v>4109</v>
      </c>
      <c r="G678" s="278" t="s">
        <v>4108</v>
      </c>
      <c r="H678" s="306" t="s">
        <v>11191</v>
      </c>
      <c r="I678" s="269" t="s">
        <v>11192</v>
      </c>
      <c r="J678" s="306" t="s">
        <v>10969</v>
      </c>
    </row>
    <row r="679" spans="1:10" ht="14.5" customHeight="1" x14ac:dyDescent="0.25">
      <c r="A679" s="278" t="s">
        <v>3705</v>
      </c>
      <c r="B679" s="278" t="s">
        <v>10904</v>
      </c>
      <c r="C679" s="278" t="s">
        <v>10138</v>
      </c>
      <c r="D679" s="279" t="s">
        <v>10139</v>
      </c>
      <c r="E679" s="306" t="s">
        <v>10969</v>
      </c>
      <c r="F679" s="278" t="s">
        <v>4109</v>
      </c>
      <c r="G679" s="278" t="s">
        <v>4108</v>
      </c>
      <c r="H679" s="306" t="s">
        <v>11197</v>
      </c>
      <c r="I679" s="269" t="s">
        <v>11198</v>
      </c>
      <c r="J679" s="306" t="s">
        <v>10969</v>
      </c>
    </row>
    <row r="680" spans="1:10" ht="14.5" customHeight="1" x14ac:dyDescent="0.25">
      <c r="A680" s="278" t="s">
        <v>3705</v>
      </c>
      <c r="B680" s="278" t="s">
        <v>10904</v>
      </c>
      <c r="C680" s="278" t="s">
        <v>10138</v>
      </c>
      <c r="D680" s="279" t="s">
        <v>10139</v>
      </c>
      <c r="E680" s="306" t="s">
        <v>10969</v>
      </c>
      <c r="F680" s="278" t="s">
        <v>4109</v>
      </c>
      <c r="G680" s="278" t="s">
        <v>4108</v>
      </c>
      <c r="H680" s="306" t="s">
        <v>11193</v>
      </c>
      <c r="I680" s="269" t="s">
        <v>11194</v>
      </c>
      <c r="J680" s="306" t="s">
        <v>10969</v>
      </c>
    </row>
    <row r="681" spans="1:10" ht="14.5" customHeight="1" x14ac:dyDescent="0.25">
      <c r="A681" s="278" t="s">
        <v>3705</v>
      </c>
      <c r="B681" s="278" t="s">
        <v>10904</v>
      </c>
      <c r="C681" s="278" t="s">
        <v>10140</v>
      </c>
      <c r="D681" s="279" t="s">
        <v>10141</v>
      </c>
      <c r="E681" s="306" t="s">
        <v>10969</v>
      </c>
      <c r="F681" s="278" t="s">
        <v>4109</v>
      </c>
      <c r="G681" s="278" t="s">
        <v>4108</v>
      </c>
      <c r="H681" s="306" t="s">
        <v>11219</v>
      </c>
      <c r="I681" s="269" t="s">
        <v>11220</v>
      </c>
      <c r="J681" s="306" t="s">
        <v>10969</v>
      </c>
    </row>
    <row r="682" spans="1:10" ht="14.5" customHeight="1" x14ac:dyDescent="0.25">
      <c r="A682" s="278" t="s">
        <v>3705</v>
      </c>
      <c r="B682" s="278" t="s">
        <v>10904</v>
      </c>
      <c r="C682" s="278" t="s">
        <v>10140</v>
      </c>
      <c r="D682" s="279" t="s">
        <v>10141</v>
      </c>
      <c r="E682" s="306" t="s">
        <v>10969</v>
      </c>
      <c r="F682" s="278" t="s">
        <v>4109</v>
      </c>
      <c r="G682" s="278" t="s">
        <v>4108</v>
      </c>
      <c r="H682" s="306" t="s">
        <v>11191</v>
      </c>
      <c r="I682" s="269" t="s">
        <v>11192</v>
      </c>
      <c r="J682" s="306" t="s">
        <v>10969</v>
      </c>
    </row>
    <row r="683" spans="1:10" ht="14.5" customHeight="1" x14ac:dyDescent="0.25">
      <c r="A683" s="278" t="s">
        <v>3705</v>
      </c>
      <c r="B683" s="278" t="s">
        <v>10904</v>
      </c>
      <c r="C683" s="278" t="s">
        <v>10140</v>
      </c>
      <c r="D683" s="279" t="s">
        <v>10141</v>
      </c>
      <c r="E683" s="306" t="s">
        <v>10969</v>
      </c>
      <c r="F683" s="278" t="s">
        <v>4109</v>
      </c>
      <c r="G683" s="278" t="s">
        <v>4108</v>
      </c>
      <c r="H683" s="306" t="s">
        <v>11197</v>
      </c>
      <c r="I683" s="269" t="s">
        <v>11198</v>
      </c>
      <c r="J683" s="306" t="s">
        <v>10969</v>
      </c>
    </row>
    <row r="684" spans="1:10" ht="14.5" customHeight="1" x14ac:dyDescent="0.25">
      <c r="A684" s="278" t="s">
        <v>3705</v>
      </c>
      <c r="B684" s="278" t="s">
        <v>10904</v>
      </c>
      <c r="C684" s="278" t="s">
        <v>10140</v>
      </c>
      <c r="D684" s="279" t="s">
        <v>10141</v>
      </c>
      <c r="E684" s="306" t="s">
        <v>10969</v>
      </c>
      <c r="F684" s="278" t="s">
        <v>4109</v>
      </c>
      <c r="G684" s="278" t="s">
        <v>4108</v>
      </c>
      <c r="H684" s="306" t="s">
        <v>11199</v>
      </c>
      <c r="I684" s="269" t="s">
        <v>11200</v>
      </c>
      <c r="J684" s="306" t="s">
        <v>10969</v>
      </c>
    </row>
    <row r="685" spans="1:10" ht="14.5" customHeight="1" x14ac:dyDescent="0.25">
      <c r="A685" s="278" t="s">
        <v>3705</v>
      </c>
      <c r="B685" s="278" t="s">
        <v>10904</v>
      </c>
      <c r="C685" s="278" t="s">
        <v>10140</v>
      </c>
      <c r="D685" s="279" t="s">
        <v>10141</v>
      </c>
      <c r="E685" s="306" t="s">
        <v>10969</v>
      </c>
      <c r="F685" s="278" t="s">
        <v>4109</v>
      </c>
      <c r="G685" s="278" t="s">
        <v>4108</v>
      </c>
      <c r="H685" s="306" t="s">
        <v>11221</v>
      </c>
      <c r="I685" s="269" t="s">
        <v>11222</v>
      </c>
      <c r="J685" s="306" t="s">
        <v>10969</v>
      </c>
    </row>
    <row r="686" spans="1:10" ht="14.5" customHeight="1" x14ac:dyDescent="0.25">
      <c r="A686" s="278" t="s">
        <v>3705</v>
      </c>
      <c r="B686" s="278" t="s">
        <v>10904</v>
      </c>
      <c r="C686" s="278" t="s">
        <v>10142</v>
      </c>
      <c r="D686" s="279" t="s">
        <v>10143</v>
      </c>
      <c r="E686" s="306" t="s">
        <v>10969</v>
      </c>
      <c r="F686" s="278" t="s">
        <v>4109</v>
      </c>
      <c r="G686" s="278" t="s">
        <v>4108</v>
      </c>
      <c r="H686" s="306" t="s">
        <v>11197</v>
      </c>
      <c r="I686" s="269" t="s">
        <v>11198</v>
      </c>
      <c r="J686" s="306" t="s">
        <v>10969</v>
      </c>
    </row>
    <row r="687" spans="1:10" ht="14.5" customHeight="1" x14ac:dyDescent="0.25">
      <c r="A687" s="278" t="s">
        <v>3705</v>
      </c>
      <c r="B687" s="278" t="s">
        <v>10904</v>
      </c>
      <c r="C687" s="278" t="s">
        <v>10142</v>
      </c>
      <c r="D687" s="279" t="s">
        <v>10143</v>
      </c>
      <c r="E687" s="306" t="s">
        <v>10969</v>
      </c>
      <c r="F687" s="278" t="s">
        <v>4109</v>
      </c>
      <c r="G687" s="278" t="s">
        <v>4108</v>
      </c>
      <c r="H687" s="306" t="s">
        <v>11193</v>
      </c>
      <c r="I687" s="269" t="s">
        <v>11194</v>
      </c>
      <c r="J687" s="306" t="s">
        <v>10969</v>
      </c>
    </row>
    <row r="688" spans="1:10" ht="14.5" customHeight="1" x14ac:dyDescent="0.25">
      <c r="A688" s="278" t="s">
        <v>3705</v>
      </c>
      <c r="B688" s="278" t="s">
        <v>10904</v>
      </c>
      <c r="C688" s="278" t="s">
        <v>10144</v>
      </c>
      <c r="D688" s="279" t="s">
        <v>10145</v>
      </c>
      <c r="E688" s="306" t="s">
        <v>10969</v>
      </c>
      <c r="F688" s="278" t="s">
        <v>4109</v>
      </c>
      <c r="G688" s="278" t="s">
        <v>4108</v>
      </c>
      <c r="H688" s="306" t="s">
        <v>11197</v>
      </c>
      <c r="I688" s="269" t="s">
        <v>11198</v>
      </c>
      <c r="J688" s="306" t="s">
        <v>10969</v>
      </c>
    </row>
    <row r="689" spans="1:10" ht="14.5" customHeight="1" x14ac:dyDescent="0.25">
      <c r="A689" s="278" t="s">
        <v>3705</v>
      </c>
      <c r="B689" s="278" t="s">
        <v>10904</v>
      </c>
      <c r="C689" s="278" t="s">
        <v>10144</v>
      </c>
      <c r="D689" s="279" t="s">
        <v>10145</v>
      </c>
      <c r="E689" s="306" t="s">
        <v>10969</v>
      </c>
      <c r="F689" s="278" t="s">
        <v>4109</v>
      </c>
      <c r="G689" s="278" t="s">
        <v>4108</v>
      </c>
      <c r="H689" s="306" t="s">
        <v>11193</v>
      </c>
      <c r="I689" s="269" t="s">
        <v>11194</v>
      </c>
      <c r="J689" s="306" t="s">
        <v>10969</v>
      </c>
    </row>
    <row r="690" spans="1:10" ht="14.5" customHeight="1" x14ac:dyDescent="0.25">
      <c r="A690" s="278" t="s">
        <v>3705</v>
      </c>
      <c r="B690" s="278" t="s">
        <v>10904</v>
      </c>
      <c r="C690" s="278" t="s">
        <v>10146</v>
      </c>
      <c r="D690" s="279" t="s">
        <v>10147</v>
      </c>
      <c r="E690" s="306" t="s">
        <v>10969</v>
      </c>
      <c r="F690" s="278" t="s">
        <v>4109</v>
      </c>
      <c r="G690" s="278" t="s">
        <v>4108</v>
      </c>
      <c r="H690" s="306" t="s">
        <v>11191</v>
      </c>
      <c r="I690" s="269" t="s">
        <v>11192</v>
      </c>
      <c r="J690" s="306" t="s">
        <v>10969</v>
      </c>
    </row>
    <row r="691" spans="1:10" ht="14.5" customHeight="1" x14ac:dyDescent="0.25">
      <c r="A691" s="278" t="s">
        <v>3705</v>
      </c>
      <c r="B691" s="278" t="s">
        <v>10904</v>
      </c>
      <c r="C691" s="278" t="s">
        <v>10146</v>
      </c>
      <c r="D691" s="279" t="s">
        <v>10147</v>
      </c>
      <c r="E691" s="306" t="s">
        <v>10969</v>
      </c>
      <c r="F691" s="278" t="s">
        <v>4109</v>
      </c>
      <c r="G691" s="278" t="s">
        <v>4108</v>
      </c>
      <c r="H691" s="306" t="s">
        <v>11195</v>
      </c>
      <c r="I691" s="269" t="s">
        <v>11196</v>
      </c>
      <c r="J691" s="306" t="s">
        <v>10969</v>
      </c>
    </row>
    <row r="692" spans="1:10" ht="14.5" customHeight="1" x14ac:dyDescent="0.25">
      <c r="A692" s="278" t="s">
        <v>3705</v>
      </c>
      <c r="B692" s="278" t="s">
        <v>10904</v>
      </c>
      <c r="C692" s="278" t="s">
        <v>10146</v>
      </c>
      <c r="D692" s="279" t="s">
        <v>10147</v>
      </c>
      <c r="E692" s="306" t="s">
        <v>10969</v>
      </c>
      <c r="F692" s="278" t="s">
        <v>4109</v>
      </c>
      <c r="G692" s="278" t="s">
        <v>4108</v>
      </c>
      <c r="H692" s="306" t="s">
        <v>11197</v>
      </c>
      <c r="I692" s="269" t="s">
        <v>11198</v>
      </c>
      <c r="J692" s="306" t="s">
        <v>10969</v>
      </c>
    </row>
    <row r="693" spans="1:10" ht="14.5" customHeight="1" x14ac:dyDescent="0.25">
      <c r="A693" s="278" t="s">
        <v>3705</v>
      </c>
      <c r="B693" s="278" t="s">
        <v>10904</v>
      </c>
      <c r="C693" s="278" t="s">
        <v>10146</v>
      </c>
      <c r="D693" s="279" t="s">
        <v>10147</v>
      </c>
      <c r="E693" s="306" t="s">
        <v>10969</v>
      </c>
      <c r="F693" s="278" t="s">
        <v>4109</v>
      </c>
      <c r="G693" s="278" t="s">
        <v>4108</v>
      </c>
      <c r="H693" s="306" t="s">
        <v>11217</v>
      </c>
      <c r="I693" s="269" t="s">
        <v>11218</v>
      </c>
      <c r="J693" s="306" t="s">
        <v>10969</v>
      </c>
    </row>
    <row r="694" spans="1:10" ht="14.5" customHeight="1" x14ac:dyDescent="0.25">
      <c r="A694" s="278" t="s">
        <v>3705</v>
      </c>
      <c r="B694" s="278" t="s">
        <v>10904</v>
      </c>
      <c r="C694" s="278" t="s">
        <v>10148</v>
      </c>
      <c r="D694" s="279" t="s">
        <v>10149</v>
      </c>
      <c r="E694" s="306" t="s">
        <v>10969</v>
      </c>
      <c r="F694" s="278" t="s">
        <v>4109</v>
      </c>
      <c r="G694" s="278" t="s">
        <v>4108</v>
      </c>
      <c r="H694" s="306" t="s">
        <v>11191</v>
      </c>
      <c r="I694" s="269" t="s">
        <v>11192</v>
      </c>
      <c r="J694" s="306" t="s">
        <v>10969</v>
      </c>
    </row>
    <row r="695" spans="1:10" ht="14.5" customHeight="1" x14ac:dyDescent="0.25">
      <c r="A695" s="278" t="s">
        <v>3705</v>
      </c>
      <c r="B695" s="278" t="s">
        <v>10904</v>
      </c>
      <c r="C695" s="278" t="s">
        <v>10148</v>
      </c>
      <c r="D695" s="279" t="s">
        <v>10149</v>
      </c>
      <c r="E695" s="306" t="s">
        <v>10969</v>
      </c>
      <c r="F695" s="278" t="s">
        <v>4109</v>
      </c>
      <c r="G695" s="278" t="s">
        <v>4108</v>
      </c>
      <c r="H695" s="306" t="s">
        <v>11195</v>
      </c>
      <c r="I695" s="269" t="s">
        <v>11196</v>
      </c>
      <c r="J695" s="306" t="s">
        <v>10969</v>
      </c>
    </row>
    <row r="696" spans="1:10" ht="14.5" customHeight="1" x14ac:dyDescent="0.25">
      <c r="A696" s="278" t="s">
        <v>3705</v>
      </c>
      <c r="B696" s="278" t="s">
        <v>10904</v>
      </c>
      <c r="C696" s="278" t="s">
        <v>10148</v>
      </c>
      <c r="D696" s="279" t="s">
        <v>10149</v>
      </c>
      <c r="E696" s="306" t="s">
        <v>10969</v>
      </c>
      <c r="F696" s="278" t="s">
        <v>4109</v>
      </c>
      <c r="G696" s="278" t="s">
        <v>4108</v>
      </c>
      <c r="H696" s="306" t="s">
        <v>11197</v>
      </c>
      <c r="I696" s="269" t="s">
        <v>11198</v>
      </c>
      <c r="J696" s="306" t="s">
        <v>10969</v>
      </c>
    </row>
    <row r="697" spans="1:10" ht="14.5" customHeight="1" x14ac:dyDescent="0.25">
      <c r="A697" s="278" t="s">
        <v>3705</v>
      </c>
      <c r="B697" s="278" t="s">
        <v>10904</v>
      </c>
      <c r="C697" s="278" t="s">
        <v>10148</v>
      </c>
      <c r="D697" s="279" t="s">
        <v>10149</v>
      </c>
      <c r="E697" s="306" t="s">
        <v>10969</v>
      </c>
      <c r="F697" s="278" t="s">
        <v>4109</v>
      </c>
      <c r="G697" s="278" t="s">
        <v>4108</v>
      </c>
      <c r="H697" s="306" t="s">
        <v>11217</v>
      </c>
      <c r="I697" s="269" t="s">
        <v>11218</v>
      </c>
      <c r="J697" s="306" t="s">
        <v>10969</v>
      </c>
    </row>
    <row r="698" spans="1:10" ht="14.5" customHeight="1" x14ac:dyDescent="0.25">
      <c r="A698" s="278" t="s">
        <v>3705</v>
      </c>
      <c r="B698" s="278" t="s">
        <v>10904</v>
      </c>
      <c r="C698" s="278" t="s">
        <v>10150</v>
      </c>
      <c r="D698" s="279" t="s">
        <v>10151</v>
      </c>
      <c r="E698" s="306" t="s">
        <v>10969</v>
      </c>
      <c r="F698" s="278" t="s">
        <v>4109</v>
      </c>
      <c r="G698" s="278" t="s">
        <v>4109</v>
      </c>
      <c r="H698" s="306" t="s">
        <v>11191</v>
      </c>
      <c r="I698" s="269" t="s">
        <v>11192</v>
      </c>
      <c r="J698" s="306" t="s">
        <v>10969</v>
      </c>
    </row>
    <row r="699" spans="1:10" ht="14.5" customHeight="1" x14ac:dyDescent="0.25">
      <c r="A699" s="278" t="s">
        <v>3705</v>
      </c>
      <c r="B699" s="278" t="s">
        <v>10904</v>
      </c>
      <c r="C699" s="278" t="s">
        <v>10150</v>
      </c>
      <c r="D699" s="279" t="s">
        <v>10151</v>
      </c>
      <c r="E699" s="306" t="s">
        <v>10969</v>
      </c>
      <c r="F699" s="278" t="s">
        <v>4109</v>
      </c>
      <c r="G699" s="278" t="s">
        <v>4109</v>
      </c>
      <c r="H699" s="306" t="s">
        <v>11195</v>
      </c>
      <c r="I699" s="269" t="s">
        <v>11196</v>
      </c>
      <c r="J699" s="306" t="s">
        <v>10969</v>
      </c>
    </row>
    <row r="700" spans="1:10" ht="14.5" customHeight="1" x14ac:dyDescent="0.25">
      <c r="A700" s="278" t="s">
        <v>3705</v>
      </c>
      <c r="B700" s="278" t="s">
        <v>10904</v>
      </c>
      <c r="C700" s="278" t="s">
        <v>10150</v>
      </c>
      <c r="D700" s="279" t="s">
        <v>10151</v>
      </c>
      <c r="E700" s="306" t="s">
        <v>10969</v>
      </c>
      <c r="F700" s="278" t="s">
        <v>4109</v>
      </c>
      <c r="G700" s="278" t="s">
        <v>4109</v>
      </c>
      <c r="H700" s="306" t="s">
        <v>11197</v>
      </c>
      <c r="I700" s="269" t="s">
        <v>11198</v>
      </c>
      <c r="J700" s="306" t="s">
        <v>10969</v>
      </c>
    </row>
    <row r="701" spans="1:10" ht="14.5" customHeight="1" x14ac:dyDescent="0.25">
      <c r="A701" s="278" t="s">
        <v>3705</v>
      </c>
      <c r="B701" s="278" t="s">
        <v>10904</v>
      </c>
      <c r="C701" s="278" t="s">
        <v>10150</v>
      </c>
      <c r="D701" s="279" t="s">
        <v>10151</v>
      </c>
      <c r="E701" s="306" t="s">
        <v>10969</v>
      </c>
      <c r="F701" s="278" t="s">
        <v>4109</v>
      </c>
      <c r="G701" s="278" t="s">
        <v>4109</v>
      </c>
      <c r="H701" s="306" t="s">
        <v>11217</v>
      </c>
      <c r="I701" s="269" t="s">
        <v>11218</v>
      </c>
      <c r="J701" s="306" t="s">
        <v>10969</v>
      </c>
    </row>
    <row r="702" spans="1:10" ht="14.5" customHeight="1" x14ac:dyDescent="0.25">
      <c r="A702" s="278" t="s">
        <v>3705</v>
      </c>
      <c r="B702" s="278" t="s">
        <v>10904</v>
      </c>
      <c r="C702" s="278" t="s">
        <v>10152</v>
      </c>
      <c r="D702" s="279" t="s">
        <v>10153</v>
      </c>
      <c r="E702" s="306" t="s">
        <v>10969</v>
      </c>
      <c r="F702" s="278" t="s">
        <v>4109</v>
      </c>
      <c r="G702" s="278" t="s">
        <v>4108</v>
      </c>
      <c r="H702" s="306" t="s">
        <v>11219</v>
      </c>
      <c r="I702" s="269" t="s">
        <v>11220</v>
      </c>
      <c r="J702" s="306" t="s">
        <v>10969</v>
      </c>
    </row>
    <row r="703" spans="1:10" ht="14.5" customHeight="1" x14ac:dyDescent="0.25">
      <c r="A703" s="278" t="s">
        <v>3705</v>
      </c>
      <c r="B703" s="278" t="s">
        <v>10904</v>
      </c>
      <c r="C703" s="278" t="s">
        <v>10152</v>
      </c>
      <c r="D703" s="279" t="s">
        <v>10153</v>
      </c>
      <c r="E703" s="306" t="s">
        <v>10969</v>
      </c>
      <c r="F703" s="278" t="s">
        <v>4109</v>
      </c>
      <c r="G703" s="278" t="s">
        <v>4108</v>
      </c>
      <c r="H703" s="306" t="s">
        <v>11191</v>
      </c>
      <c r="I703" s="269" t="s">
        <v>11192</v>
      </c>
      <c r="J703" s="306" t="s">
        <v>10969</v>
      </c>
    </row>
    <row r="704" spans="1:10" ht="14.5" customHeight="1" x14ac:dyDescent="0.25">
      <c r="A704" s="278" t="s">
        <v>3705</v>
      </c>
      <c r="B704" s="278" t="s">
        <v>10904</v>
      </c>
      <c r="C704" s="278" t="s">
        <v>10152</v>
      </c>
      <c r="D704" s="279" t="s">
        <v>10153</v>
      </c>
      <c r="E704" s="306" t="s">
        <v>10969</v>
      </c>
      <c r="F704" s="278" t="s">
        <v>4109</v>
      </c>
      <c r="G704" s="278" t="s">
        <v>4108</v>
      </c>
      <c r="H704" s="306" t="s">
        <v>11195</v>
      </c>
      <c r="I704" s="269" t="s">
        <v>11196</v>
      </c>
      <c r="J704" s="306" t="s">
        <v>10969</v>
      </c>
    </row>
    <row r="705" spans="1:10" ht="14.5" customHeight="1" x14ac:dyDescent="0.25">
      <c r="A705" s="278" t="s">
        <v>3705</v>
      </c>
      <c r="B705" s="278" t="s">
        <v>10904</v>
      </c>
      <c r="C705" s="278" t="s">
        <v>10152</v>
      </c>
      <c r="D705" s="279" t="s">
        <v>10153</v>
      </c>
      <c r="E705" s="306" t="s">
        <v>10969</v>
      </c>
      <c r="F705" s="278" t="s">
        <v>4109</v>
      </c>
      <c r="G705" s="278" t="s">
        <v>4108</v>
      </c>
      <c r="H705" s="306" t="s">
        <v>11217</v>
      </c>
      <c r="I705" s="269" t="s">
        <v>11218</v>
      </c>
      <c r="J705" s="306" t="s">
        <v>10969</v>
      </c>
    </row>
    <row r="706" spans="1:10" ht="14.5" customHeight="1" x14ac:dyDescent="0.25">
      <c r="A706" s="278" t="s">
        <v>3705</v>
      </c>
      <c r="B706" s="278" t="s">
        <v>10904</v>
      </c>
      <c r="C706" s="278" t="s">
        <v>10152</v>
      </c>
      <c r="D706" s="279" t="s">
        <v>10153</v>
      </c>
      <c r="E706" s="306" t="s">
        <v>10969</v>
      </c>
      <c r="F706" s="278" t="s">
        <v>4109</v>
      </c>
      <c r="G706" s="278" t="s">
        <v>4108</v>
      </c>
      <c r="H706" s="306" t="s">
        <v>11221</v>
      </c>
      <c r="I706" s="269" t="s">
        <v>11222</v>
      </c>
      <c r="J706" s="306" t="s">
        <v>10969</v>
      </c>
    </row>
    <row r="707" spans="1:10" ht="14.5" customHeight="1" x14ac:dyDescent="0.25">
      <c r="A707" s="278" t="s">
        <v>3705</v>
      </c>
      <c r="B707" s="278" t="s">
        <v>10904</v>
      </c>
      <c r="C707" s="278" t="s">
        <v>10154</v>
      </c>
      <c r="D707" s="279" t="s">
        <v>10155</v>
      </c>
      <c r="E707" s="306" t="s">
        <v>10969</v>
      </c>
      <c r="F707" s="278" t="s">
        <v>4109</v>
      </c>
      <c r="G707" s="278" t="s">
        <v>4108</v>
      </c>
      <c r="H707" s="306" t="s">
        <v>11189</v>
      </c>
      <c r="I707" s="269" t="s">
        <v>11190</v>
      </c>
      <c r="J707" s="306" t="s">
        <v>10969</v>
      </c>
    </row>
    <row r="708" spans="1:10" ht="14.5" customHeight="1" x14ac:dyDescent="0.25">
      <c r="A708" s="278" t="s">
        <v>3705</v>
      </c>
      <c r="B708" s="278" t="s">
        <v>10904</v>
      </c>
      <c r="C708" s="278" t="s">
        <v>10154</v>
      </c>
      <c r="D708" s="279" t="s">
        <v>10155</v>
      </c>
      <c r="E708" s="306" t="s">
        <v>10969</v>
      </c>
      <c r="F708" s="278" t="s">
        <v>4109</v>
      </c>
      <c r="G708" s="278" t="s">
        <v>4108</v>
      </c>
      <c r="H708" s="306" t="s">
        <v>11191</v>
      </c>
      <c r="I708" s="269" t="s">
        <v>11192</v>
      </c>
      <c r="J708" s="306" t="s">
        <v>10969</v>
      </c>
    </row>
    <row r="709" spans="1:10" ht="14.5" customHeight="1" x14ac:dyDescent="0.25">
      <c r="A709" s="278" t="s">
        <v>3705</v>
      </c>
      <c r="B709" s="278" t="s">
        <v>10904</v>
      </c>
      <c r="C709" s="278" t="s">
        <v>10154</v>
      </c>
      <c r="D709" s="279" t="s">
        <v>10155</v>
      </c>
      <c r="E709" s="306" t="s">
        <v>10969</v>
      </c>
      <c r="F709" s="278" t="s">
        <v>4109</v>
      </c>
      <c r="G709" s="278" t="s">
        <v>4108</v>
      </c>
      <c r="H709" s="306" t="s">
        <v>11195</v>
      </c>
      <c r="I709" s="269" t="s">
        <v>11196</v>
      </c>
      <c r="J709" s="306" t="s">
        <v>10969</v>
      </c>
    </row>
    <row r="710" spans="1:10" ht="14.5" customHeight="1" x14ac:dyDescent="0.25">
      <c r="A710" s="278" t="s">
        <v>3705</v>
      </c>
      <c r="B710" s="278" t="s">
        <v>10904</v>
      </c>
      <c r="C710" s="278" t="s">
        <v>10154</v>
      </c>
      <c r="D710" s="279" t="s">
        <v>10155</v>
      </c>
      <c r="E710" s="306" t="s">
        <v>10969</v>
      </c>
      <c r="F710" s="278" t="s">
        <v>4109</v>
      </c>
      <c r="G710" s="278" t="s">
        <v>4108</v>
      </c>
      <c r="H710" s="306" t="s">
        <v>11197</v>
      </c>
      <c r="I710" s="269" t="s">
        <v>11198</v>
      </c>
      <c r="J710" s="306" t="s">
        <v>10969</v>
      </c>
    </row>
    <row r="711" spans="1:10" ht="14.5" customHeight="1" x14ac:dyDescent="0.25">
      <c r="A711" s="278" t="s">
        <v>3705</v>
      </c>
      <c r="B711" s="278" t="s">
        <v>10904</v>
      </c>
      <c r="C711" s="278" t="s">
        <v>10154</v>
      </c>
      <c r="D711" s="279" t="s">
        <v>10155</v>
      </c>
      <c r="E711" s="306" t="s">
        <v>10969</v>
      </c>
      <c r="F711" s="278" t="s">
        <v>4109</v>
      </c>
      <c r="G711" s="278" t="s">
        <v>4108</v>
      </c>
      <c r="H711" s="306" t="s">
        <v>11193</v>
      </c>
      <c r="I711" s="269" t="s">
        <v>11194</v>
      </c>
      <c r="J711" s="306" t="s">
        <v>10969</v>
      </c>
    </row>
    <row r="712" spans="1:10" ht="14.5" customHeight="1" x14ac:dyDescent="0.25">
      <c r="A712" s="278" t="s">
        <v>3705</v>
      </c>
      <c r="B712" s="278" t="s">
        <v>10904</v>
      </c>
      <c r="C712" s="278" t="s">
        <v>10156</v>
      </c>
      <c r="D712" s="279" t="s">
        <v>10157</v>
      </c>
      <c r="E712" s="306" t="s">
        <v>10969</v>
      </c>
      <c r="F712" s="278" t="s">
        <v>4109</v>
      </c>
      <c r="G712" s="278" t="s">
        <v>4108</v>
      </c>
      <c r="H712" s="306" t="s">
        <v>11189</v>
      </c>
      <c r="I712" s="269" t="s">
        <v>11190</v>
      </c>
      <c r="J712" s="306" t="s">
        <v>10969</v>
      </c>
    </row>
    <row r="713" spans="1:10" ht="14.5" customHeight="1" x14ac:dyDescent="0.25">
      <c r="A713" s="278" t="s">
        <v>3705</v>
      </c>
      <c r="B713" s="278" t="s">
        <v>10904</v>
      </c>
      <c r="C713" s="278" t="s">
        <v>10156</v>
      </c>
      <c r="D713" s="279" t="s">
        <v>10157</v>
      </c>
      <c r="E713" s="306" t="s">
        <v>10969</v>
      </c>
      <c r="F713" s="278" t="s">
        <v>4109</v>
      </c>
      <c r="G713" s="278" t="s">
        <v>4108</v>
      </c>
      <c r="H713" s="306" t="s">
        <v>11191</v>
      </c>
      <c r="I713" s="269" t="s">
        <v>11192</v>
      </c>
      <c r="J713" s="306" t="s">
        <v>10969</v>
      </c>
    </row>
    <row r="714" spans="1:10" ht="14.5" customHeight="1" x14ac:dyDescent="0.25">
      <c r="A714" s="278" t="s">
        <v>3705</v>
      </c>
      <c r="B714" s="278" t="s">
        <v>10904</v>
      </c>
      <c r="C714" s="278" t="s">
        <v>10156</v>
      </c>
      <c r="D714" s="279" t="s">
        <v>10157</v>
      </c>
      <c r="E714" s="306" t="s">
        <v>10969</v>
      </c>
      <c r="F714" s="278" t="s">
        <v>4109</v>
      </c>
      <c r="G714" s="278" t="s">
        <v>4108</v>
      </c>
      <c r="H714" s="306" t="s">
        <v>11195</v>
      </c>
      <c r="I714" s="269" t="s">
        <v>11196</v>
      </c>
      <c r="J714" s="306" t="s">
        <v>10969</v>
      </c>
    </row>
    <row r="715" spans="1:10" ht="14.5" customHeight="1" x14ac:dyDescent="0.25">
      <c r="A715" s="278" t="s">
        <v>3705</v>
      </c>
      <c r="B715" s="278" t="s">
        <v>10904</v>
      </c>
      <c r="C715" s="278" t="s">
        <v>10156</v>
      </c>
      <c r="D715" s="279" t="s">
        <v>10157</v>
      </c>
      <c r="E715" s="306" t="s">
        <v>10969</v>
      </c>
      <c r="F715" s="278" t="s">
        <v>4109</v>
      </c>
      <c r="G715" s="278" t="s">
        <v>4108</v>
      </c>
      <c r="H715" s="306" t="s">
        <v>11197</v>
      </c>
      <c r="I715" s="269" t="s">
        <v>11198</v>
      </c>
      <c r="J715" s="306" t="s">
        <v>10969</v>
      </c>
    </row>
    <row r="716" spans="1:10" ht="14.5" customHeight="1" x14ac:dyDescent="0.25">
      <c r="A716" s="278" t="s">
        <v>3705</v>
      </c>
      <c r="B716" s="278" t="s">
        <v>10904</v>
      </c>
      <c r="C716" s="278" t="s">
        <v>10156</v>
      </c>
      <c r="D716" s="279" t="s">
        <v>10157</v>
      </c>
      <c r="E716" s="306" t="s">
        <v>10969</v>
      </c>
      <c r="F716" s="278" t="s">
        <v>4109</v>
      </c>
      <c r="G716" s="278" t="s">
        <v>4108</v>
      </c>
      <c r="H716" s="306" t="s">
        <v>11193</v>
      </c>
      <c r="I716" s="269" t="s">
        <v>11194</v>
      </c>
      <c r="J716" s="306" t="s">
        <v>10969</v>
      </c>
    </row>
    <row r="717" spans="1:10" ht="14.5" customHeight="1" x14ac:dyDescent="0.25">
      <c r="A717" s="278" t="s">
        <v>3705</v>
      </c>
      <c r="B717" s="278" t="s">
        <v>10904</v>
      </c>
      <c r="C717" s="278" t="s">
        <v>10158</v>
      </c>
      <c r="D717" s="279" t="s">
        <v>10159</v>
      </c>
      <c r="E717" s="306" t="s">
        <v>10969</v>
      </c>
      <c r="F717" s="278" t="s">
        <v>4109</v>
      </c>
      <c r="G717" s="278" t="s">
        <v>4108</v>
      </c>
      <c r="H717" s="306" t="s">
        <v>11191</v>
      </c>
      <c r="I717" s="269" t="s">
        <v>11192</v>
      </c>
      <c r="J717" s="306" t="s">
        <v>10969</v>
      </c>
    </row>
    <row r="718" spans="1:10" ht="14.5" customHeight="1" x14ac:dyDescent="0.25">
      <c r="A718" s="278" t="s">
        <v>3705</v>
      </c>
      <c r="B718" s="278" t="s">
        <v>10904</v>
      </c>
      <c r="C718" s="278" t="s">
        <v>10158</v>
      </c>
      <c r="D718" s="279" t="s">
        <v>10159</v>
      </c>
      <c r="E718" s="306" t="s">
        <v>10969</v>
      </c>
      <c r="F718" s="278" t="s">
        <v>4109</v>
      </c>
      <c r="G718" s="278" t="s">
        <v>4108</v>
      </c>
      <c r="H718" s="306" t="s">
        <v>11195</v>
      </c>
      <c r="I718" s="269" t="s">
        <v>11196</v>
      </c>
      <c r="J718" s="306" t="s">
        <v>10969</v>
      </c>
    </row>
    <row r="719" spans="1:10" ht="14.5" customHeight="1" x14ac:dyDescent="0.25">
      <c r="A719" s="278" t="s">
        <v>3705</v>
      </c>
      <c r="B719" s="278" t="s">
        <v>10904</v>
      </c>
      <c r="C719" s="278" t="s">
        <v>10158</v>
      </c>
      <c r="D719" s="279" t="s">
        <v>10159</v>
      </c>
      <c r="E719" s="306" t="s">
        <v>10969</v>
      </c>
      <c r="F719" s="278" t="s">
        <v>4109</v>
      </c>
      <c r="G719" s="278" t="s">
        <v>4108</v>
      </c>
      <c r="H719" s="306" t="s">
        <v>11197</v>
      </c>
      <c r="I719" s="269" t="s">
        <v>11198</v>
      </c>
      <c r="J719" s="306" t="s">
        <v>10969</v>
      </c>
    </row>
    <row r="720" spans="1:10" ht="14.5" customHeight="1" x14ac:dyDescent="0.25">
      <c r="A720" s="278" t="s">
        <v>3705</v>
      </c>
      <c r="B720" s="278" t="s">
        <v>10904</v>
      </c>
      <c r="C720" s="278" t="s">
        <v>10158</v>
      </c>
      <c r="D720" s="279" t="s">
        <v>10159</v>
      </c>
      <c r="E720" s="306" t="s">
        <v>10969</v>
      </c>
      <c r="F720" s="278" t="s">
        <v>4109</v>
      </c>
      <c r="G720" s="278" t="s">
        <v>4108</v>
      </c>
      <c r="H720" s="306" t="s">
        <v>11223</v>
      </c>
      <c r="I720" s="269" t="s">
        <v>11224</v>
      </c>
      <c r="J720" s="306" t="s">
        <v>10969</v>
      </c>
    </row>
    <row r="721" spans="1:10" ht="14.5" customHeight="1" x14ac:dyDescent="0.25">
      <c r="A721" s="278" t="s">
        <v>3705</v>
      </c>
      <c r="B721" s="278" t="s">
        <v>10904</v>
      </c>
      <c r="C721" s="278" t="s">
        <v>10160</v>
      </c>
      <c r="D721" s="279" t="s">
        <v>10161</v>
      </c>
      <c r="E721" s="306" t="s">
        <v>10969</v>
      </c>
      <c r="F721" s="278" t="s">
        <v>4109</v>
      </c>
      <c r="G721" s="278" t="s">
        <v>4108</v>
      </c>
      <c r="H721" s="306" t="s">
        <v>11191</v>
      </c>
      <c r="I721" s="269" t="s">
        <v>11192</v>
      </c>
      <c r="J721" s="306" t="s">
        <v>10969</v>
      </c>
    </row>
    <row r="722" spans="1:10" ht="14.5" customHeight="1" x14ac:dyDescent="0.25">
      <c r="A722" s="278" t="s">
        <v>3705</v>
      </c>
      <c r="B722" s="278" t="s">
        <v>10904</v>
      </c>
      <c r="C722" s="278" t="s">
        <v>10160</v>
      </c>
      <c r="D722" s="279" t="s">
        <v>10161</v>
      </c>
      <c r="E722" s="306" t="s">
        <v>10969</v>
      </c>
      <c r="F722" s="278" t="s">
        <v>4109</v>
      </c>
      <c r="G722" s="278" t="s">
        <v>4108</v>
      </c>
      <c r="H722" s="306" t="s">
        <v>11195</v>
      </c>
      <c r="I722" s="269" t="s">
        <v>11196</v>
      </c>
      <c r="J722" s="306" t="s">
        <v>10969</v>
      </c>
    </row>
    <row r="723" spans="1:10" ht="14.5" customHeight="1" x14ac:dyDescent="0.25">
      <c r="A723" s="278" t="s">
        <v>3705</v>
      </c>
      <c r="B723" s="278" t="s">
        <v>10904</v>
      </c>
      <c r="C723" s="278" t="s">
        <v>10160</v>
      </c>
      <c r="D723" s="279" t="s">
        <v>10161</v>
      </c>
      <c r="E723" s="306" t="s">
        <v>10969</v>
      </c>
      <c r="F723" s="278" t="s">
        <v>4109</v>
      </c>
      <c r="G723" s="278" t="s">
        <v>4108</v>
      </c>
      <c r="H723" s="306" t="s">
        <v>11197</v>
      </c>
      <c r="I723" s="269" t="s">
        <v>11198</v>
      </c>
      <c r="J723" s="306" t="s">
        <v>10969</v>
      </c>
    </row>
    <row r="724" spans="1:10" ht="14.5" customHeight="1" x14ac:dyDescent="0.25">
      <c r="A724" s="278" t="s">
        <v>3705</v>
      </c>
      <c r="B724" s="278" t="s">
        <v>10904</v>
      </c>
      <c r="C724" s="278" t="s">
        <v>10160</v>
      </c>
      <c r="D724" s="279" t="s">
        <v>10161</v>
      </c>
      <c r="E724" s="306" t="s">
        <v>10969</v>
      </c>
      <c r="F724" s="278" t="s">
        <v>4109</v>
      </c>
      <c r="G724" s="278" t="s">
        <v>4108</v>
      </c>
      <c r="H724" s="306" t="s">
        <v>11223</v>
      </c>
      <c r="I724" s="269" t="s">
        <v>11224</v>
      </c>
      <c r="J724" s="306" t="s">
        <v>10969</v>
      </c>
    </row>
    <row r="725" spans="1:10" ht="14.5" customHeight="1" x14ac:dyDescent="0.25">
      <c r="A725" s="278" t="s">
        <v>3705</v>
      </c>
      <c r="B725" s="278" t="s">
        <v>10904</v>
      </c>
      <c r="C725" s="278" t="s">
        <v>10162</v>
      </c>
      <c r="D725" s="279" t="s">
        <v>10163</v>
      </c>
      <c r="E725" s="306" t="s">
        <v>10969</v>
      </c>
      <c r="F725" s="278" t="s">
        <v>4109</v>
      </c>
      <c r="G725" s="278" t="s">
        <v>4109</v>
      </c>
      <c r="H725" s="306" t="s">
        <v>11189</v>
      </c>
      <c r="I725" s="269" t="s">
        <v>11190</v>
      </c>
      <c r="J725" s="306" t="s">
        <v>10969</v>
      </c>
    </row>
    <row r="726" spans="1:10" ht="14.5" customHeight="1" x14ac:dyDescent="0.25">
      <c r="A726" s="278" t="s">
        <v>3705</v>
      </c>
      <c r="B726" s="278" t="s">
        <v>10904</v>
      </c>
      <c r="C726" s="278" t="s">
        <v>10162</v>
      </c>
      <c r="D726" s="279" t="s">
        <v>10163</v>
      </c>
      <c r="E726" s="306" t="s">
        <v>10969</v>
      </c>
      <c r="F726" s="278" t="s">
        <v>4109</v>
      </c>
      <c r="G726" s="278" t="s">
        <v>4109</v>
      </c>
      <c r="H726" s="306" t="s">
        <v>11191</v>
      </c>
      <c r="I726" s="269" t="s">
        <v>11192</v>
      </c>
      <c r="J726" s="306" t="s">
        <v>10969</v>
      </c>
    </row>
    <row r="727" spans="1:10" ht="14.5" customHeight="1" x14ac:dyDescent="0.25">
      <c r="A727" s="278" t="s">
        <v>3705</v>
      </c>
      <c r="B727" s="278" t="s">
        <v>10904</v>
      </c>
      <c r="C727" s="278" t="s">
        <v>10162</v>
      </c>
      <c r="D727" s="279" t="s">
        <v>10163</v>
      </c>
      <c r="E727" s="306" t="s">
        <v>10969</v>
      </c>
      <c r="F727" s="278" t="s">
        <v>4109</v>
      </c>
      <c r="G727" s="278" t="s">
        <v>4109</v>
      </c>
      <c r="H727" s="306" t="s">
        <v>11193</v>
      </c>
      <c r="I727" s="269" t="s">
        <v>11194</v>
      </c>
      <c r="J727" s="306" t="s">
        <v>10969</v>
      </c>
    </row>
    <row r="728" spans="1:10" ht="14.5" customHeight="1" x14ac:dyDescent="0.25">
      <c r="A728" s="278" t="s">
        <v>3705</v>
      </c>
      <c r="B728" s="278" t="s">
        <v>10904</v>
      </c>
      <c r="C728" s="278" t="s">
        <v>10164</v>
      </c>
      <c r="D728" s="279" t="s">
        <v>10165</v>
      </c>
      <c r="E728" s="306" t="s">
        <v>10969</v>
      </c>
      <c r="F728" s="278" t="s">
        <v>4109</v>
      </c>
      <c r="G728" s="278" t="s">
        <v>4109</v>
      </c>
      <c r="H728" s="306" t="s">
        <v>11191</v>
      </c>
      <c r="I728" s="269" t="s">
        <v>11192</v>
      </c>
      <c r="J728" s="306" t="s">
        <v>10969</v>
      </c>
    </row>
    <row r="729" spans="1:10" ht="14.5" customHeight="1" x14ac:dyDescent="0.25">
      <c r="A729" s="278" t="s">
        <v>3705</v>
      </c>
      <c r="B729" s="278" t="s">
        <v>10904</v>
      </c>
      <c r="C729" s="278" t="s">
        <v>10164</v>
      </c>
      <c r="D729" s="279" t="s">
        <v>10165</v>
      </c>
      <c r="E729" s="306" t="s">
        <v>10969</v>
      </c>
      <c r="F729" s="278" t="s">
        <v>4109</v>
      </c>
      <c r="G729" s="278" t="s">
        <v>4109</v>
      </c>
      <c r="H729" s="306" t="s">
        <v>11195</v>
      </c>
      <c r="I729" s="269" t="s">
        <v>11196</v>
      </c>
      <c r="J729" s="306" t="s">
        <v>10969</v>
      </c>
    </row>
    <row r="730" spans="1:10" ht="14.5" customHeight="1" x14ac:dyDescent="0.25">
      <c r="A730" s="278" t="s">
        <v>3705</v>
      </c>
      <c r="B730" s="278" t="s">
        <v>10904</v>
      </c>
      <c r="C730" s="278" t="s">
        <v>10164</v>
      </c>
      <c r="D730" s="279" t="s">
        <v>10165</v>
      </c>
      <c r="E730" s="306" t="s">
        <v>10969</v>
      </c>
      <c r="F730" s="278" t="s">
        <v>4109</v>
      </c>
      <c r="G730" s="278" t="s">
        <v>4109</v>
      </c>
      <c r="H730" s="306" t="s">
        <v>11197</v>
      </c>
      <c r="I730" s="269" t="s">
        <v>11198</v>
      </c>
      <c r="J730" s="306" t="s">
        <v>10969</v>
      </c>
    </row>
    <row r="731" spans="1:10" ht="14.5" customHeight="1" x14ac:dyDescent="0.25">
      <c r="A731" s="278" t="s">
        <v>3705</v>
      </c>
      <c r="B731" s="278" t="s">
        <v>10904</v>
      </c>
      <c r="C731" s="278" t="s">
        <v>10164</v>
      </c>
      <c r="D731" s="279" t="s">
        <v>10165</v>
      </c>
      <c r="E731" s="306" t="s">
        <v>10969</v>
      </c>
      <c r="F731" s="278" t="s">
        <v>4109</v>
      </c>
      <c r="G731" s="278" t="s">
        <v>4109</v>
      </c>
      <c r="H731" s="306" t="s">
        <v>11223</v>
      </c>
      <c r="I731" s="269" t="s">
        <v>11224</v>
      </c>
      <c r="J731" s="306" t="s">
        <v>10969</v>
      </c>
    </row>
    <row r="732" spans="1:10" ht="14.5" customHeight="1" x14ac:dyDescent="0.25">
      <c r="A732" s="278" t="s">
        <v>3705</v>
      </c>
      <c r="B732" s="278" t="s">
        <v>10904</v>
      </c>
      <c r="C732" s="278" t="s">
        <v>10166</v>
      </c>
      <c r="D732" s="279" t="s">
        <v>10167</v>
      </c>
      <c r="E732" s="306" t="s">
        <v>10969</v>
      </c>
      <c r="F732" s="278" t="s">
        <v>4109</v>
      </c>
      <c r="G732" s="278" t="s">
        <v>4108</v>
      </c>
      <c r="H732" s="306" t="s">
        <v>11203</v>
      </c>
      <c r="I732" s="269" t="s">
        <v>11225</v>
      </c>
      <c r="J732" s="306" t="s">
        <v>10969</v>
      </c>
    </row>
    <row r="733" spans="1:10" ht="14.5" customHeight="1" x14ac:dyDescent="0.25">
      <c r="A733" s="278" t="s">
        <v>3705</v>
      </c>
      <c r="B733" s="278" t="s">
        <v>10904</v>
      </c>
      <c r="C733" s="278" t="s">
        <v>10166</v>
      </c>
      <c r="D733" s="279" t="s">
        <v>10167</v>
      </c>
      <c r="E733" s="306" t="s">
        <v>10969</v>
      </c>
      <c r="F733" s="278" t="s">
        <v>4109</v>
      </c>
      <c r="G733" s="278" t="s">
        <v>4108</v>
      </c>
      <c r="H733" s="306" t="s">
        <v>11189</v>
      </c>
      <c r="I733" s="269" t="s">
        <v>11190</v>
      </c>
      <c r="J733" s="306" t="s">
        <v>10969</v>
      </c>
    </row>
    <row r="734" spans="1:10" ht="14.5" customHeight="1" x14ac:dyDescent="0.25">
      <c r="A734" s="278" t="s">
        <v>3705</v>
      </c>
      <c r="B734" s="278" t="s">
        <v>10904</v>
      </c>
      <c r="C734" s="278" t="s">
        <v>10166</v>
      </c>
      <c r="D734" s="279" t="s">
        <v>10167</v>
      </c>
      <c r="E734" s="306" t="s">
        <v>10969</v>
      </c>
      <c r="F734" s="278" t="s">
        <v>4109</v>
      </c>
      <c r="G734" s="278" t="s">
        <v>4108</v>
      </c>
      <c r="H734" s="306" t="s">
        <v>11191</v>
      </c>
      <c r="I734" s="269" t="s">
        <v>11192</v>
      </c>
      <c r="J734" s="306" t="s">
        <v>10969</v>
      </c>
    </row>
    <row r="735" spans="1:10" ht="14.5" customHeight="1" x14ac:dyDescent="0.25">
      <c r="A735" s="278" t="s">
        <v>3705</v>
      </c>
      <c r="B735" s="278" t="s">
        <v>10904</v>
      </c>
      <c r="C735" s="278" t="s">
        <v>10166</v>
      </c>
      <c r="D735" s="279" t="s">
        <v>10167</v>
      </c>
      <c r="E735" s="306" t="s">
        <v>10969</v>
      </c>
      <c r="F735" s="278" t="s">
        <v>4109</v>
      </c>
      <c r="G735" s="278" t="s">
        <v>4108</v>
      </c>
      <c r="H735" s="306" t="s">
        <v>11193</v>
      </c>
      <c r="I735" s="269" t="s">
        <v>11194</v>
      </c>
      <c r="J735" s="306" t="s">
        <v>10969</v>
      </c>
    </row>
    <row r="736" spans="1:10" ht="14.5" customHeight="1" x14ac:dyDescent="0.25">
      <c r="A736" s="278" t="s">
        <v>3705</v>
      </c>
      <c r="B736" s="278" t="s">
        <v>10904</v>
      </c>
      <c r="C736" s="278" t="s">
        <v>10168</v>
      </c>
      <c r="D736" s="279" t="s">
        <v>10169</v>
      </c>
      <c r="E736" s="306" t="s">
        <v>10969</v>
      </c>
      <c r="F736" s="278" t="s">
        <v>4109</v>
      </c>
      <c r="G736" s="278" t="s">
        <v>4108</v>
      </c>
      <c r="H736" s="306" t="s">
        <v>11219</v>
      </c>
      <c r="I736" s="269" t="s">
        <v>11220</v>
      </c>
      <c r="J736" s="306" t="s">
        <v>10969</v>
      </c>
    </row>
    <row r="737" spans="1:10" ht="14.5" customHeight="1" x14ac:dyDescent="0.25">
      <c r="A737" s="278" t="s">
        <v>3705</v>
      </c>
      <c r="B737" s="278" t="s">
        <v>10904</v>
      </c>
      <c r="C737" s="278" t="s">
        <v>10168</v>
      </c>
      <c r="D737" s="279" t="s">
        <v>10169</v>
      </c>
      <c r="E737" s="306" t="s">
        <v>10969</v>
      </c>
      <c r="F737" s="278" t="s">
        <v>4109</v>
      </c>
      <c r="G737" s="278" t="s">
        <v>4108</v>
      </c>
      <c r="H737" s="306" t="s">
        <v>11189</v>
      </c>
      <c r="I737" s="269" t="s">
        <v>11190</v>
      </c>
      <c r="J737" s="306" t="s">
        <v>10969</v>
      </c>
    </row>
    <row r="738" spans="1:10" ht="14.5" customHeight="1" x14ac:dyDescent="0.25">
      <c r="A738" s="278" t="s">
        <v>3705</v>
      </c>
      <c r="B738" s="278" t="s">
        <v>10904</v>
      </c>
      <c r="C738" s="278" t="s">
        <v>10168</v>
      </c>
      <c r="D738" s="279" t="s">
        <v>10169</v>
      </c>
      <c r="E738" s="306" t="s">
        <v>10969</v>
      </c>
      <c r="F738" s="278" t="s">
        <v>4109</v>
      </c>
      <c r="G738" s="278" t="s">
        <v>4108</v>
      </c>
      <c r="H738" s="306" t="s">
        <v>11191</v>
      </c>
      <c r="I738" s="269" t="s">
        <v>11192</v>
      </c>
      <c r="J738" s="306" t="s">
        <v>10969</v>
      </c>
    </row>
    <row r="739" spans="1:10" ht="14.5" customHeight="1" x14ac:dyDescent="0.25">
      <c r="A739" s="278" t="s">
        <v>3705</v>
      </c>
      <c r="B739" s="278" t="s">
        <v>10904</v>
      </c>
      <c r="C739" s="278" t="s">
        <v>10168</v>
      </c>
      <c r="D739" s="279" t="s">
        <v>10169</v>
      </c>
      <c r="E739" s="306" t="s">
        <v>10969</v>
      </c>
      <c r="F739" s="278" t="s">
        <v>4109</v>
      </c>
      <c r="G739" s="278" t="s">
        <v>4108</v>
      </c>
      <c r="H739" s="306" t="s">
        <v>11221</v>
      </c>
      <c r="I739" s="269" t="s">
        <v>11222</v>
      </c>
      <c r="J739" s="306" t="s">
        <v>10969</v>
      </c>
    </row>
    <row r="740" spans="1:10" ht="14.5" customHeight="1" x14ac:dyDescent="0.25">
      <c r="A740" s="278" t="s">
        <v>3705</v>
      </c>
      <c r="B740" s="278" t="s">
        <v>10904</v>
      </c>
      <c r="C740" s="278" t="s">
        <v>10168</v>
      </c>
      <c r="D740" s="279" t="s">
        <v>10169</v>
      </c>
      <c r="E740" s="306" t="s">
        <v>10969</v>
      </c>
      <c r="F740" s="278" t="s">
        <v>4109</v>
      </c>
      <c r="G740" s="278" t="s">
        <v>4108</v>
      </c>
      <c r="H740" s="306" t="s">
        <v>11193</v>
      </c>
      <c r="I740" s="269" t="s">
        <v>11194</v>
      </c>
      <c r="J740" s="306" t="s">
        <v>10969</v>
      </c>
    </row>
    <row r="741" spans="1:10" ht="14.5" customHeight="1" x14ac:dyDescent="0.25">
      <c r="A741" s="278" t="s">
        <v>3705</v>
      </c>
      <c r="B741" s="278" t="s">
        <v>10904</v>
      </c>
      <c r="C741" s="278" t="s">
        <v>10170</v>
      </c>
      <c r="D741" s="279" t="s">
        <v>10171</v>
      </c>
      <c r="E741" s="306" t="s">
        <v>10969</v>
      </c>
      <c r="F741" s="278" t="s">
        <v>4109</v>
      </c>
      <c r="G741" s="278" t="s">
        <v>4108</v>
      </c>
      <c r="H741" s="306" t="s">
        <v>11219</v>
      </c>
      <c r="I741" s="269" t="s">
        <v>11220</v>
      </c>
      <c r="J741" s="306" t="s">
        <v>10969</v>
      </c>
    </row>
    <row r="742" spans="1:10" ht="14.5" customHeight="1" x14ac:dyDescent="0.25">
      <c r="A742" s="278" t="s">
        <v>3705</v>
      </c>
      <c r="B742" s="278" t="s">
        <v>10904</v>
      </c>
      <c r="C742" s="278" t="s">
        <v>10170</v>
      </c>
      <c r="D742" s="279" t="s">
        <v>10171</v>
      </c>
      <c r="E742" s="306" t="s">
        <v>10969</v>
      </c>
      <c r="F742" s="278" t="s">
        <v>4109</v>
      </c>
      <c r="G742" s="278" t="s">
        <v>4108</v>
      </c>
      <c r="H742" s="306" t="s">
        <v>11191</v>
      </c>
      <c r="I742" s="269" t="s">
        <v>11192</v>
      </c>
      <c r="J742" s="306" t="s">
        <v>10969</v>
      </c>
    </row>
    <row r="743" spans="1:10" ht="14.5" customHeight="1" x14ac:dyDescent="0.25">
      <c r="A743" s="278" t="s">
        <v>3705</v>
      </c>
      <c r="B743" s="278" t="s">
        <v>10904</v>
      </c>
      <c r="C743" s="278" t="s">
        <v>10170</v>
      </c>
      <c r="D743" s="279" t="s">
        <v>10171</v>
      </c>
      <c r="E743" s="306" t="s">
        <v>10969</v>
      </c>
      <c r="F743" s="278" t="s">
        <v>4109</v>
      </c>
      <c r="G743" s="278" t="s">
        <v>4108</v>
      </c>
      <c r="H743" s="306" t="s">
        <v>11195</v>
      </c>
      <c r="I743" s="269" t="s">
        <v>11196</v>
      </c>
      <c r="J743" s="306" t="s">
        <v>10969</v>
      </c>
    </row>
    <row r="744" spans="1:10" ht="14.5" customHeight="1" x14ac:dyDescent="0.25">
      <c r="A744" s="278" t="s">
        <v>3705</v>
      </c>
      <c r="B744" s="278" t="s">
        <v>10904</v>
      </c>
      <c r="C744" s="278" t="s">
        <v>10170</v>
      </c>
      <c r="D744" s="279" t="s">
        <v>10171</v>
      </c>
      <c r="E744" s="306" t="s">
        <v>10969</v>
      </c>
      <c r="F744" s="278" t="s">
        <v>4109</v>
      </c>
      <c r="G744" s="278" t="s">
        <v>4108</v>
      </c>
      <c r="H744" s="306" t="s">
        <v>11197</v>
      </c>
      <c r="I744" s="269" t="s">
        <v>11198</v>
      </c>
      <c r="J744" s="306" t="s">
        <v>10969</v>
      </c>
    </row>
    <row r="745" spans="1:10" ht="14.5" customHeight="1" x14ac:dyDescent="0.25">
      <c r="A745" s="278" t="s">
        <v>3705</v>
      </c>
      <c r="B745" s="278" t="s">
        <v>10904</v>
      </c>
      <c r="C745" s="278" t="s">
        <v>10170</v>
      </c>
      <c r="D745" s="279" t="s">
        <v>10171</v>
      </c>
      <c r="E745" s="306" t="s">
        <v>10969</v>
      </c>
      <c r="F745" s="278" t="s">
        <v>4109</v>
      </c>
      <c r="G745" s="278" t="s">
        <v>4108</v>
      </c>
      <c r="H745" s="306" t="s">
        <v>11223</v>
      </c>
      <c r="I745" s="269" t="s">
        <v>11224</v>
      </c>
      <c r="J745" s="306" t="s">
        <v>10969</v>
      </c>
    </row>
    <row r="746" spans="1:10" ht="14.5" customHeight="1" x14ac:dyDescent="0.25">
      <c r="A746" s="278" t="s">
        <v>3705</v>
      </c>
      <c r="B746" s="278" t="s">
        <v>10904</v>
      </c>
      <c r="C746" s="278" t="s">
        <v>10170</v>
      </c>
      <c r="D746" s="279" t="s">
        <v>10171</v>
      </c>
      <c r="E746" s="306" t="s">
        <v>10969</v>
      </c>
      <c r="F746" s="278" t="s">
        <v>4109</v>
      </c>
      <c r="G746" s="278" t="s">
        <v>4108</v>
      </c>
      <c r="H746" s="306" t="s">
        <v>11221</v>
      </c>
      <c r="I746" s="269" t="s">
        <v>11222</v>
      </c>
      <c r="J746" s="306" t="s">
        <v>10969</v>
      </c>
    </row>
    <row r="747" spans="1:10" ht="14.5" customHeight="1" x14ac:dyDescent="0.25">
      <c r="A747" s="278" t="s">
        <v>3705</v>
      </c>
      <c r="B747" s="278" t="s">
        <v>10904</v>
      </c>
      <c r="C747" s="278" t="s">
        <v>10172</v>
      </c>
      <c r="D747" s="279" t="s">
        <v>10173</v>
      </c>
      <c r="E747" s="306" t="s">
        <v>10969</v>
      </c>
      <c r="F747" s="278" t="s">
        <v>4109</v>
      </c>
      <c r="G747" s="278" t="s">
        <v>4108</v>
      </c>
      <c r="H747" s="306" t="s">
        <v>11191</v>
      </c>
      <c r="I747" s="269" t="s">
        <v>11192</v>
      </c>
      <c r="J747" s="306" t="s">
        <v>10969</v>
      </c>
    </row>
    <row r="748" spans="1:10" ht="14.5" customHeight="1" x14ac:dyDescent="0.25">
      <c r="A748" s="278" t="s">
        <v>3705</v>
      </c>
      <c r="B748" s="278" t="s">
        <v>10904</v>
      </c>
      <c r="C748" s="278" t="s">
        <v>10172</v>
      </c>
      <c r="D748" s="279" t="s">
        <v>10173</v>
      </c>
      <c r="E748" s="306" t="s">
        <v>10969</v>
      </c>
      <c r="F748" s="278" t="s">
        <v>4109</v>
      </c>
      <c r="G748" s="278" t="s">
        <v>4108</v>
      </c>
      <c r="H748" s="306" t="s">
        <v>11197</v>
      </c>
      <c r="I748" s="269" t="s">
        <v>11198</v>
      </c>
      <c r="J748" s="306" t="s">
        <v>10969</v>
      </c>
    </row>
    <row r="749" spans="1:10" ht="14.5" customHeight="1" x14ac:dyDescent="0.25">
      <c r="A749" s="278" t="s">
        <v>3705</v>
      </c>
      <c r="B749" s="278" t="s">
        <v>10904</v>
      </c>
      <c r="C749" s="278" t="s">
        <v>10174</v>
      </c>
      <c r="D749" s="279" t="s">
        <v>10175</v>
      </c>
      <c r="E749" s="306" t="s">
        <v>10969</v>
      </c>
      <c r="F749" s="278" t="s">
        <v>4109</v>
      </c>
      <c r="G749" s="278" t="s">
        <v>4109</v>
      </c>
      <c r="H749" s="306" t="s">
        <v>11191</v>
      </c>
      <c r="I749" s="269" t="s">
        <v>11192</v>
      </c>
      <c r="J749" s="306" t="s">
        <v>10969</v>
      </c>
    </row>
    <row r="750" spans="1:10" ht="14.5" customHeight="1" x14ac:dyDescent="0.25">
      <c r="A750" s="278" t="s">
        <v>3705</v>
      </c>
      <c r="B750" s="278" t="s">
        <v>10904</v>
      </c>
      <c r="C750" s="278" t="s">
        <v>10174</v>
      </c>
      <c r="D750" s="279" t="s">
        <v>10175</v>
      </c>
      <c r="E750" s="306" t="s">
        <v>10969</v>
      </c>
      <c r="F750" s="278" t="s">
        <v>4109</v>
      </c>
      <c r="G750" s="278" t="s">
        <v>4109</v>
      </c>
      <c r="H750" s="306" t="s">
        <v>11197</v>
      </c>
      <c r="I750" s="269" t="s">
        <v>11198</v>
      </c>
      <c r="J750" s="306" t="s">
        <v>10969</v>
      </c>
    </row>
    <row r="751" spans="1:10" ht="14.5" customHeight="1" x14ac:dyDescent="0.25">
      <c r="A751" s="278" t="s">
        <v>3705</v>
      </c>
      <c r="B751" s="278" t="s">
        <v>10904</v>
      </c>
      <c r="C751" s="278" t="s">
        <v>10176</v>
      </c>
      <c r="D751" s="279" t="s">
        <v>10177</v>
      </c>
      <c r="E751" s="306" t="s">
        <v>10969</v>
      </c>
      <c r="F751" s="278" t="s">
        <v>4109</v>
      </c>
      <c r="G751" s="278" t="s">
        <v>4108</v>
      </c>
      <c r="H751" s="306" t="s">
        <v>11191</v>
      </c>
      <c r="I751" s="269" t="s">
        <v>11192</v>
      </c>
      <c r="J751" s="306" t="s">
        <v>10969</v>
      </c>
    </row>
    <row r="752" spans="1:10" ht="14.5" customHeight="1" x14ac:dyDescent="0.25">
      <c r="A752" s="278" t="s">
        <v>3705</v>
      </c>
      <c r="B752" s="278" t="s">
        <v>10904</v>
      </c>
      <c r="C752" s="278" t="s">
        <v>10176</v>
      </c>
      <c r="D752" s="279" t="s">
        <v>10177</v>
      </c>
      <c r="E752" s="306" t="s">
        <v>10969</v>
      </c>
      <c r="F752" s="278" t="s">
        <v>4109</v>
      </c>
      <c r="G752" s="278" t="s">
        <v>4108</v>
      </c>
      <c r="H752" s="306" t="s">
        <v>11197</v>
      </c>
      <c r="I752" s="269" t="s">
        <v>11198</v>
      </c>
      <c r="J752" s="306" t="s">
        <v>10969</v>
      </c>
    </row>
    <row r="753" spans="1:10" ht="14.5" customHeight="1" x14ac:dyDescent="0.25">
      <c r="A753" s="278" t="s">
        <v>3705</v>
      </c>
      <c r="B753" s="278" t="s">
        <v>10904</v>
      </c>
      <c r="C753" s="278" t="s">
        <v>10176</v>
      </c>
      <c r="D753" s="279" t="s">
        <v>10177</v>
      </c>
      <c r="E753" s="306" t="s">
        <v>10969</v>
      </c>
      <c r="F753" s="278" t="s">
        <v>4109</v>
      </c>
      <c r="G753" s="278" t="s">
        <v>4108</v>
      </c>
      <c r="H753" s="306" t="s">
        <v>11193</v>
      </c>
      <c r="I753" s="269" t="s">
        <v>11194</v>
      </c>
      <c r="J753" s="306" t="s">
        <v>10969</v>
      </c>
    </row>
    <row r="754" spans="1:10" ht="14.5" customHeight="1" x14ac:dyDescent="0.25">
      <c r="A754" s="278" t="s">
        <v>3705</v>
      </c>
      <c r="B754" s="278" t="s">
        <v>10904</v>
      </c>
      <c r="C754" s="278" t="s">
        <v>10178</v>
      </c>
      <c r="D754" s="279" t="s">
        <v>10179</v>
      </c>
      <c r="E754" s="306" t="s">
        <v>10969</v>
      </c>
      <c r="F754" s="278" t="s">
        <v>4109</v>
      </c>
      <c r="G754" s="278" t="s">
        <v>4108</v>
      </c>
      <c r="H754" s="306" t="s">
        <v>11191</v>
      </c>
      <c r="I754" s="269" t="s">
        <v>11192</v>
      </c>
      <c r="J754" s="306" t="s">
        <v>10969</v>
      </c>
    </row>
    <row r="755" spans="1:10" ht="14.5" customHeight="1" x14ac:dyDescent="0.25">
      <c r="A755" s="278" t="s">
        <v>3705</v>
      </c>
      <c r="B755" s="278" t="s">
        <v>10904</v>
      </c>
      <c r="C755" s="278" t="s">
        <v>10178</v>
      </c>
      <c r="D755" s="279" t="s">
        <v>10179</v>
      </c>
      <c r="E755" s="306" t="s">
        <v>10969</v>
      </c>
      <c r="F755" s="278" t="s">
        <v>4109</v>
      </c>
      <c r="G755" s="278" t="s">
        <v>4108</v>
      </c>
      <c r="H755" s="306" t="s">
        <v>11197</v>
      </c>
      <c r="I755" s="269" t="s">
        <v>11198</v>
      </c>
      <c r="J755" s="306" t="s">
        <v>10969</v>
      </c>
    </row>
    <row r="756" spans="1:10" ht="14.5" customHeight="1" x14ac:dyDescent="0.25">
      <c r="A756" s="278" t="s">
        <v>3705</v>
      </c>
      <c r="B756" s="278" t="s">
        <v>10904</v>
      </c>
      <c r="C756" s="278" t="s">
        <v>10178</v>
      </c>
      <c r="D756" s="279" t="s">
        <v>10179</v>
      </c>
      <c r="E756" s="306" t="s">
        <v>10969</v>
      </c>
      <c r="F756" s="278" t="s">
        <v>4109</v>
      </c>
      <c r="G756" s="278" t="s">
        <v>4108</v>
      </c>
      <c r="H756" s="306" t="s">
        <v>11199</v>
      </c>
      <c r="I756" s="269" t="s">
        <v>11200</v>
      </c>
      <c r="J756" s="306" t="s">
        <v>10969</v>
      </c>
    </row>
    <row r="757" spans="1:10" ht="14.5" customHeight="1" x14ac:dyDescent="0.25">
      <c r="A757" s="278" t="s">
        <v>3705</v>
      </c>
      <c r="B757" s="278" t="s">
        <v>10904</v>
      </c>
      <c r="C757" s="278" t="s">
        <v>10178</v>
      </c>
      <c r="D757" s="279" t="s">
        <v>10179</v>
      </c>
      <c r="E757" s="306" t="s">
        <v>10969</v>
      </c>
      <c r="F757" s="278" t="s">
        <v>4109</v>
      </c>
      <c r="G757" s="278" t="s">
        <v>4108</v>
      </c>
      <c r="H757" s="306" t="s">
        <v>11201</v>
      </c>
      <c r="I757" s="269" t="s">
        <v>11202</v>
      </c>
      <c r="J757" s="306" t="s">
        <v>10969</v>
      </c>
    </row>
    <row r="758" spans="1:10" ht="14.5" customHeight="1" x14ac:dyDescent="0.25">
      <c r="A758" s="278" t="s">
        <v>3705</v>
      </c>
      <c r="B758" s="278" t="s">
        <v>10904</v>
      </c>
      <c r="C758" s="278" t="s">
        <v>10180</v>
      </c>
      <c r="D758" s="279" t="s">
        <v>10181</v>
      </c>
      <c r="E758" s="306" t="s">
        <v>10969</v>
      </c>
      <c r="F758" s="278" t="s">
        <v>4109</v>
      </c>
      <c r="G758" s="278" t="s">
        <v>4108</v>
      </c>
      <c r="H758" s="306" t="s">
        <v>11193</v>
      </c>
      <c r="I758" s="269" t="s">
        <v>11194</v>
      </c>
      <c r="J758" s="306" t="s">
        <v>10969</v>
      </c>
    </row>
    <row r="759" spans="1:10" ht="14.5" customHeight="1" x14ac:dyDescent="0.25">
      <c r="A759" s="278" t="s">
        <v>3705</v>
      </c>
      <c r="B759" s="278" t="s">
        <v>10904</v>
      </c>
      <c r="C759" s="278" t="s">
        <v>10182</v>
      </c>
      <c r="D759" s="279" t="s">
        <v>10183</v>
      </c>
      <c r="E759" s="306" t="s">
        <v>10969</v>
      </c>
      <c r="F759" s="278" t="s">
        <v>4109</v>
      </c>
      <c r="G759" s="278" t="s">
        <v>4108</v>
      </c>
      <c r="H759" s="306" t="s">
        <v>11226</v>
      </c>
      <c r="I759" s="269" t="s">
        <v>11227</v>
      </c>
      <c r="J759" s="306" t="s">
        <v>10969</v>
      </c>
    </row>
    <row r="760" spans="1:10" ht="14.5" customHeight="1" x14ac:dyDescent="0.25">
      <c r="A760" s="278" t="s">
        <v>3705</v>
      </c>
      <c r="B760" s="278" t="s">
        <v>10904</v>
      </c>
      <c r="C760" s="278" t="s">
        <v>10184</v>
      </c>
      <c r="D760" s="279" t="s">
        <v>10185</v>
      </c>
      <c r="E760" s="306" t="s">
        <v>10969</v>
      </c>
      <c r="F760" s="278" t="s">
        <v>4109</v>
      </c>
      <c r="G760" s="278" t="s">
        <v>4108</v>
      </c>
      <c r="H760" s="306" t="s">
        <v>11226</v>
      </c>
      <c r="I760" s="269" t="s">
        <v>11227</v>
      </c>
      <c r="J760" s="306" t="s">
        <v>10969</v>
      </c>
    </row>
    <row r="761" spans="1:10" ht="14.5" customHeight="1" x14ac:dyDescent="0.25">
      <c r="A761" s="278" t="s">
        <v>3705</v>
      </c>
      <c r="B761" s="278" t="s">
        <v>10904</v>
      </c>
      <c r="C761" s="278" t="s">
        <v>10186</v>
      </c>
      <c r="D761" s="279" t="s">
        <v>10187</v>
      </c>
      <c r="E761" s="306" t="s">
        <v>10969</v>
      </c>
      <c r="F761" s="278" t="s">
        <v>4109</v>
      </c>
      <c r="G761" s="278" t="s">
        <v>4108</v>
      </c>
      <c r="H761" s="306" t="s">
        <v>11228</v>
      </c>
      <c r="I761" s="269" t="s">
        <v>11229</v>
      </c>
      <c r="J761" s="306" t="s">
        <v>10969</v>
      </c>
    </row>
    <row r="762" spans="1:10" ht="14.5" customHeight="1" x14ac:dyDescent="0.25">
      <c r="A762" s="278" t="s">
        <v>3705</v>
      </c>
      <c r="B762" s="278" t="s">
        <v>10904</v>
      </c>
      <c r="C762" s="278" t="s">
        <v>10186</v>
      </c>
      <c r="D762" s="279" t="s">
        <v>10187</v>
      </c>
      <c r="E762" s="306" t="s">
        <v>10969</v>
      </c>
      <c r="F762" s="278" t="s">
        <v>4109</v>
      </c>
      <c r="G762" s="278" t="s">
        <v>4108</v>
      </c>
      <c r="H762" s="306" t="s">
        <v>11230</v>
      </c>
      <c r="I762" s="269" t="s">
        <v>11231</v>
      </c>
      <c r="J762" s="306" t="s">
        <v>10969</v>
      </c>
    </row>
    <row r="763" spans="1:10" ht="14.5" customHeight="1" x14ac:dyDescent="0.25">
      <c r="A763" s="278" t="s">
        <v>3705</v>
      </c>
      <c r="B763" s="278" t="s">
        <v>10904</v>
      </c>
      <c r="C763" s="278" t="s">
        <v>10186</v>
      </c>
      <c r="D763" s="279" t="s">
        <v>10187</v>
      </c>
      <c r="E763" s="306" t="s">
        <v>10969</v>
      </c>
      <c r="F763" s="278" t="s">
        <v>4109</v>
      </c>
      <c r="G763" s="278" t="s">
        <v>4108</v>
      </c>
      <c r="H763" s="306" t="s">
        <v>11232</v>
      </c>
      <c r="I763" s="269" t="s">
        <v>11233</v>
      </c>
      <c r="J763" s="306" t="s">
        <v>10969</v>
      </c>
    </row>
    <row r="764" spans="1:10" ht="14.5" customHeight="1" x14ac:dyDescent="0.25">
      <c r="A764" s="278" t="s">
        <v>3705</v>
      </c>
      <c r="B764" s="278" t="s">
        <v>10904</v>
      </c>
      <c r="C764" s="278" t="s">
        <v>10186</v>
      </c>
      <c r="D764" s="279" t="s">
        <v>10187</v>
      </c>
      <c r="E764" s="306" t="s">
        <v>10969</v>
      </c>
      <c r="F764" s="278" t="s">
        <v>4109</v>
      </c>
      <c r="G764" s="278" t="s">
        <v>4108</v>
      </c>
      <c r="H764" s="306" t="s">
        <v>11234</v>
      </c>
      <c r="I764" s="269" t="s">
        <v>11235</v>
      </c>
      <c r="J764" s="306" t="s">
        <v>10969</v>
      </c>
    </row>
    <row r="765" spans="1:10" ht="14.5" customHeight="1" x14ac:dyDescent="0.25">
      <c r="A765" s="278" t="s">
        <v>3705</v>
      </c>
      <c r="B765" s="278" t="s">
        <v>10904</v>
      </c>
      <c r="C765" s="278" t="s">
        <v>10186</v>
      </c>
      <c r="D765" s="279" t="s">
        <v>10187</v>
      </c>
      <c r="E765" s="306" t="s">
        <v>10969</v>
      </c>
      <c r="F765" s="278" t="s">
        <v>4109</v>
      </c>
      <c r="G765" s="278" t="s">
        <v>4108</v>
      </c>
      <c r="H765" s="306" t="s">
        <v>11226</v>
      </c>
      <c r="I765" s="269" t="s">
        <v>11227</v>
      </c>
      <c r="J765" s="306" t="s">
        <v>10969</v>
      </c>
    </row>
    <row r="766" spans="1:10" ht="14.5" customHeight="1" x14ac:dyDescent="0.25">
      <c r="A766" s="278" t="s">
        <v>3705</v>
      </c>
      <c r="B766" s="278" t="s">
        <v>10904</v>
      </c>
      <c r="C766" s="278" t="s">
        <v>10188</v>
      </c>
      <c r="D766" s="279" t="s">
        <v>10189</v>
      </c>
      <c r="E766" s="306" t="s">
        <v>10969</v>
      </c>
      <c r="F766" s="278" t="s">
        <v>4109</v>
      </c>
      <c r="G766" s="278" t="s">
        <v>4108</v>
      </c>
      <c r="H766" s="306" t="s">
        <v>11228</v>
      </c>
      <c r="I766" s="269" t="s">
        <v>11229</v>
      </c>
      <c r="J766" s="306" t="s">
        <v>10969</v>
      </c>
    </row>
    <row r="767" spans="1:10" ht="14.5" customHeight="1" x14ac:dyDescent="0.25">
      <c r="A767" s="278" t="s">
        <v>3705</v>
      </c>
      <c r="B767" s="278" t="s">
        <v>10904</v>
      </c>
      <c r="C767" s="278" t="s">
        <v>10188</v>
      </c>
      <c r="D767" s="279" t="s">
        <v>10189</v>
      </c>
      <c r="E767" s="306" t="s">
        <v>10969</v>
      </c>
      <c r="F767" s="278" t="s">
        <v>4109</v>
      </c>
      <c r="G767" s="278" t="s">
        <v>4108</v>
      </c>
      <c r="H767" s="306" t="s">
        <v>11230</v>
      </c>
      <c r="I767" s="269" t="s">
        <v>11231</v>
      </c>
      <c r="J767" s="306" t="s">
        <v>10969</v>
      </c>
    </row>
    <row r="768" spans="1:10" ht="14.5" customHeight="1" x14ac:dyDescent="0.25">
      <c r="A768" s="278" t="s">
        <v>3705</v>
      </c>
      <c r="B768" s="278" t="s">
        <v>10904</v>
      </c>
      <c r="C768" s="278" t="s">
        <v>10188</v>
      </c>
      <c r="D768" s="279" t="s">
        <v>10189</v>
      </c>
      <c r="E768" s="306" t="s">
        <v>10969</v>
      </c>
      <c r="F768" s="278" t="s">
        <v>4109</v>
      </c>
      <c r="G768" s="278" t="s">
        <v>4108</v>
      </c>
      <c r="H768" s="306" t="s">
        <v>11232</v>
      </c>
      <c r="I768" s="269" t="s">
        <v>11233</v>
      </c>
      <c r="J768" s="306" t="s">
        <v>10969</v>
      </c>
    </row>
    <row r="769" spans="1:10" ht="14.5" customHeight="1" x14ac:dyDescent="0.25">
      <c r="A769" s="278" t="s">
        <v>3705</v>
      </c>
      <c r="B769" s="278" t="s">
        <v>10904</v>
      </c>
      <c r="C769" s="278" t="s">
        <v>10188</v>
      </c>
      <c r="D769" s="279" t="s">
        <v>10189</v>
      </c>
      <c r="E769" s="306" t="s">
        <v>10969</v>
      </c>
      <c r="F769" s="278" t="s">
        <v>4109</v>
      </c>
      <c r="G769" s="278" t="s">
        <v>4108</v>
      </c>
      <c r="H769" s="306" t="s">
        <v>11234</v>
      </c>
      <c r="I769" s="269" t="s">
        <v>11235</v>
      </c>
      <c r="J769" s="306" t="s">
        <v>10969</v>
      </c>
    </row>
    <row r="770" spans="1:10" ht="14.5" customHeight="1" x14ac:dyDescent="0.25">
      <c r="A770" s="278" t="s">
        <v>3705</v>
      </c>
      <c r="B770" s="278" t="s">
        <v>10904</v>
      </c>
      <c r="C770" s="278" t="s">
        <v>10188</v>
      </c>
      <c r="D770" s="279" t="s">
        <v>10189</v>
      </c>
      <c r="E770" s="306" t="s">
        <v>10969</v>
      </c>
      <c r="F770" s="278" t="s">
        <v>4109</v>
      </c>
      <c r="G770" s="278" t="s">
        <v>4108</v>
      </c>
      <c r="H770" s="306" t="s">
        <v>11226</v>
      </c>
      <c r="I770" s="269" t="s">
        <v>11227</v>
      </c>
      <c r="J770" s="306" t="s">
        <v>10969</v>
      </c>
    </row>
    <row r="771" spans="1:10" ht="14.5" customHeight="1" x14ac:dyDescent="0.25">
      <c r="A771" s="278" t="s">
        <v>3705</v>
      </c>
      <c r="B771" s="278" t="s">
        <v>10904</v>
      </c>
      <c r="C771" s="278" t="s">
        <v>10190</v>
      </c>
      <c r="D771" s="279" t="s">
        <v>10191</v>
      </c>
      <c r="E771" s="306" t="s">
        <v>10969</v>
      </c>
      <c r="F771" s="278" t="s">
        <v>4109</v>
      </c>
      <c r="G771" s="278" t="s">
        <v>4109</v>
      </c>
      <c r="H771" s="306" t="s">
        <v>11228</v>
      </c>
      <c r="I771" s="269" t="s">
        <v>11229</v>
      </c>
      <c r="J771" s="306" t="s">
        <v>10969</v>
      </c>
    </row>
    <row r="772" spans="1:10" ht="14.5" customHeight="1" x14ac:dyDescent="0.25">
      <c r="A772" s="278" t="s">
        <v>3705</v>
      </c>
      <c r="B772" s="278" t="s">
        <v>10904</v>
      </c>
      <c r="C772" s="278" t="s">
        <v>10190</v>
      </c>
      <c r="D772" s="279" t="s">
        <v>10191</v>
      </c>
      <c r="E772" s="306" t="s">
        <v>10969</v>
      </c>
      <c r="F772" s="278" t="s">
        <v>4109</v>
      </c>
      <c r="G772" s="278" t="s">
        <v>4109</v>
      </c>
      <c r="H772" s="306" t="s">
        <v>11230</v>
      </c>
      <c r="I772" s="269" t="s">
        <v>11231</v>
      </c>
      <c r="J772" s="306" t="s">
        <v>10969</v>
      </c>
    </row>
    <row r="773" spans="1:10" ht="14.5" customHeight="1" x14ac:dyDescent="0.25">
      <c r="A773" s="278" t="s">
        <v>3705</v>
      </c>
      <c r="B773" s="278" t="s">
        <v>10904</v>
      </c>
      <c r="C773" s="278" t="s">
        <v>10190</v>
      </c>
      <c r="D773" s="279" t="s">
        <v>10191</v>
      </c>
      <c r="E773" s="306" t="s">
        <v>10969</v>
      </c>
      <c r="F773" s="278" t="s">
        <v>4109</v>
      </c>
      <c r="G773" s="278" t="s">
        <v>4109</v>
      </c>
      <c r="H773" s="306" t="s">
        <v>11232</v>
      </c>
      <c r="I773" s="269" t="s">
        <v>11233</v>
      </c>
      <c r="J773" s="306" t="s">
        <v>10969</v>
      </c>
    </row>
    <row r="774" spans="1:10" ht="14.5" customHeight="1" x14ac:dyDescent="0.25">
      <c r="A774" s="278" t="s">
        <v>3705</v>
      </c>
      <c r="B774" s="278" t="s">
        <v>10904</v>
      </c>
      <c r="C774" s="278" t="s">
        <v>10190</v>
      </c>
      <c r="D774" s="279" t="s">
        <v>10191</v>
      </c>
      <c r="E774" s="306" t="s">
        <v>10969</v>
      </c>
      <c r="F774" s="278" t="s">
        <v>4109</v>
      </c>
      <c r="G774" s="278" t="s">
        <v>4109</v>
      </c>
      <c r="H774" s="306" t="s">
        <v>11234</v>
      </c>
      <c r="I774" s="269" t="s">
        <v>11235</v>
      </c>
      <c r="J774" s="306" t="s">
        <v>10969</v>
      </c>
    </row>
    <row r="775" spans="1:10" ht="14.5" customHeight="1" x14ac:dyDescent="0.25">
      <c r="A775" s="278" t="s">
        <v>3705</v>
      </c>
      <c r="B775" s="278" t="s">
        <v>10904</v>
      </c>
      <c r="C775" s="278" t="s">
        <v>10190</v>
      </c>
      <c r="D775" s="279" t="s">
        <v>10191</v>
      </c>
      <c r="E775" s="306" t="s">
        <v>10969</v>
      </c>
      <c r="F775" s="278" t="s">
        <v>4109</v>
      </c>
      <c r="G775" s="278" t="s">
        <v>4109</v>
      </c>
      <c r="H775" s="306" t="s">
        <v>11226</v>
      </c>
      <c r="I775" s="269" t="s">
        <v>11227</v>
      </c>
      <c r="J775" s="306" t="s">
        <v>10969</v>
      </c>
    </row>
    <row r="776" spans="1:10" ht="14.5" customHeight="1" x14ac:dyDescent="0.25">
      <c r="A776" s="278" t="s">
        <v>3705</v>
      </c>
      <c r="B776" s="278" t="s">
        <v>10904</v>
      </c>
      <c r="C776" s="278" t="s">
        <v>10192</v>
      </c>
      <c r="D776" s="279" t="s">
        <v>10193</v>
      </c>
      <c r="E776" s="306" t="s">
        <v>10969</v>
      </c>
      <c r="F776" s="278" t="s">
        <v>4109</v>
      </c>
      <c r="G776" s="278" t="s">
        <v>4108</v>
      </c>
      <c r="H776" s="306" t="s">
        <v>11189</v>
      </c>
      <c r="I776" s="269" t="s">
        <v>11190</v>
      </c>
      <c r="J776" s="306" t="s">
        <v>10969</v>
      </c>
    </row>
    <row r="777" spans="1:10" ht="14.5" customHeight="1" x14ac:dyDescent="0.25">
      <c r="A777" s="278" t="s">
        <v>3705</v>
      </c>
      <c r="B777" s="278" t="s">
        <v>10904</v>
      </c>
      <c r="C777" s="278" t="s">
        <v>10192</v>
      </c>
      <c r="D777" s="279" t="s">
        <v>10193</v>
      </c>
      <c r="E777" s="306" t="s">
        <v>10969</v>
      </c>
      <c r="F777" s="278" t="s">
        <v>4109</v>
      </c>
      <c r="G777" s="278" t="s">
        <v>4108</v>
      </c>
      <c r="H777" s="306" t="s">
        <v>11191</v>
      </c>
      <c r="I777" s="269" t="s">
        <v>11192</v>
      </c>
      <c r="J777" s="306" t="s">
        <v>10969</v>
      </c>
    </row>
    <row r="778" spans="1:10" ht="14.5" customHeight="1" x14ac:dyDescent="0.25">
      <c r="A778" s="278" t="s">
        <v>3705</v>
      </c>
      <c r="B778" s="278" t="s">
        <v>10904</v>
      </c>
      <c r="C778" s="278" t="s">
        <v>10192</v>
      </c>
      <c r="D778" s="279" t="s">
        <v>10193</v>
      </c>
      <c r="E778" s="306" t="s">
        <v>10969</v>
      </c>
      <c r="F778" s="278" t="s">
        <v>4109</v>
      </c>
      <c r="G778" s="278" t="s">
        <v>4108</v>
      </c>
      <c r="H778" s="306" t="s">
        <v>11193</v>
      </c>
      <c r="I778" s="269" t="s">
        <v>11194</v>
      </c>
      <c r="J778" s="306" t="s">
        <v>10969</v>
      </c>
    </row>
    <row r="779" spans="1:10" ht="14.5" customHeight="1" x14ac:dyDescent="0.25">
      <c r="A779" s="278" t="s">
        <v>3705</v>
      </c>
      <c r="B779" s="278" t="s">
        <v>10904</v>
      </c>
      <c r="C779" s="278" t="s">
        <v>10194</v>
      </c>
      <c r="D779" s="279" t="s">
        <v>10195</v>
      </c>
      <c r="E779" s="306" t="s">
        <v>10969</v>
      </c>
      <c r="F779" s="278" t="s">
        <v>4109</v>
      </c>
      <c r="G779" s="278" t="s">
        <v>4108</v>
      </c>
      <c r="H779" s="306" t="s">
        <v>11189</v>
      </c>
      <c r="I779" s="269" t="s">
        <v>11190</v>
      </c>
      <c r="J779" s="306" t="s">
        <v>10969</v>
      </c>
    </row>
    <row r="780" spans="1:10" ht="14.5" customHeight="1" x14ac:dyDescent="0.25">
      <c r="A780" s="278" t="s">
        <v>3705</v>
      </c>
      <c r="B780" s="278" t="s">
        <v>10904</v>
      </c>
      <c r="C780" s="278" t="s">
        <v>10194</v>
      </c>
      <c r="D780" s="279" t="s">
        <v>10195</v>
      </c>
      <c r="E780" s="306" t="s">
        <v>10969</v>
      </c>
      <c r="F780" s="278" t="s">
        <v>4109</v>
      </c>
      <c r="G780" s="278" t="s">
        <v>4108</v>
      </c>
      <c r="H780" s="306" t="s">
        <v>11191</v>
      </c>
      <c r="I780" s="269" t="s">
        <v>11192</v>
      </c>
      <c r="J780" s="306" t="s">
        <v>10969</v>
      </c>
    </row>
    <row r="781" spans="1:10" ht="14.5" customHeight="1" x14ac:dyDescent="0.25">
      <c r="A781" s="278" t="s">
        <v>3705</v>
      </c>
      <c r="B781" s="278" t="s">
        <v>10904</v>
      </c>
      <c r="C781" s="278" t="s">
        <v>10194</v>
      </c>
      <c r="D781" s="279" t="s">
        <v>10195</v>
      </c>
      <c r="E781" s="306" t="s">
        <v>10969</v>
      </c>
      <c r="F781" s="278" t="s">
        <v>4109</v>
      </c>
      <c r="G781" s="278" t="s">
        <v>4108</v>
      </c>
      <c r="H781" s="306" t="s">
        <v>11193</v>
      </c>
      <c r="I781" s="269" t="s">
        <v>11194</v>
      </c>
      <c r="J781" s="306" t="s">
        <v>10969</v>
      </c>
    </row>
    <row r="782" spans="1:10" s="362" customFormat="1" ht="14.5" customHeight="1" x14ac:dyDescent="0.25">
      <c r="A782" s="352" t="s">
        <v>3705</v>
      </c>
      <c r="B782" s="284" t="s">
        <v>10904</v>
      </c>
      <c r="C782" s="284" t="s">
        <v>10196</v>
      </c>
      <c r="D782" s="363" t="s">
        <v>10197</v>
      </c>
      <c r="E782" s="342" t="s">
        <v>10969</v>
      </c>
      <c r="F782" s="284" t="s">
        <v>4109</v>
      </c>
      <c r="G782" s="284" t="s">
        <v>4108</v>
      </c>
      <c r="H782" s="284" t="s">
        <v>11228</v>
      </c>
      <c r="I782" s="271" t="s">
        <v>11229</v>
      </c>
      <c r="J782" s="342" t="s">
        <v>10969</v>
      </c>
    </row>
    <row r="783" spans="1:10" s="362" customFormat="1" ht="14.5" customHeight="1" x14ac:dyDescent="0.25">
      <c r="A783" s="352" t="s">
        <v>3705</v>
      </c>
      <c r="B783" s="284" t="s">
        <v>10904</v>
      </c>
      <c r="C783" s="284" t="s">
        <v>10196</v>
      </c>
      <c r="D783" s="363" t="s">
        <v>10197</v>
      </c>
      <c r="E783" s="342" t="s">
        <v>10969</v>
      </c>
      <c r="F783" s="284" t="s">
        <v>4109</v>
      </c>
      <c r="G783" s="284" t="s">
        <v>4108</v>
      </c>
      <c r="H783" s="284" t="s">
        <v>11230</v>
      </c>
      <c r="I783" s="271" t="s">
        <v>11231</v>
      </c>
      <c r="J783" s="342" t="s">
        <v>10969</v>
      </c>
    </row>
    <row r="784" spans="1:10" s="362" customFormat="1" ht="14.5" customHeight="1" x14ac:dyDescent="0.25">
      <c r="A784" s="352" t="s">
        <v>3705</v>
      </c>
      <c r="B784" s="284" t="s">
        <v>10904</v>
      </c>
      <c r="C784" s="284" t="s">
        <v>10196</v>
      </c>
      <c r="D784" s="363" t="s">
        <v>10197</v>
      </c>
      <c r="E784" s="342" t="s">
        <v>10969</v>
      </c>
      <c r="F784" s="284" t="s">
        <v>4109</v>
      </c>
      <c r="G784" s="284" t="s">
        <v>4108</v>
      </c>
      <c r="H784" s="284" t="s">
        <v>11232</v>
      </c>
      <c r="I784" s="271" t="s">
        <v>11233</v>
      </c>
      <c r="J784" s="342" t="s">
        <v>10969</v>
      </c>
    </row>
    <row r="785" spans="1:10" s="362" customFormat="1" ht="14.5" customHeight="1" x14ac:dyDescent="0.25">
      <c r="A785" s="352" t="s">
        <v>3705</v>
      </c>
      <c r="B785" s="284" t="s">
        <v>10904</v>
      </c>
      <c r="C785" s="284" t="s">
        <v>10196</v>
      </c>
      <c r="D785" s="363" t="s">
        <v>10197</v>
      </c>
      <c r="E785" s="342" t="s">
        <v>10969</v>
      </c>
      <c r="F785" s="284" t="s">
        <v>4109</v>
      </c>
      <c r="G785" s="284" t="s">
        <v>4108</v>
      </c>
      <c r="H785" s="284" t="s">
        <v>11234</v>
      </c>
      <c r="I785" s="271" t="s">
        <v>11235</v>
      </c>
      <c r="J785" s="342" t="s">
        <v>10969</v>
      </c>
    </row>
    <row r="786" spans="1:10" s="362" customFormat="1" ht="14.5" customHeight="1" x14ac:dyDescent="0.25">
      <c r="A786" s="352" t="s">
        <v>3705</v>
      </c>
      <c r="B786" s="284" t="s">
        <v>10904</v>
      </c>
      <c r="C786" s="284" t="s">
        <v>10196</v>
      </c>
      <c r="D786" s="363" t="s">
        <v>10197</v>
      </c>
      <c r="E786" s="342" t="s">
        <v>10969</v>
      </c>
      <c r="F786" s="284" t="s">
        <v>4109</v>
      </c>
      <c r="G786" s="284" t="s">
        <v>4108</v>
      </c>
      <c r="H786" s="284" t="s">
        <v>11226</v>
      </c>
      <c r="I786" s="271" t="s">
        <v>11227</v>
      </c>
      <c r="J786" s="342" t="s">
        <v>10969</v>
      </c>
    </row>
    <row r="787" spans="1:10" ht="14.5" customHeight="1" x14ac:dyDescent="0.25">
      <c r="A787" s="278" t="s">
        <v>3705</v>
      </c>
      <c r="B787" s="278" t="s">
        <v>10904</v>
      </c>
      <c r="C787" s="278" t="s">
        <v>10198</v>
      </c>
      <c r="D787" s="279" t="s">
        <v>10199</v>
      </c>
      <c r="E787" s="306" t="s">
        <v>10969</v>
      </c>
      <c r="F787" s="278" t="s">
        <v>4109</v>
      </c>
      <c r="G787" s="278" t="s">
        <v>4108</v>
      </c>
      <c r="H787" s="306" t="s">
        <v>11228</v>
      </c>
      <c r="I787" s="269" t="s">
        <v>11229</v>
      </c>
      <c r="J787" s="306" t="s">
        <v>10969</v>
      </c>
    </row>
    <row r="788" spans="1:10" ht="14.5" customHeight="1" x14ac:dyDescent="0.25">
      <c r="A788" s="278" t="s">
        <v>3705</v>
      </c>
      <c r="B788" s="278" t="s">
        <v>10904</v>
      </c>
      <c r="C788" s="278" t="s">
        <v>10198</v>
      </c>
      <c r="D788" s="279" t="s">
        <v>10199</v>
      </c>
      <c r="E788" s="306" t="s">
        <v>10969</v>
      </c>
      <c r="F788" s="278" t="s">
        <v>4109</v>
      </c>
      <c r="G788" s="278" t="s">
        <v>4108</v>
      </c>
      <c r="H788" s="306" t="s">
        <v>11230</v>
      </c>
      <c r="I788" s="269" t="s">
        <v>11231</v>
      </c>
      <c r="J788" s="306" t="s">
        <v>10969</v>
      </c>
    </row>
    <row r="789" spans="1:10" ht="14.5" customHeight="1" x14ac:dyDescent="0.25">
      <c r="A789" s="278" t="s">
        <v>3705</v>
      </c>
      <c r="B789" s="278" t="s">
        <v>10904</v>
      </c>
      <c r="C789" s="278" t="s">
        <v>10198</v>
      </c>
      <c r="D789" s="279" t="s">
        <v>10199</v>
      </c>
      <c r="E789" s="306" t="s">
        <v>10969</v>
      </c>
      <c r="F789" s="278" t="s">
        <v>4109</v>
      </c>
      <c r="G789" s="278" t="s">
        <v>4108</v>
      </c>
      <c r="H789" s="306" t="s">
        <v>11232</v>
      </c>
      <c r="I789" s="269" t="s">
        <v>11233</v>
      </c>
      <c r="J789" s="306" t="s">
        <v>10969</v>
      </c>
    </row>
    <row r="790" spans="1:10" ht="14.5" customHeight="1" x14ac:dyDescent="0.25">
      <c r="A790" s="278" t="s">
        <v>3705</v>
      </c>
      <c r="B790" s="278" t="s">
        <v>10904</v>
      </c>
      <c r="C790" s="278" t="s">
        <v>10200</v>
      </c>
      <c r="D790" s="279" t="s">
        <v>10201</v>
      </c>
      <c r="E790" s="306" t="s">
        <v>10969</v>
      </c>
      <c r="F790" s="278" t="s">
        <v>4109</v>
      </c>
      <c r="G790" s="278" t="s">
        <v>4108</v>
      </c>
      <c r="H790" s="306" t="s">
        <v>11228</v>
      </c>
      <c r="I790" s="269" t="s">
        <v>11229</v>
      </c>
      <c r="J790" s="306" t="s">
        <v>10969</v>
      </c>
    </row>
    <row r="791" spans="1:10" ht="14.5" customHeight="1" x14ac:dyDescent="0.25">
      <c r="A791" s="278" t="s">
        <v>3705</v>
      </c>
      <c r="B791" s="278" t="s">
        <v>10904</v>
      </c>
      <c r="C791" s="278" t="s">
        <v>10200</v>
      </c>
      <c r="D791" s="279" t="s">
        <v>10201</v>
      </c>
      <c r="E791" s="306" t="s">
        <v>10969</v>
      </c>
      <c r="F791" s="278" t="s">
        <v>4109</v>
      </c>
      <c r="G791" s="278" t="s">
        <v>4108</v>
      </c>
      <c r="H791" s="306" t="s">
        <v>11230</v>
      </c>
      <c r="I791" s="269" t="s">
        <v>11231</v>
      </c>
      <c r="J791" s="306" t="s">
        <v>10969</v>
      </c>
    </row>
    <row r="792" spans="1:10" ht="14.5" customHeight="1" x14ac:dyDescent="0.25">
      <c r="A792" s="278" t="s">
        <v>3705</v>
      </c>
      <c r="B792" s="278" t="s">
        <v>10904</v>
      </c>
      <c r="C792" s="278" t="s">
        <v>10200</v>
      </c>
      <c r="D792" s="279" t="s">
        <v>10201</v>
      </c>
      <c r="E792" s="306" t="s">
        <v>10969</v>
      </c>
      <c r="F792" s="278" t="s">
        <v>4109</v>
      </c>
      <c r="G792" s="278" t="s">
        <v>4108</v>
      </c>
      <c r="H792" s="306" t="s">
        <v>11232</v>
      </c>
      <c r="I792" s="269" t="s">
        <v>11233</v>
      </c>
      <c r="J792" s="306" t="s">
        <v>10969</v>
      </c>
    </row>
    <row r="793" spans="1:10" ht="14.5" customHeight="1" x14ac:dyDescent="0.25">
      <c r="A793" s="278" t="s">
        <v>3705</v>
      </c>
      <c r="B793" s="278" t="s">
        <v>10904</v>
      </c>
      <c r="C793" s="278" t="s">
        <v>10202</v>
      </c>
      <c r="D793" s="279" t="s">
        <v>10203</v>
      </c>
      <c r="E793" s="306" t="s">
        <v>10969</v>
      </c>
      <c r="F793" s="278" t="s">
        <v>4109</v>
      </c>
      <c r="G793" s="278" t="s">
        <v>4109</v>
      </c>
      <c r="H793" s="306" t="s">
        <v>11228</v>
      </c>
      <c r="I793" s="269" t="s">
        <v>11229</v>
      </c>
      <c r="J793" s="306" t="s">
        <v>10969</v>
      </c>
    </row>
    <row r="794" spans="1:10" ht="14.5" customHeight="1" x14ac:dyDescent="0.25">
      <c r="A794" s="278" t="s">
        <v>3705</v>
      </c>
      <c r="B794" s="278" t="s">
        <v>10904</v>
      </c>
      <c r="C794" s="278" t="s">
        <v>10202</v>
      </c>
      <c r="D794" s="279" t="s">
        <v>10203</v>
      </c>
      <c r="E794" s="306" t="s">
        <v>10969</v>
      </c>
      <c r="F794" s="278" t="s">
        <v>4109</v>
      </c>
      <c r="G794" s="278" t="s">
        <v>4109</v>
      </c>
      <c r="H794" s="306" t="s">
        <v>11230</v>
      </c>
      <c r="I794" s="269" t="s">
        <v>11231</v>
      </c>
      <c r="J794" s="306" t="s">
        <v>10969</v>
      </c>
    </row>
    <row r="795" spans="1:10" ht="14.5" customHeight="1" x14ac:dyDescent="0.25">
      <c r="A795" s="278" t="s">
        <v>3705</v>
      </c>
      <c r="B795" s="278" t="s">
        <v>10904</v>
      </c>
      <c r="C795" s="278" t="s">
        <v>10202</v>
      </c>
      <c r="D795" s="279" t="s">
        <v>10203</v>
      </c>
      <c r="E795" s="306" t="s">
        <v>10969</v>
      </c>
      <c r="F795" s="278" t="s">
        <v>4109</v>
      </c>
      <c r="G795" s="278" t="s">
        <v>4109</v>
      </c>
      <c r="H795" s="306" t="s">
        <v>11232</v>
      </c>
      <c r="I795" s="269" t="s">
        <v>11233</v>
      </c>
      <c r="J795" s="306" t="s">
        <v>10969</v>
      </c>
    </row>
    <row r="796" spans="1:10" ht="14.5" customHeight="1" x14ac:dyDescent="0.25">
      <c r="A796" s="278" t="s">
        <v>3705</v>
      </c>
      <c r="B796" s="278" t="s">
        <v>10904</v>
      </c>
      <c r="C796" s="278" t="s">
        <v>10204</v>
      </c>
      <c r="D796" s="279" t="s">
        <v>10205</v>
      </c>
      <c r="E796" s="306" t="s">
        <v>10969</v>
      </c>
      <c r="F796" s="278" t="s">
        <v>4109</v>
      </c>
      <c r="G796" s="278" t="s">
        <v>4108</v>
      </c>
      <c r="H796" s="306" t="s">
        <v>11234</v>
      </c>
      <c r="I796" s="269" t="s">
        <v>11235</v>
      </c>
      <c r="J796" s="306" t="s">
        <v>10969</v>
      </c>
    </row>
    <row r="797" spans="1:10" ht="14.5" customHeight="1" x14ac:dyDescent="0.25">
      <c r="A797" s="278" t="s">
        <v>3705</v>
      </c>
      <c r="B797" s="278" t="s">
        <v>10904</v>
      </c>
      <c r="C797" s="278" t="s">
        <v>10206</v>
      </c>
      <c r="D797" s="279" t="s">
        <v>10207</v>
      </c>
      <c r="E797" s="306" t="s">
        <v>10969</v>
      </c>
      <c r="F797" s="278" t="s">
        <v>4109</v>
      </c>
      <c r="G797" s="278" t="s">
        <v>4108</v>
      </c>
      <c r="H797" s="306" t="s">
        <v>11234</v>
      </c>
      <c r="I797" s="269" t="s">
        <v>11235</v>
      </c>
      <c r="J797" s="306" t="s">
        <v>10969</v>
      </c>
    </row>
    <row r="798" spans="1:10" ht="14.5" customHeight="1" x14ac:dyDescent="0.25">
      <c r="A798" s="278" t="s">
        <v>3705</v>
      </c>
      <c r="B798" s="278" t="s">
        <v>10904</v>
      </c>
      <c r="C798" s="278" t="s">
        <v>10208</v>
      </c>
      <c r="D798" s="279" t="s">
        <v>10209</v>
      </c>
      <c r="E798" s="306" t="s">
        <v>10969</v>
      </c>
      <c r="F798" s="278" t="s">
        <v>4109</v>
      </c>
      <c r="G798" s="278" t="s">
        <v>4109</v>
      </c>
      <c r="H798" s="306" t="s">
        <v>11234</v>
      </c>
      <c r="I798" s="269" t="s">
        <v>11235</v>
      </c>
      <c r="J798" s="306" t="s">
        <v>10969</v>
      </c>
    </row>
    <row r="799" spans="1:10" ht="14.5" customHeight="1" x14ac:dyDescent="0.25">
      <c r="A799" s="278" t="s">
        <v>3705</v>
      </c>
      <c r="B799" s="278" t="s">
        <v>10904</v>
      </c>
      <c r="C799" s="278" t="s">
        <v>10210</v>
      </c>
      <c r="D799" s="279" t="s">
        <v>10211</v>
      </c>
      <c r="E799" s="306" t="s">
        <v>10969</v>
      </c>
      <c r="F799" s="278" t="s">
        <v>4109</v>
      </c>
      <c r="G799" s="278" t="s">
        <v>4108</v>
      </c>
      <c r="H799" s="306" t="s">
        <v>11236</v>
      </c>
      <c r="I799" s="269" t="s">
        <v>11237</v>
      </c>
      <c r="J799" s="306" t="s">
        <v>10969</v>
      </c>
    </row>
    <row r="800" spans="1:10" ht="14.5" customHeight="1" x14ac:dyDescent="0.25">
      <c r="A800" s="278" t="s">
        <v>3705</v>
      </c>
      <c r="B800" s="278" t="s">
        <v>10904</v>
      </c>
      <c r="C800" s="278" t="s">
        <v>10210</v>
      </c>
      <c r="D800" s="279" t="s">
        <v>10211</v>
      </c>
      <c r="E800" s="306" t="s">
        <v>10969</v>
      </c>
      <c r="F800" s="278" t="s">
        <v>4109</v>
      </c>
      <c r="G800" s="278" t="s">
        <v>4108</v>
      </c>
      <c r="H800" s="306" t="s">
        <v>11189</v>
      </c>
      <c r="I800" s="269" t="s">
        <v>11190</v>
      </c>
      <c r="J800" s="306" t="s">
        <v>10969</v>
      </c>
    </row>
    <row r="801" spans="1:10" ht="14.5" customHeight="1" x14ac:dyDescent="0.25">
      <c r="A801" s="278" t="s">
        <v>3705</v>
      </c>
      <c r="B801" s="278" t="s">
        <v>10904</v>
      </c>
      <c r="C801" s="278" t="s">
        <v>10210</v>
      </c>
      <c r="D801" s="279" t="s">
        <v>10211</v>
      </c>
      <c r="E801" s="306" t="s">
        <v>10969</v>
      </c>
      <c r="F801" s="278" t="s">
        <v>4109</v>
      </c>
      <c r="G801" s="278" t="s">
        <v>4108</v>
      </c>
      <c r="H801" s="306" t="s">
        <v>11191</v>
      </c>
      <c r="I801" s="269" t="s">
        <v>11192</v>
      </c>
      <c r="J801" s="306" t="s">
        <v>10969</v>
      </c>
    </row>
    <row r="802" spans="1:10" ht="14.5" customHeight="1" x14ac:dyDescent="0.25">
      <c r="A802" s="278" t="s">
        <v>3705</v>
      </c>
      <c r="B802" s="278" t="s">
        <v>10904</v>
      </c>
      <c r="C802" s="278" t="s">
        <v>10210</v>
      </c>
      <c r="D802" s="279" t="s">
        <v>10211</v>
      </c>
      <c r="E802" s="306" t="s">
        <v>10969</v>
      </c>
      <c r="F802" s="278" t="s">
        <v>4109</v>
      </c>
      <c r="G802" s="278" t="s">
        <v>4108</v>
      </c>
      <c r="H802" s="306" t="s">
        <v>11238</v>
      </c>
      <c r="I802" s="269" t="s">
        <v>11239</v>
      </c>
      <c r="J802" s="306" t="s">
        <v>10969</v>
      </c>
    </row>
    <row r="803" spans="1:10" ht="14.5" customHeight="1" x14ac:dyDescent="0.25">
      <c r="A803" s="278" t="s">
        <v>3705</v>
      </c>
      <c r="B803" s="278" t="s">
        <v>10904</v>
      </c>
      <c r="C803" s="278" t="s">
        <v>10210</v>
      </c>
      <c r="D803" s="279" t="s">
        <v>10211</v>
      </c>
      <c r="E803" s="306" t="s">
        <v>10969</v>
      </c>
      <c r="F803" s="278" t="s">
        <v>4109</v>
      </c>
      <c r="G803" s="278" t="s">
        <v>4108</v>
      </c>
      <c r="H803" s="306" t="s">
        <v>11193</v>
      </c>
      <c r="I803" s="269" t="s">
        <v>11194</v>
      </c>
      <c r="J803" s="306" t="s">
        <v>10969</v>
      </c>
    </row>
    <row r="804" spans="1:10" ht="14.5" customHeight="1" x14ac:dyDescent="0.25">
      <c r="A804" s="278" t="s">
        <v>3705</v>
      </c>
      <c r="B804" s="278" t="s">
        <v>10904</v>
      </c>
      <c r="C804" s="278" t="s">
        <v>10212</v>
      </c>
      <c r="D804" s="279" t="s">
        <v>10213</v>
      </c>
      <c r="E804" s="306" t="s">
        <v>10969</v>
      </c>
      <c r="F804" s="278" t="s">
        <v>4109</v>
      </c>
      <c r="G804" s="278" t="s">
        <v>4108</v>
      </c>
      <c r="H804" s="306" t="s">
        <v>11189</v>
      </c>
      <c r="I804" s="269" t="s">
        <v>11190</v>
      </c>
      <c r="J804" s="306" t="s">
        <v>10969</v>
      </c>
    </row>
    <row r="805" spans="1:10" ht="14.5" customHeight="1" x14ac:dyDescent="0.25">
      <c r="A805" s="278" t="s">
        <v>3705</v>
      </c>
      <c r="B805" s="278" t="s">
        <v>10904</v>
      </c>
      <c r="C805" s="278" t="s">
        <v>10212</v>
      </c>
      <c r="D805" s="279" t="s">
        <v>10213</v>
      </c>
      <c r="E805" s="306" t="s">
        <v>10969</v>
      </c>
      <c r="F805" s="278" t="s">
        <v>4109</v>
      </c>
      <c r="G805" s="278" t="s">
        <v>4108</v>
      </c>
      <c r="H805" s="306" t="s">
        <v>11191</v>
      </c>
      <c r="I805" s="269" t="s">
        <v>11192</v>
      </c>
      <c r="J805" s="306" t="s">
        <v>10969</v>
      </c>
    </row>
    <row r="806" spans="1:10" ht="14.5" customHeight="1" x14ac:dyDescent="0.25">
      <c r="A806" s="278" t="s">
        <v>3705</v>
      </c>
      <c r="B806" s="278" t="s">
        <v>10904</v>
      </c>
      <c r="C806" s="278" t="s">
        <v>10212</v>
      </c>
      <c r="D806" s="279" t="s">
        <v>10213</v>
      </c>
      <c r="E806" s="306" t="s">
        <v>10969</v>
      </c>
      <c r="F806" s="278" t="s">
        <v>4109</v>
      </c>
      <c r="G806" s="278" t="s">
        <v>4108</v>
      </c>
      <c r="H806" s="306" t="s">
        <v>11238</v>
      </c>
      <c r="I806" s="269" t="s">
        <v>11239</v>
      </c>
      <c r="J806" s="306" t="s">
        <v>10969</v>
      </c>
    </row>
    <row r="807" spans="1:10" ht="14.5" customHeight="1" x14ac:dyDescent="0.25">
      <c r="A807" s="278" t="s">
        <v>3705</v>
      </c>
      <c r="B807" s="278" t="s">
        <v>10904</v>
      </c>
      <c r="C807" s="278" t="s">
        <v>10212</v>
      </c>
      <c r="D807" s="279" t="s">
        <v>10213</v>
      </c>
      <c r="E807" s="306" t="s">
        <v>10969</v>
      </c>
      <c r="F807" s="278" t="s">
        <v>4109</v>
      </c>
      <c r="G807" s="278" t="s">
        <v>4108</v>
      </c>
      <c r="H807" s="306" t="s">
        <v>11193</v>
      </c>
      <c r="I807" s="269" t="s">
        <v>11194</v>
      </c>
      <c r="J807" s="306" t="s">
        <v>10969</v>
      </c>
    </row>
    <row r="808" spans="1:10" ht="14.5" customHeight="1" x14ac:dyDescent="0.25">
      <c r="A808" s="278" t="s">
        <v>3705</v>
      </c>
      <c r="B808" s="278" t="s">
        <v>10904</v>
      </c>
      <c r="C808" s="278" t="s">
        <v>10214</v>
      </c>
      <c r="D808" s="279" t="s">
        <v>10215</v>
      </c>
      <c r="E808" s="306" t="s">
        <v>10969</v>
      </c>
      <c r="F808" s="278" t="s">
        <v>4109</v>
      </c>
      <c r="G808" s="278" t="s">
        <v>4108</v>
      </c>
      <c r="H808" s="306" t="s">
        <v>11219</v>
      </c>
      <c r="I808" s="269" t="s">
        <v>11220</v>
      </c>
      <c r="J808" s="306" t="s">
        <v>10969</v>
      </c>
    </row>
    <row r="809" spans="1:10" ht="14.5" customHeight="1" x14ac:dyDescent="0.25">
      <c r="A809" s="278" t="s">
        <v>3705</v>
      </c>
      <c r="B809" s="278" t="s">
        <v>10904</v>
      </c>
      <c r="C809" s="278" t="s">
        <v>10214</v>
      </c>
      <c r="D809" s="279" t="s">
        <v>10215</v>
      </c>
      <c r="E809" s="306" t="s">
        <v>10969</v>
      </c>
      <c r="F809" s="278" t="s">
        <v>4109</v>
      </c>
      <c r="G809" s="278" t="s">
        <v>4108</v>
      </c>
      <c r="H809" s="306" t="s">
        <v>11228</v>
      </c>
      <c r="I809" s="269" t="s">
        <v>11229</v>
      </c>
      <c r="J809" s="306" t="s">
        <v>10969</v>
      </c>
    </row>
    <row r="810" spans="1:10" ht="14.5" customHeight="1" x14ac:dyDescent="0.25">
      <c r="A810" s="278" t="s">
        <v>3705</v>
      </c>
      <c r="B810" s="278" t="s">
        <v>10904</v>
      </c>
      <c r="C810" s="278" t="s">
        <v>10214</v>
      </c>
      <c r="D810" s="279" t="s">
        <v>10215</v>
      </c>
      <c r="E810" s="306" t="s">
        <v>10969</v>
      </c>
      <c r="F810" s="278" t="s">
        <v>4109</v>
      </c>
      <c r="G810" s="278" t="s">
        <v>4108</v>
      </c>
      <c r="H810" s="306" t="s">
        <v>11230</v>
      </c>
      <c r="I810" s="269" t="s">
        <v>11231</v>
      </c>
      <c r="J810" s="306" t="s">
        <v>10969</v>
      </c>
    </row>
    <row r="811" spans="1:10" ht="14.5" customHeight="1" x14ac:dyDescent="0.25">
      <c r="A811" s="278" t="s">
        <v>3705</v>
      </c>
      <c r="B811" s="278" t="s">
        <v>10904</v>
      </c>
      <c r="C811" s="278" t="s">
        <v>10214</v>
      </c>
      <c r="D811" s="279" t="s">
        <v>10215</v>
      </c>
      <c r="E811" s="306" t="s">
        <v>10969</v>
      </c>
      <c r="F811" s="278" t="s">
        <v>4109</v>
      </c>
      <c r="G811" s="278" t="s">
        <v>4108</v>
      </c>
      <c r="H811" s="306" t="s">
        <v>11221</v>
      </c>
      <c r="I811" s="269" t="s">
        <v>11222</v>
      </c>
      <c r="J811" s="306" t="s">
        <v>10969</v>
      </c>
    </row>
    <row r="812" spans="1:10" ht="14.5" customHeight="1" x14ac:dyDescent="0.25">
      <c r="A812" s="278" t="s">
        <v>3705</v>
      </c>
      <c r="B812" s="278" t="s">
        <v>10904</v>
      </c>
      <c r="C812" s="278" t="s">
        <v>10216</v>
      </c>
      <c r="D812" s="279" t="s">
        <v>10217</v>
      </c>
      <c r="E812" s="306" t="s">
        <v>10969</v>
      </c>
      <c r="F812" s="278" t="s">
        <v>4109</v>
      </c>
      <c r="G812" s="278" t="s">
        <v>4108</v>
      </c>
      <c r="H812" s="306" t="s">
        <v>11189</v>
      </c>
      <c r="I812" s="269" t="s">
        <v>11190</v>
      </c>
      <c r="J812" s="306" t="s">
        <v>10969</v>
      </c>
    </row>
    <row r="813" spans="1:10" ht="14.5" customHeight="1" x14ac:dyDescent="0.25">
      <c r="A813" s="278" t="s">
        <v>3705</v>
      </c>
      <c r="B813" s="278" t="s">
        <v>10904</v>
      </c>
      <c r="C813" s="278" t="s">
        <v>10216</v>
      </c>
      <c r="D813" s="279" t="s">
        <v>10217</v>
      </c>
      <c r="E813" s="306" t="s">
        <v>10969</v>
      </c>
      <c r="F813" s="278" t="s">
        <v>4109</v>
      </c>
      <c r="G813" s="278" t="s">
        <v>4108</v>
      </c>
      <c r="H813" s="306" t="s">
        <v>11191</v>
      </c>
      <c r="I813" s="269" t="s">
        <v>11192</v>
      </c>
      <c r="J813" s="306" t="s">
        <v>10969</v>
      </c>
    </row>
    <row r="814" spans="1:10" ht="14.5" customHeight="1" x14ac:dyDescent="0.25">
      <c r="A814" s="278" t="s">
        <v>3705</v>
      </c>
      <c r="B814" s="278" t="s">
        <v>10904</v>
      </c>
      <c r="C814" s="278" t="s">
        <v>10216</v>
      </c>
      <c r="D814" s="279" t="s">
        <v>10217</v>
      </c>
      <c r="E814" s="306" t="s">
        <v>10969</v>
      </c>
      <c r="F814" s="278" t="s">
        <v>4109</v>
      </c>
      <c r="G814" s="278" t="s">
        <v>4108</v>
      </c>
      <c r="H814" s="306" t="s">
        <v>11230</v>
      </c>
      <c r="I814" s="269" t="s">
        <v>11231</v>
      </c>
      <c r="J814" s="306" t="s">
        <v>10969</v>
      </c>
    </row>
    <row r="815" spans="1:10" ht="14.5" customHeight="1" x14ac:dyDescent="0.25">
      <c r="A815" s="278" t="s">
        <v>3705</v>
      </c>
      <c r="B815" s="278" t="s">
        <v>10904</v>
      </c>
      <c r="C815" s="278" t="s">
        <v>10216</v>
      </c>
      <c r="D815" s="279" t="s">
        <v>10217</v>
      </c>
      <c r="E815" s="306" t="s">
        <v>10969</v>
      </c>
      <c r="F815" s="278" t="s">
        <v>4109</v>
      </c>
      <c r="G815" s="278" t="s">
        <v>4108</v>
      </c>
      <c r="H815" s="306" t="s">
        <v>11193</v>
      </c>
      <c r="I815" s="269" t="s">
        <v>11194</v>
      </c>
      <c r="J815" s="306" t="s">
        <v>10969</v>
      </c>
    </row>
    <row r="816" spans="1:10" ht="14.5" customHeight="1" x14ac:dyDescent="0.25">
      <c r="A816" s="278" t="s">
        <v>3705</v>
      </c>
      <c r="B816" s="278" t="s">
        <v>10904</v>
      </c>
      <c r="C816" s="278" t="s">
        <v>10218</v>
      </c>
      <c r="D816" s="279" t="s">
        <v>10219</v>
      </c>
      <c r="E816" s="306" t="s">
        <v>10969</v>
      </c>
      <c r="F816" s="278" t="s">
        <v>4109</v>
      </c>
      <c r="G816" s="278" t="s">
        <v>4108</v>
      </c>
      <c r="H816" s="306" t="s">
        <v>11228</v>
      </c>
      <c r="I816" s="269" t="s">
        <v>11229</v>
      </c>
      <c r="J816" s="306" t="s">
        <v>10969</v>
      </c>
    </row>
    <row r="817" spans="1:10" ht="14.5" customHeight="1" x14ac:dyDescent="0.25">
      <c r="A817" s="278" t="s">
        <v>3705</v>
      </c>
      <c r="B817" s="278" t="s">
        <v>10904</v>
      </c>
      <c r="C817" s="278" t="s">
        <v>10218</v>
      </c>
      <c r="D817" s="279" t="s">
        <v>10219</v>
      </c>
      <c r="E817" s="306" t="s">
        <v>10969</v>
      </c>
      <c r="F817" s="278" t="s">
        <v>4109</v>
      </c>
      <c r="G817" s="278" t="s">
        <v>4108</v>
      </c>
      <c r="H817" s="306" t="s">
        <v>11230</v>
      </c>
      <c r="I817" s="269" t="s">
        <v>11231</v>
      </c>
      <c r="J817" s="306" t="s">
        <v>10969</v>
      </c>
    </row>
    <row r="818" spans="1:10" ht="14.5" customHeight="1" x14ac:dyDescent="0.25">
      <c r="A818" s="278" t="s">
        <v>3705</v>
      </c>
      <c r="B818" s="278" t="s">
        <v>10904</v>
      </c>
      <c r="C818" s="278" t="s">
        <v>10218</v>
      </c>
      <c r="D818" s="279" t="s">
        <v>10219</v>
      </c>
      <c r="E818" s="306" t="s">
        <v>10969</v>
      </c>
      <c r="F818" s="278" t="s">
        <v>4109</v>
      </c>
      <c r="G818" s="278" t="s">
        <v>4108</v>
      </c>
      <c r="H818" s="306" t="s">
        <v>11232</v>
      </c>
      <c r="I818" s="269" t="s">
        <v>11233</v>
      </c>
      <c r="J818" s="306" t="s">
        <v>10969</v>
      </c>
    </row>
    <row r="819" spans="1:10" ht="14.5" customHeight="1" x14ac:dyDescent="0.25">
      <c r="A819" s="278" t="s">
        <v>3705</v>
      </c>
      <c r="B819" s="278" t="s">
        <v>10904</v>
      </c>
      <c r="C819" s="278" t="s">
        <v>10218</v>
      </c>
      <c r="D819" s="279" t="s">
        <v>10219</v>
      </c>
      <c r="E819" s="306" t="s">
        <v>10969</v>
      </c>
      <c r="F819" s="278" t="s">
        <v>4109</v>
      </c>
      <c r="G819" s="278" t="s">
        <v>4108</v>
      </c>
      <c r="H819" s="306" t="s">
        <v>11234</v>
      </c>
      <c r="I819" s="269" t="s">
        <v>11235</v>
      </c>
      <c r="J819" s="306" t="s">
        <v>10969</v>
      </c>
    </row>
    <row r="820" spans="1:10" ht="14.5" customHeight="1" x14ac:dyDescent="0.25">
      <c r="A820" s="278" t="s">
        <v>3705</v>
      </c>
      <c r="B820" s="278" t="s">
        <v>10904</v>
      </c>
      <c r="C820" s="278" t="s">
        <v>10220</v>
      </c>
      <c r="D820" s="279" t="s">
        <v>10221</v>
      </c>
      <c r="E820" s="306" t="s">
        <v>10969</v>
      </c>
      <c r="F820" s="278" t="s">
        <v>4109</v>
      </c>
      <c r="G820" s="278" t="s">
        <v>4108</v>
      </c>
      <c r="H820" s="306" t="s">
        <v>11189</v>
      </c>
      <c r="I820" s="269" t="s">
        <v>11190</v>
      </c>
      <c r="J820" s="306" t="s">
        <v>10969</v>
      </c>
    </row>
    <row r="821" spans="1:10" ht="14.5" customHeight="1" x14ac:dyDescent="0.25">
      <c r="A821" s="278" t="s">
        <v>3705</v>
      </c>
      <c r="B821" s="278" t="s">
        <v>10904</v>
      </c>
      <c r="C821" s="278" t="s">
        <v>10220</v>
      </c>
      <c r="D821" s="279" t="s">
        <v>10221</v>
      </c>
      <c r="E821" s="306" t="s">
        <v>10969</v>
      </c>
      <c r="F821" s="278" t="s">
        <v>4109</v>
      </c>
      <c r="G821" s="278" t="s">
        <v>4108</v>
      </c>
      <c r="H821" s="306" t="s">
        <v>11191</v>
      </c>
      <c r="I821" s="269" t="s">
        <v>11192</v>
      </c>
      <c r="J821" s="306" t="s">
        <v>10969</v>
      </c>
    </row>
    <row r="822" spans="1:10" ht="14.5" customHeight="1" x14ac:dyDescent="0.25">
      <c r="A822" s="278" t="s">
        <v>3705</v>
      </c>
      <c r="B822" s="278" t="s">
        <v>10904</v>
      </c>
      <c r="C822" s="278" t="s">
        <v>10220</v>
      </c>
      <c r="D822" s="279" t="s">
        <v>10221</v>
      </c>
      <c r="E822" s="306" t="s">
        <v>10969</v>
      </c>
      <c r="F822" s="278" t="s">
        <v>4109</v>
      </c>
      <c r="G822" s="278" t="s">
        <v>4108</v>
      </c>
      <c r="H822" s="306" t="s">
        <v>11230</v>
      </c>
      <c r="I822" s="269" t="s">
        <v>11231</v>
      </c>
      <c r="J822" s="306" t="s">
        <v>10969</v>
      </c>
    </row>
    <row r="823" spans="1:10" ht="14.5" customHeight="1" x14ac:dyDescent="0.25">
      <c r="A823" s="278" t="s">
        <v>3705</v>
      </c>
      <c r="B823" s="278" t="s">
        <v>10904</v>
      </c>
      <c r="C823" s="278" t="s">
        <v>10220</v>
      </c>
      <c r="D823" s="279" t="s">
        <v>10221</v>
      </c>
      <c r="E823" s="306" t="s">
        <v>10969</v>
      </c>
      <c r="F823" s="278" t="s">
        <v>4109</v>
      </c>
      <c r="G823" s="278" t="s">
        <v>4108</v>
      </c>
      <c r="H823" s="306" t="s">
        <v>11193</v>
      </c>
      <c r="I823" s="269" t="s">
        <v>11194</v>
      </c>
      <c r="J823" s="306" t="s">
        <v>10969</v>
      </c>
    </row>
    <row r="824" spans="1:10" ht="14.5" customHeight="1" x14ac:dyDescent="0.25">
      <c r="A824" s="278" t="s">
        <v>3705</v>
      </c>
      <c r="B824" s="278" t="s">
        <v>10904</v>
      </c>
      <c r="C824" s="278" t="s">
        <v>10222</v>
      </c>
      <c r="D824" s="279" t="s">
        <v>10223</v>
      </c>
      <c r="E824" s="306" t="s">
        <v>10969</v>
      </c>
      <c r="F824" s="278" t="s">
        <v>4109</v>
      </c>
      <c r="G824" s="278" t="s">
        <v>4108</v>
      </c>
      <c r="H824" s="306" t="s">
        <v>11228</v>
      </c>
      <c r="I824" s="269" t="s">
        <v>11229</v>
      </c>
      <c r="J824" s="306" t="s">
        <v>10969</v>
      </c>
    </row>
    <row r="825" spans="1:10" ht="14.5" customHeight="1" x14ac:dyDescent="0.25">
      <c r="A825" s="278" t="s">
        <v>3705</v>
      </c>
      <c r="B825" s="278" t="s">
        <v>10904</v>
      </c>
      <c r="C825" s="278" t="s">
        <v>10222</v>
      </c>
      <c r="D825" s="279" t="s">
        <v>10223</v>
      </c>
      <c r="E825" s="306" t="s">
        <v>10969</v>
      </c>
      <c r="F825" s="278" t="s">
        <v>4109</v>
      </c>
      <c r="G825" s="278" t="s">
        <v>4108</v>
      </c>
      <c r="H825" s="306" t="s">
        <v>11230</v>
      </c>
      <c r="I825" s="269" t="s">
        <v>11231</v>
      </c>
      <c r="J825" s="306" t="s">
        <v>10969</v>
      </c>
    </row>
    <row r="826" spans="1:10" ht="14.5" customHeight="1" x14ac:dyDescent="0.25">
      <c r="A826" s="278" t="s">
        <v>3705</v>
      </c>
      <c r="B826" s="278" t="s">
        <v>10904</v>
      </c>
      <c r="C826" s="278" t="s">
        <v>10222</v>
      </c>
      <c r="D826" s="279" t="s">
        <v>10223</v>
      </c>
      <c r="E826" s="306" t="s">
        <v>10969</v>
      </c>
      <c r="F826" s="278" t="s">
        <v>4109</v>
      </c>
      <c r="G826" s="278" t="s">
        <v>4108</v>
      </c>
      <c r="H826" s="306" t="s">
        <v>11232</v>
      </c>
      <c r="I826" s="269" t="s">
        <v>11233</v>
      </c>
      <c r="J826" s="306" t="s">
        <v>10969</v>
      </c>
    </row>
    <row r="827" spans="1:10" ht="14.5" customHeight="1" x14ac:dyDescent="0.25">
      <c r="A827" s="278" t="s">
        <v>3705</v>
      </c>
      <c r="B827" s="278" t="s">
        <v>10904</v>
      </c>
      <c r="C827" s="278" t="s">
        <v>10222</v>
      </c>
      <c r="D827" s="279" t="s">
        <v>10223</v>
      </c>
      <c r="E827" s="306" t="s">
        <v>10969</v>
      </c>
      <c r="F827" s="278" t="s">
        <v>4109</v>
      </c>
      <c r="G827" s="278" t="s">
        <v>4108</v>
      </c>
      <c r="H827" s="306" t="s">
        <v>11226</v>
      </c>
      <c r="I827" s="269" t="s">
        <v>11227</v>
      </c>
      <c r="J827" s="306" t="s">
        <v>10969</v>
      </c>
    </row>
    <row r="828" spans="1:10" ht="14.5" customHeight="1" x14ac:dyDescent="0.25">
      <c r="A828" s="278" t="s">
        <v>3705</v>
      </c>
      <c r="B828" s="278" t="s">
        <v>10904</v>
      </c>
      <c r="C828" s="278" t="s">
        <v>10224</v>
      </c>
      <c r="D828" s="279" t="s">
        <v>10225</v>
      </c>
      <c r="E828" s="306" t="s">
        <v>10969</v>
      </c>
      <c r="F828" s="278" t="s">
        <v>4109</v>
      </c>
      <c r="G828" s="278" t="s">
        <v>4108</v>
      </c>
      <c r="H828" s="306" t="s">
        <v>11230</v>
      </c>
      <c r="I828" s="269" t="s">
        <v>11231</v>
      </c>
      <c r="J828" s="306" t="s">
        <v>10969</v>
      </c>
    </row>
    <row r="829" spans="1:10" ht="14.5" customHeight="1" x14ac:dyDescent="0.25">
      <c r="A829" s="278" t="s">
        <v>3705</v>
      </c>
      <c r="B829" s="278" t="s">
        <v>10904</v>
      </c>
      <c r="C829" s="278" t="s">
        <v>10224</v>
      </c>
      <c r="D829" s="279" t="s">
        <v>10225</v>
      </c>
      <c r="E829" s="306" t="s">
        <v>10969</v>
      </c>
      <c r="F829" s="278" t="s">
        <v>4109</v>
      </c>
      <c r="G829" s="278" t="s">
        <v>4108</v>
      </c>
      <c r="H829" s="306" t="s">
        <v>11226</v>
      </c>
      <c r="I829" s="269" t="s">
        <v>11227</v>
      </c>
      <c r="J829" s="306" t="s">
        <v>10969</v>
      </c>
    </row>
    <row r="830" spans="1:10" ht="14.5" customHeight="1" x14ac:dyDescent="0.25">
      <c r="A830" s="278" t="s">
        <v>3705</v>
      </c>
      <c r="B830" s="278" t="s">
        <v>10904</v>
      </c>
      <c r="C830" s="278" t="s">
        <v>10226</v>
      </c>
      <c r="D830" s="279" t="s">
        <v>10227</v>
      </c>
      <c r="E830" s="306" t="s">
        <v>10969</v>
      </c>
      <c r="F830" s="278" t="s">
        <v>4109</v>
      </c>
      <c r="G830" s="278" t="s">
        <v>4108</v>
      </c>
      <c r="H830" s="306" t="s">
        <v>11230</v>
      </c>
      <c r="I830" s="269" t="s">
        <v>11231</v>
      </c>
      <c r="J830" s="306" t="s">
        <v>10969</v>
      </c>
    </row>
    <row r="831" spans="1:10" ht="14.5" customHeight="1" x14ac:dyDescent="0.25">
      <c r="A831" s="278" t="s">
        <v>3705</v>
      </c>
      <c r="B831" s="278" t="s">
        <v>10904</v>
      </c>
      <c r="C831" s="278" t="s">
        <v>10228</v>
      </c>
      <c r="D831" s="279" t="s">
        <v>10229</v>
      </c>
      <c r="E831" s="306" t="s">
        <v>10969</v>
      </c>
      <c r="F831" s="278" t="s">
        <v>4109</v>
      </c>
      <c r="G831" s="278" t="s">
        <v>4109</v>
      </c>
      <c r="H831" s="306" t="s">
        <v>11230</v>
      </c>
      <c r="I831" s="269" t="s">
        <v>11231</v>
      </c>
      <c r="J831" s="306" t="s">
        <v>10969</v>
      </c>
    </row>
    <row r="832" spans="1:10" ht="14.5" customHeight="1" x14ac:dyDescent="0.25">
      <c r="A832" s="278" t="s">
        <v>3705</v>
      </c>
      <c r="B832" s="278" t="s">
        <v>10904</v>
      </c>
      <c r="C832" s="278" t="s">
        <v>10230</v>
      </c>
      <c r="D832" s="279" t="s">
        <v>10231</v>
      </c>
      <c r="E832" s="306" t="s">
        <v>10969</v>
      </c>
      <c r="F832" s="278" t="s">
        <v>4109</v>
      </c>
      <c r="G832" s="278" t="s">
        <v>4108</v>
      </c>
      <c r="H832" s="306" t="s">
        <v>11219</v>
      </c>
      <c r="I832" s="269" t="s">
        <v>11220</v>
      </c>
      <c r="J832" s="306" t="s">
        <v>10969</v>
      </c>
    </row>
    <row r="833" spans="1:10" ht="14.5" customHeight="1" x14ac:dyDescent="0.25">
      <c r="A833" s="278" t="s">
        <v>3705</v>
      </c>
      <c r="B833" s="278" t="s">
        <v>10904</v>
      </c>
      <c r="C833" s="278" t="s">
        <v>10230</v>
      </c>
      <c r="D833" s="279" t="s">
        <v>10231</v>
      </c>
      <c r="E833" s="306" t="s">
        <v>10969</v>
      </c>
      <c r="F833" s="278" t="s">
        <v>4109</v>
      </c>
      <c r="G833" s="278" t="s">
        <v>4108</v>
      </c>
      <c r="H833" s="306" t="s">
        <v>11230</v>
      </c>
      <c r="I833" s="269" t="s">
        <v>11231</v>
      </c>
      <c r="J833" s="306" t="s">
        <v>10969</v>
      </c>
    </row>
    <row r="834" spans="1:10" ht="14.5" customHeight="1" x14ac:dyDescent="0.25">
      <c r="A834" s="278" t="s">
        <v>3705</v>
      </c>
      <c r="B834" s="278" t="s">
        <v>10904</v>
      </c>
      <c r="C834" s="278" t="s">
        <v>10230</v>
      </c>
      <c r="D834" s="279" t="s">
        <v>10231</v>
      </c>
      <c r="E834" s="306" t="s">
        <v>10969</v>
      </c>
      <c r="F834" s="278" t="s">
        <v>4109</v>
      </c>
      <c r="G834" s="278" t="s">
        <v>4108</v>
      </c>
      <c r="H834" s="306" t="s">
        <v>11221</v>
      </c>
      <c r="I834" s="269" t="s">
        <v>11222</v>
      </c>
      <c r="J834" s="306" t="s">
        <v>10969</v>
      </c>
    </row>
    <row r="835" spans="1:10" ht="14.5" customHeight="1" x14ac:dyDescent="0.25">
      <c r="A835" s="278" t="s">
        <v>3705</v>
      </c>
      <c r="B835" s="278" t="s">
        <v>10904</v>
      </c>
      <c r="C835" s="278" t="s">
        <v>10232</v>
      </c>
      <c r="D835" s="279" t="s">
        <v>10233</v>
      </c>
      <c r="E835" s="306" t="s">
        <v>10969</v>
      </c>
      <c r="F835" s="278" t="s">
        <v>4109</v>
      </c>
      <c r="G835" s="278" t="s">
        <v>4108</v>
      </c>
      <c r="H835" s="306" t="s">
        <v>11219</v>
      </c>
      <c r="I835" s="269" t="s">
        <v>11220</v>
      </c>
      <c r="J835" s="306" t="s">
        <v>10969</v>
      </c>
    </row>
    <row r="836" spans="1:10" ht="14.5" customHeight="1" x14ac:dyDescent="0.25">
      <c r="A836" s="278" t="s">
        <v>3705</v>
      </c>
      <c r="B836" s="278" t="s">
        <v>10904</v>
      </c>
      <c r="C836" s="278" t="s">
        <v>10232</v>
      </c>
      <c r="D836" s="279" t="s">
        <v>10233</v>
      </c>
      <c r="E836" s="306" t="s">
        <v>10969</v>
      </c>
      <c r="F836" s="278" t="s">
        <v>4109</v>
      </c>
      <c r="G836" s="278" t="s">
        <v>4108</v>
      </c>
      <c r="H836" s="306" t="s">
        <v>11234</v>
      </c>
      <c r="I836" s="269" t="s">
        <v>11235</v>
      </c>
      <c r="J836" s="306" t="s">
        <v>10969</v>
      </c>
    </row>
    <row r="837" spans="1:10" ht="14.5" customHeight="1" x14ac:dyDescent="0.25">
      <c r="A837" s="278" t="s">
        <v>3705</v>
      </c>
      <c r="B837" s="278" t="s">
        <v>10904</v>
      </c>
      <c r="C837" s="278" t="s">
        <v>10232</v>
      </c>
      <c r="D837" s="279" t="s">
        <v>10233</v>
      </c>
      <c r="E837" s="306" t="s">
        <v>10969</v>
      </c>
      <c r="F837" s="278" t="s">
        <v>4109</v>
      </c>
      <c r="G837" s="278" t="s">
        <v>4108</v>
      </c>
      <c r="H837" s="306" t="s">
        <v>11221</v>
      </c>
      <c r="I837" s="269" t="s">
        <v>11222</v>
      </c>
      <c r="J837" s="306" t="s">
        <v>10969</v>
      </c>
    </row>
    <row r="838" spans="1:10" ht="14.5" customHeight="1" x14ac:dyDescent="0.25">
      <c r="A838" s="278" t="s">
        <v>3705</v>
      </c>
      <c r="B838" s="278" t="s">
        <v>10904</v>
      </c>
      <c r="C838" s="278" t="s">
        <v>10234</v>
      </c>
      <c r="D838" s="279" t="s">
        <v>10235</v>
      </c>
      <c r="E838" s="306" t="s">
        <v>10969</v>
      </c>
      <c r="F838" s="278" t="s">
        <v>4109</v>
      </c>
      <c r="G838" s="278" t="s">
        <v>4108</v>
      </c>
      <c r="H838" s="306" t="s">
        <v>11219</v>
      </c>
      <c r="I838" s="269" t="s">
        <v>11220</v>
      </c>
      <c r="J838" s="306" t="s">
        <v>10969</v>
      </c>
    </row>
    <row r="839" spans="1:10" ht="14.5" customHeight="1" x14ac:dyDescent="0.25">
      <c r="A839" s="278" t="s">
        <v>3705</v>
      </c>
      <c r="B839" s="278" t="s">
        <v>10904</v>
      </c>
      <c r="C839" s="278" t="s">
        <v>10234</v>
      </c>
      <c r="D839" s="279" t="s">
        <v>10235</v>
      </c>
      <c r="E839" s="306" t="s">
        <v>10969</v>
      </c>
      <c r="F839" s="278" t="s">
        <v>4109</v>
      </c>
      <c r="G839" s="278" t="s">
        <v>4108</v>
      </c>
      <c r="H839" s="306" t="s">
        <v>11232</v>
      </c>
      <c r="I839" s="269" t="s">
        <v>11233</v>
      </c>
      <c r="J839" s="306" t="s">
        <v>10969</v>
      </c>
    </row>
    <row r="840" spans="1:10" ht="14.5" customHeight="1" x14ac:dyDescent="0.25">
      <c r="A840" s="278" t="s">
        <v>3705</v>
      </c>
      <c r="B840" s="278" t="s">
        <v>10904</v>
      </c>
      <c r="C840" s="278" t="s">
        <v>10234</v>
      </c>
      <c r="D840" s="279" t="s">
        <v>10235</v>
      </c>
      <c r="E840" s="306" t="s">
        <v>10969</v>
      </c>
      <c r="F840" s="278" t="s">
        <v>4109</v>
      </c>
      <c r="G840" s="278" t="s">
        <v>4108</v>
      </c>
      <c r="H840" s="306" t="s">
        <v>11221</v>
      </c>
      <c r="I840" s="269" t="s">
        <v>11222</v>
      </c>
      <c r="J840" s="306" t="s">
        <v>10969</v>
      </c>
    </row>
    <row r="841" spans="1:10" ht="14.5" customHeight="1" x14ac:dyDescent="0.25">
      <c r="A841" s="278" t="s">
        <v>3705</v>
      </c>
      <c r="B841" s="278" t="s">
        <v>10904</v>
      </c>
      <c r="C841" s="278" t="s">
        <v>10236</v>
      </c>
      <c r="D841" s="279" t="s">
        <v>10237</v>
      </c>
      <c r="E841" s="306" t="s">
        <v>10969</v>
      </c>
      <c r="F841" s="278" t="s">
        <v>4109</v>
      </c>
      <c r="G841" s="278" t="s">
        <v>4108</v>
      </c>
      <c r="H841" s="306" t="s">
        <v>11240</v>
      </c>
      <c r="I841" s="269" t="s">
        <v>11241</v>
      </c>
      <c r="J841" s="306" t="s">
        <v>10969</v>
      </c>
    </row>
    <row r="842" spans="1:10" ht="14.5" customHeight="1" x14ac:dyDescent="0.25">
      <c r="A842" s="278" t="s">
        <v>3705</v>
      </c>
      <c r="B842" s="278" t="s">
        <v>10904</v>
      </c>
      <c r="C842" s="278" t="s">
        <v>10236</v>
      </c>
      <c r="D842" s="279" t="s">
        <v>10237</v>
      </c>
      <c r="E842" s="306" t="s">
        <v>10969</v>
      </c>
      <c r="F842" s="278" t="s">
        <v>4109</v>
      </c>
      <c r="G842" s="278" t="s">
        <v>4108</v>
      </c>
      <c r="H842" s="306" t="s">
        <v>11203</v>
      </c>
      <c r="I842" s="269" t="s">
        <v>11225</v>
      </c>
      <c r="J842" s="306" t="s">
        <v>10969</v>
      </c>
    </row>
    <row r="843" spans="1:10" ht="14.5" customHeight="1" x14ac:dyDescent="0.25">
      <c r="A843" s="278" t="s">
        <v>3705</v>
      </c>
      <c r="B843" s="278" t="s">
        <v>10904</v>
      </c>
      <c r="C843" s="278" t="s">
        <v>10236</v>
      </c>
      <c r="D843" s="279" t="s">
        <v>10237</v>
      </c>
      <c r="E843" s="306" t="s">
        <v>10969</v>
      </c>
      <c r="F843" s="278" t="s">
        <v>4109</v>
      </c>
      <c r="G843" s="278" t="s">
        <v>4108</v>
      </c>
      <c r="H843" s="306" t="s">
        <v>11236</v>
      </c>
      <c r="I843" s="269" t="s">
        <v>11237</v>
      </c>
      <c r="J843" s="306" t="s">
        <v>10969</v>
      </c>
    </row>
    <row r="844" spans="1:10" ht="14.5" customHeight="1" x14ac:dyDescent="0.25">
      <c r="A844" s="278" t="s">
        <v>3705</v>
      </c>
      <c r="B844" s="278" t="s">
        <v>10904</v>
      </c>
      <c r="C844" s="278" t="s">
        <v>10236</v>
      </c>
      <c r="D844" s="279" t="s">
        <v>10237</v>
      </c>
      <c r="E844" s="306" t="s">
        <v>10969</v>
      </c>
      <c r="F844" s="278" t="s">
        <v>4109</v>
      </c>
      <c r="G844" s="278" t="s">
        <v>4108</v>
      </c>
      <c r="H844" s="306" t="s">
        <v>11187</v>
      </c>
      <c r="I844" s="269" t="s">
        <v>11188</v>
      </c>
      <c r="J844" s="306" t="s">
        <v>10969</v>
      </c>
    </row>
    <row r="845" spans="1:10" ht="14.5" customHeight="1" x14ac:dyDescent="0.25">
      <c r="A845" s="278" t="s">
        <v>3705</v>
      </c>
      <c r="B845" s="278" t="s">
        <v>10904</v>
      </c>
      <c r="C845" s="278" t="s">
        <v>10236</v>
      </c>
      <c r="D845" s="279" t="s">
        <v>10237</v>
      </c>
      <c r="E845" s="306" t="s">
        <v>10969</v>
      </c>
      <c r="F845" s="278" t="s">
        <v>4109</v>
      </c>
      <c r="G845" s="278" t="s">
        <v>4108</v>
      </c>
      <c r="H845" s="306" t="s">
        <v>11205</v>
      </c>
      <c r="I845" s="269" t="s">
        <v>11206</v>
      </c>
      <c r="J845" s="306" t="s">
        <v>10969</v>
      </c>
    </row>
    <row r="846" spans="1:10" ht="14.5" customHeight="1" x14ac:dyDescent="0.25">
      <c r="A846" s="278" t="s">
        <v>3705</v>
      </c>
      <c r="B846" s="278" t="s">
        <v>10904</v>
      </c>
      <c r="C846" s="278" t="s">
        <v>10236</v>
      </c>
      <c r="D846" s="279" t="s">
        <v>10237</v>
      </c>
      <c r="E846" s="306" t="s">
        <v>10969</v>
      </c>
      <c r="F846" s="278" t="s">
        <v>4109</v>
      </c>
      <c r="G846" s="278" t="s">
        <v>4108</v>
      </c>
      <c r="H846" s="306" t="s">
        <v>11207</v>
      </c>
      <c r="I846" s="269" t="s">
        <v>11208</v>
      </c>
      <c r="J846" s="306" t="s">
        <v>10969</v>
      </c>
    </row>
    <row r="847" spans="1:10" ht="14.5" customHeight="1" x14ac:dyDescent="0.25">
      <c r="A847" s="278" t="s">
        <v>3705</v>
      </c>
      <c r="B847" s="278" t="s">
        <v>10904</v>
      </c>
      <c r="C847" s="278" t="s">
        <v>10236</v>
      </c>
      <c r="D847" s="279" t="s">
        <v>10237</v>
      </c>
      <c r="E847" s="306" t="s">
        <v>10969</v>
      </c>
      <c r="F847" s="278" t="s">
        <v>4109</v>
      </c>
      <c r="G847" s="278" t="s">
        <v>4108</v>
      </c>
      <c r="H847" s="306" t="s">
        <v>11209</v>
      </c>
      <c r="I847" s="269" t="s">
        <v>11210</v>
      </c>
      <c r="J847" s="306" t="s">
        <v>10969</v>
      </c>
    </row>
    <row r="848" spans="1:10" ht="14.5" customHeight="1" x14ac:dyDescent="0.25">
      <c r="A848" s="278" t="s">
        <v>3705</v>
      </c>
      <c r="B848" s="278" t="s">
        <v>10904</v>
      </c>
      <c r="C848" s="278" t="s">
        <v>10236</v>
      </c>
      <c r="D848" s="279" t="s">
        <v>10237</v>
      </c>
      <c r="E848" s="306" t="s">
        <v>10969</v>
      </c>
      <c r="F848" s="278" t="s">
        <v>4109</v>
      </c>
      <c r="G848" s="278" t="s">
        <v>4108</v>
      </c>
      <c r="H848" s="306" t="s">
        <v>11238</v>
      </c>
      <c r="I848" s="269" t="s">
        <v>11239</v>
      </c>
      <c r="J848" s="306" t="s">
        <v>10969</v>
      </c>
    </row>
    <row r="849" spans="1:10" ht="14.5" customHeight="1" x14ac:dyDescent="0.25">
      <c r="A849" s="278" t="s">
        <v>3705</v>
      </c>
      <c r="B849" s="278" t="s">
        <v>10904</v>
      </c>
      <c r="C849" s="278" t="s">
        <v>10236</v>
      </c>
      <c r="D849" s="279" t="s">
        <v>10237</v>
      </c>
      <c r="E849" s="306" t="s">
        <v>10969</v>
      </c>
      <c r="F849" s="278" t="s">
        <v>4109</v>
      </c>
      <c r="G849" s="278" t="s">
        <v>4108</v>
      </c>
      <c r="H849" s="306" t="s">
        <v>11193</v>
      </c>
      <c r="I849" s="269" t="s">
        <v>11194</v>
      </c>
      <c r="J849" s="306" t="s">
        <v>10969</v>
      </c>
    </row>
    <row r="850" spans="1:10" ht="14.5" customHeight="1" x14ac:dyDescent="0.25">
      <c r="A850" s="278" t="s">
        <v>3705</v>
      </c>
      <c r="B850" s="278" t="s">
        <v>10904</v>
      </c>
      <c r="C850" s="278" t="s">
        <v>10238</v>
      </c>
      <c r="D850" s="279" t="s">
        <v>10239</v>
      </c>
      <c r="E850" s="306" t="s">
        <v>10969</v>
      </c>
      <c r="F850" s="278" t="s">
        <v>4109</v>
      </c>
      <c r="G850" s="278" t="s">
        <v>4108</v>
      </c>
      <c r="H850" s="306" t="s">
        <v>11236</v>
      </c>
      <c r="I850" s="269" t="s">
        <v>11237</v>
      </c>
      <c r="J850" s="306" t="s">
        <v>10969</v>
      </c>
    </row>
    <row r="851" spans="1:10" ht="14.5" customHeight="1" x14ac:dyDescent="0.25">
      <c r="A851" s="278" t="s">
        <v>3705</v>
      </c>
      <c r="B851" s="278" t="s">
        <v>10904</v>
      </c>
      <c r="C851" s="278" t="s">
        <v>10238</v>
      </c>
      <c r="D851" s="279" t="s">
        <v>10239</v>
      </c>
      <c r="E851" s="306" t="s">
        <v>10969</v>
      </c>
      <c r="F851" s="278" t="s">
        <v>4109</v>
      </c>
      <c r="G851" s="278" t="s">
        <v>4108</v>
      </c>
      <c r="H851" s="306" t="s">
        <v>11187</v>
      </c>
      <c r="I851" s="269" t="s">
        <v>11188</v>
      </c>
      <c r="J851" s="306" t="s">
        <v>10969</v>
      </c>
    </row>
    <row r="852" spans="1:10" ht="14.5" customHeight="1" x14ac:dyDescent="0.25">
      <c r="A852" s="278" t="s">
        <v>3705</v>
      </c>
      <c r="B852" s="278" t="s">
        <v>10904</v>
      </c>
      <c r="C852" s="278" t="s">
        <v>10238</v>
      </c>
      <c r="D852" s="279" t="s">
        <v>10239</v>
      </c>
      <c r="E852" s="306" t="s">
        <v>10969</v>
      </c>
      <c r="F852" s="278" t="s">
        <v>4109</v>
      </c>
      <c r="G852" s="278" t="s">
        <v>4108</v>
      </c>
      <c r="H852" s="306" t="s">
        <v>11238</v>
      </c>
      <c r="I852" s="269" t="s">
        <v>11239</v>
      </c>
      <c r="J852" s="306" t="s">
        <v>10969</v>
      </c>
    </row>
    <row r="853" spans="1:10" ht="14.5" customHeight="1" x14ac:dyDescent="0.25">
      <c r="A853" s="278" t="s">
        <v>3705</v>
      </c>
      <c r="B853" s="278" t="s">
        <v>10904</v>
      </c>
      <c r="C853" s="278" t="s">
        <v>10238</v>
      </c>
      <c r="D853" s="279" t="s">
        <v>10239</v>
      </c>
      <c r="E853" s="306" t="s">
        <v>10969</v>
      </c>
      <c r="F853" s="278" t="s">
        <v>4109</v>
      </c>
      <c r="G853" s="278" t="s">
        <v>4108</v>
      </c>
      <c r="H853" s="306" t="s">
        <v>11193</v>
      </c>
      <c r="I853" s="269" t="s">
        <v>11194</v>
      </c>
      <c r="J853" s="306" t="s">
        <v>10969</v>
      </c>
    </row>
    <row r="854" spans="1:10" ht="14.5" customHeight="1" x14ac:dyDescent="0.25">
      <c r="A854" s="278" t="s">
        <v>3705</v>
      </c>
      <c r="B854" s="278" t="s">
        <v>10904</v>
      </c>
      <c r="C854" s="278" t="s">
        <v>10240</v>
      </c>
      <c r="D854" s="279" t="s">
        <v>10241</v>
      </c>
      <c r="E854" s="306" t="s">
        <v>10969</v>
      </c>
      <c r="F854" s="278" t="s">
        <v>4109</v>
      </c>
      <c r="G854" s="278" t="s">
        <v>4109</v>
      </c>
      <c r="H854" s="306" t="s">
        <v>11236</v>
      </c>
      <c r="I854" s="269" t="s">
        <v>11237</v>
      </c>
      <c r="J854" s="306" t="s">
        <v>10969</v>
      </c>
    </row>
    <row r="855" spans="1:10" ht="14.5" customHeight="1" x14ac:dyDescent="0.25">
      <c r="A855" s="278" t="s">
        <v>3705</v>
      </c>
      <c r="B855" s="278" t="s">
        <v>10904</v>
      </c>
      <c r="C855" s="278" t="s">
        <v>10240</v>
      </c>
      <c r="D855" s="279" t="s">
        <v>10241</v>
      </c>
      <c r="E855" s="306" t="s">
        <v>10969</v>
      </c>
      <c r="F855" s="278" t="s">
        <v>4109</v>
      </c>
      <c r="G855" s="278" t="s">
        <v>4109</v>
      </c>
      <c r="H855" s="306" t="s">
        <v>11187</v>
      </c>
      <c r="I855" s="269" t="s">
        <v>11188</v>
      </c>
      <c r="J855" s="306" t="s">
        <v>10969</v>
      </c>
    </row>
    <row r="856" spans="1:10" ht="14.5" customHeight="1" x14ac:dyDescent="0.25">
      <c r="A856" s="278" t="s">
        <v>3705</v>
      </c>
      <c r="B856" s="278" t="s">
        <v>10904</v>
      </c>
      <c r="C856" s="278" t="s">
        <v>10240</v>
      </c>
      <c r="D856" s="279" t="s">
        <v>10241</v>
      </c>
      <c r="E856" s="306" t="s">
        <v>10969</v>
      </c>
      <c r="F856" s="278" t="s">
        <v>4109</v>
      </c>
      <c r="G856" s="278" t="s">
        <v>4109</v>
      </c>
      <c r="H856" s="306" t="s">
        <v>11209</v>
      </c>
      <c r="I856" s="269" t="s">
        <v>11210</v>
      </c>
      <c r="J856" s="306" t="s">
        <v>10969</v>
      </c>
    </row>
    <row r="857" spans="1:10" ht="14.5" customHeight="1" x14ac:dyDescent="0.25">
      <c r="A857" s="278" t="s">
        <v>3705</v>
      </c>
      <c r="B857" s="278" t="s">
        <v>10904</v>
      </c>
      <c r="C857" s="278" t="s">
        <v>10240</v>
      </c>
      <c r="D857" s="279" t="s">
        <v>10241</v>
      </c>
      <c r="E857" s="306" t="s">
        <v>10969</v>
      </c>
      <c r="F857" s="278" t="s">
        <v>4109</v>
      </c>
      <c r="G857" s="278" t="s">
        <v>4109</v>
      </c>
      <c r="H857" s="306" t="s">
        <v>11193</v>
      </c>
      <c r="I857" s="269" t="s">
        <v>11194</v>
      </c>
      <c r="J857" s="306" t="s">
        <v>10969</v>
      </c>
    </row>
    <row r="858" spans="1:10" ht="14.5" customHeight="1" x14ac:dyDescent="0.25">
      <c r="A858" s="278" t="s">
        <v>3705</v>
      </c>
      <c r="B858" s="278" t="s">
        <v>10904</v>
      </c>
      <c r="C858" s="278" t="s">
        <v>10242</v>
      </c>
      <c r="D858" s="279" t="s">
        <v>10243</v>
      </c>
      <c r="E858" s="306" t="s">
        <v>10969</v>
      </c>
      <c r="F858" s="278" t="s">
        <v>4109</v>
      </c>
      <c r="G858" s="278" t="s">
        <v>4108</v>
      </c>
      <c r="H858" s="306" t="s">
        <v>11240</v>
      </c>
      <c r="I858" s="269" t="s">
        <v>11241</v>
      </c>
      <c r="J858" s="306" t="s">
        <v>10969</v>
      </c>
    </row>
    <row r="859" spans="1:10" ht="14.5" customHeight="1" x14ac:dyDescent="0.25">
      <c r="A859" s="278" t="s">
        <v>3705</v>
      </c>
      <c r="B859" s="278" t="s">
        <v>10904</v>
      </c>
      <c r="C859" s="278" t="s">
        <v>10242</v>
      </c>
      <c r="D859" s="279" t="s">
        <v>10243</v>
      </c>
      <c r="E859" s="306" t="s">
        <v>10969</v>
      </c>
      <c r="F859" s="278" t="s">
        <v>4109</v>
      </c>
      <c r="G859" s="278" t="s">
        <v>4108</v>
      </c>
      <c r="H859" s="306" t="s">
        <v>11203</v>
      </c>
      <c r="I859" s="269" t="s">
        <v>11225</v>
      </c>
      <c r="J859" s="306" t="s">
        <v>10969</v>
      </c>
    </row>
    <row r="860" spans="1:10" ht="14.5" customHeight="1" x14ac:dyDescent="0.25">
      <c r="A860" s="278" t="s">
        <v>3705</v>
      </c>
      <c r="B860" s="278" t="s">
        <v>10904</v>
      </c>
      <c r="C860" s="278" t="s">
        <v>10242</v>
      </c>
      <c r="D860" s="279" t="s">
        <v>10243</v>
      </c>
      <c r="E860" s="306" t="s">
        <v>10969</v>
      </c>
      <c r="F860" s="278" t="s">
        <v>4109</v>
      </c>
      <c r="G860" s="278" t="s">
        <v>4108</v>
      </c>
      <c r="H860" s="306" t="s">
        <v>11236</v>
      </c>
      <c r="I860" s="269" t="s">
        <v>11237</v>
      </c>
      <c r="J860" s="306" t="s">
        <v>10969</v>
      </c>
    </row>
    <row r="861" spans="1:10" ht="14.5" customHeight="1" x14ac:dyDescent="0.25">
      <c r="A861" s="278" t="s">
        <v>3705</v>
      </c>
      <c r="B861" s="278" t="s">
        <v>10904</v>
      </c>
      <c r="C861" s="278" t="s">
        <v>10242</v>
      </c>
      <c r="D861" s="279" t="s">
        <v>10243</v>
      </c>
      <c r="E861" s="306" t="s">
        <v>10969</v>
      </c>
      <c r="F861" s="278" t="s">
        <v>4109</v>
      </c>
      <c r="G861" s="278" t="s">
        <v>4108</v>
      </c>
      <c r="H861" s="306" t="s">
        <v>11187</v>
      </c>
      <c r="I861" s="269" t="s">
        <v>11188</v>
      </c>
      <c r="J861" s="306" t="s">
        <v>10969</v>
      </c>
    </row>
    <row r="862" spans="1:10" ht="14.5" customHeight="1" x14ac:dyDescent="0.25">
      <c r="A862" s="278" t="s">
        <v>3705</v>
      </c>
      <c r="B862" s="278" t="s">
        <v>10904</v>
      </c>
      <c r="C862" s="278" t="s">
        <v>10242</v>
      </c>
      <c r="D862" s="279" t="s">
        <v>10243</v>
      </c>
      <c r="E862" s="306" t="s">
        <v>10969</v>
      </c>
      <c r="F862" s="278" t="s">
        <v>4109</v>
      </c>
      <c r="G862" s="278" t="s">
        <v>4108</v>
      </c>
      <c r="H862" s="306" t="s">
        <v>11205</v>
      </c>
      <c r="I862" s="269" t="s">
        <v>11206</v>
      </c>
      <c r="J862" s="306" t="s">
        <v>10969</v>
      </c>
    </row>
    <row r="863" spans="1:10" ht="14.5" customHeight="1" x14ac:dyDescent="0.25">
      <c r="A863" s="278" t="s">
        <v>3705</v>
      </c>
      <c r="B863" s="278" t="s">
        <v>10904</v>
      </c>
      <c r="C863" s="278" t="s">
        <v>10242</v>
      </c>
      <c r="D863" s="279" t="s">
        <v>10243</v>
      </c>
      <c r="E863" s="306" t="s">
        <v>10969</v>
      </c>
      <c r="F863" s="278" t="s">
        <v>4109</v>
      </c>
      <c r="G863" s="278" t="s">
        <v>4108</v>
      </c>
      <c r="H863" s="306" t="s">
        <v>11209</v>
      </c>
      <c r="I863" s="269" t="s">
        <v>11210</v>
      </c>
      <c r="J863" s="306" t="s">
        <v>10969</v>
      </c>
    </row>
    <row r="864" spans="1:10" ht="14.5" customHeight="1" x14ac:dyDescent="0.25">
      <c r="A864" s="278" t="s">
        <v>3705</v>
      </c>
      <c r="B864" s="278" t="s">
        <v>10904</v>
      </c>
      <c r="C864" s="278" t="s">
        <v>10242</v>
      </c>
      <c r="D864" s="279" t="s">
        <v>10243</v>
      </c>
      <c r="E864" s="306" t="s">
        <v>10969</v>
      </c>
      <c r="F864" s="278" t="s">
        <v>4109</v>
      </c>
      <c r="G864" s="278" t="s">
        <v>4108</v>
      </c>
      <c r="H864" s="306" t="s">
        <v>11238</v>
      </c>
      <c r="I864" s="269" t="s">
        <v>11239</v>
      </c>
      <c r="J864" s="306" t="s">
        <v>10969</v>
      </c>
    </row>
    <row r="865" spans="1:10" ht="14.5" customHeight="1" x14ac:dyDescent="0.25">
      <c r="A865" s="278" t="s">
        <v>3705</v>
      </c>
      <c r="B865" s="278" t="s">
        <v>10904</v>
      </c>
      <c r="C865" s="278" t="s">
        <v>10242</v>
      </c>
      <c r="D865" s="279" t="s">
        <v>10243</v>
      </c>
      <c r="E865" s="306" t="s">
        <v>10969</v>
      </c>
      <c r="F865" s="278" t="s">
        <v>4109</v>
      </c>
      <c r="G865" s="278" t="s">
        <v>4108</v>
      </c>
      <c r="H865" s="306" t="s">
        <v>11193</v>
      </c>
      <c r="I865" s="269" t="s">
        <v>11194</v>
      </c>
      <c r="J865" s="306" t="s">
        <v>10969</v>
      </c>
    </row>
    <row r="866" spans="1:10" ht="14.5" customHeight="1" x14ac:dyDescent="0.25">
      <c r="A866" s="278" t="s">
        <v>3705</v>
      </c>
      <c r="B866" s="278" t="s">
        <v>10904</v>
      </c>
      <c r="C866" s="278" t="s">
        <v>10244</v>
      </c>
      <c r="D866" s="279" t="s">
        <v>10245</v>
      </c>
      <c r="E866" s="306" t="s">
        <v>10969</v>
      </c>
      <c r="F866" s="278" t="s">
        <v>4109</v>
      </c>
      <c r="G866" s="278" t="s">
        <v>4108</v>
      </c>
      <c r="H866" s="306" t="s">
        <v>11219</v>
      </c>
      <c r="I866" s="269" t="s">
        <v>11220</v>
      </c>
      <c r="J866" s="306" t="s">
        <v>10969</v>
      </c>
    </row>
    <row r="867" spans="1:10" ht="14.5" customHeight="1" x14ac:dyDescent="0.25">
      <c r="A867" s="278" t="s">
        <v>3705</v>
      </c>
      <c r="B867" s="278" t="s">
        <v>10904</v>
      </c>
      <c r="C867" s="278" t="s">
        <v>10244</v>
      </c>
      <c r="D867" s="279" t="s">
        <v>10245</v>
      </c>
      <c r="E867" s="306" t="s">
        <v>10969</v>
      </c>
      <c r="F867" s="278" t="s">
        <v>4109</v>
      </c>
      <c r="G867" s="278" t="s">
        <v>4108</v>
      </c>
      <c r="H867" s="306" t="s">
        <v>11236</v>
      </c>
      <c r="I867" s="269" t="s">
        <v>11237</v>
      </c>
      <c r="J867" s="306" t="s">
        <v>10969</v>
      </c>
    </row>
    <row r="868" spans="1:10" ht="14.5" customHeight="1" x14ac:dyDescent="0.25">
      <c r="A868" s="278" t="s">
        <v>3705</v>
      </c>
      <c r="B868" s="278" t="s">
        <v>10904</v>
      </c>
      <c r="C868" s="278" t="s">
        <v>10244</v>
      </c>
      <c r="D868" s="279" t="s">
        <v>10245</v>
      </c>
      <c r="E868" s="306" t="s">
        <v>10969</v>
      </c>
      <c r="F868" s="278" t="s">
        <v>4109</v>
      </c>
      <c r="G868" s="278" t="s">
        <v>4108</v>
      </c>
      <c r="H868" s="306" t="s">
        <v>11187</v>
      </c>
      <c r="I868" s="269" t="s">
        <v>11188</v>
      </c>
      <c r="J868" s="306" t="s">
        <v>10969</v>
      </c>
    </row>
    <row r="869" spans="1:10" ht="14.5" customHeight="1" x14ac:dyDescent="0.25">
      <c r="A869" s="278" t="s">
        <v>3705</v>
      </c>
      <c r="B869" s="278" t="s">
        <v>10904</v>
      </c>
      <c r="C869" s="278" t="s">
        <v>10244</v>
      </c>
      <c r="D869" s="279" t="s">
        <v>10245</v>
      </c>
      <c r="E869" s="306" t="s">
        <v>10969</v>
      </c>
      <c r="F869" s="278" t="s">
        <v>4109</v>
      </c>
      <c r="G869" s="278" t="s">
        <v>4108</v>
      </c>
      <c r="H869" s="306" t="s">
        <v>11221</v>
      </c>
      <c r="I869" s="269" t="s">
        <v>11222</v>
      </c>
      <c r="J869" s="306" t="s">
        <v>10969</v>
      </c>
    </row>
    <row r="870" spans="1:10" ht="14.5" customHeight="1" x14ac:dyDescent="0.25">
      <c r="A870" s="278" t="s">
        <v>3705</v>
      </c>
      <c r="B870" s="278" t="s">
        <v>10904</v>
      </c>
      <c r="C870" s="278" t="s">
        <v>10244</v>
      </c>
      <c r="D870" s="279" t="s">
        <v>10245</v>
      </c>
      <c r="E870" s="306" t="s">
        <v>10969</v>
      </c>
      <c r="F870" s="278" t="s">
        <v>4109</v>
      </c>
      <c r="G870" s="278" t="s">
        <v>4108</v>
      </c>
      <c r="H870" s="306" t="s">
        <v>11238</v>
      </c>
      <c r="I870" s="269" t="s">
        <v>11239</v>
      </c>
      <c r="J870" s="306" t="s">
        <v>10969</v>
      </c>
    </row>
    <row r="871" spans="1:10" ht="14.5" customHeight="1" x14ac:dyDescent="0.25">
      <c r="A871" s="278" t="s">
        <v>3705</v>
      </c>
      <c r="B871" s="278" t="s">
        <v>10904</v>
      </c>
      <c r="C871" s="278" t="s">
        <v>10244</v>
      </c>
      <c r="D871" s="279" t="s">
        <v>10245</v>
      </c>
      <c r="E871" s="306" t="s">
        <v>10969</v>
      </c>
      <c r="F871" s="278" t="s">
        <v>4109</v>
      </c>
      <c r="G871" s="278" t="s">
        <v>4108</v>
      </c>
      <c r="H871" s="306" t="s">
        <v>11193</v>
      </c>
      <c r="I871" s="269" t="s">
        <v>11194</v>
      </c>
      <c r="J871" s="306" t="s">
        <v>10969</v>
      </c>
    </row>
    <row r="872" spans="1:10" ht="14.5" customHeight="1" x14ac:dyDescent="0.25">
      <c r="A872" s="278" t="s">
        <v>3705</v>
      </c>
      <c r="B872" s="278" t="s">
        <v>10904</v>
      </c>
      <c r="C872" s="278" t="s">
        <v>10246</v>
      </c>
      <c r="D872" s="279" t="s">
        <v>10247</v>
      </c>
      <c r="E872" s="306" t="s">
        <v>10969</v>
      </c>
      <c r="F872" s="278" t="s">
        <v>4109</v>
      </c>
      <c r="G872" s="278" t="s">
        <v>4109</v>
      </c>
      <c r="H872" s="306" t="s">
        <v>11240</v>
      </c>
      <c r="I872" s="269" t="s">
        <v>11241</v>
      </c>
      <c r="J872" s="306" t="s">
        <v>10969</v>
      </c>
    </row>
    <row r="873" spans="1:10" ht="14.5" customHeight="1" x14ac:dyDescent="0.25">
      <c r="A873" s="278" t="s">
        <v>3705</v>
      </c>
      <c r="B873" s="278" t="s">
        <v>10904</v>
      </c>
      <c r="C873" s="278" t="s">
        <v>10246</v>
      </c>
      <c r="D873" s="279" t="s">
        <v>10247</v>
      </c>
      <c r="E873" s="306" t="s">
        <v>10969</v>
      </c>
      <c r="F873" s="278" t="s">
        <v>4109</v>
      </c>
      <c r="G873" s="278" t="s">
        <v>4109</v>
      </c>
      <c r="H873" s="306" t="s">
        <v>11187</v>
      </c>
      <c r="I873" s="269" t="s">
        <v>11188</v>
      </c>
      <c r="J873" s="306" t="s">
        <v>10969</v>
      </c>
    </row>
    <row r="874" spans="1:10" ht="14.5" customHeight="1" x14ac:dyDescent="0.25">
      <c r="A874" s="278" t="s">
        <v>3705</v>
      </c>
      <c r="B874" s="278" t="s">
        <v>10904</v>
      </c>
      <c r="C874" s="278" t="s">
        <v>10246</v>
      </c>
      <c r="D874" s="279" t="s">
        <v>10247</v>
      </c>
      <c r="E874" s="306" t="s">
        <v>10969</v>
      </c>
      <c r="F874" s="278" t="s">
        <v>4109</v>
      </c>
      <c r="G874" s="278" t="s">
        <v>4109</v>
      </c>
      <c r="H874" s="306" t="s">
        <v>11205</v>
      </c>
      <c r="I874" s="269" t="s">
        <v>11206</v>
      </c>
      <c r="J874" s="306" t="s">
        <v>10969</v>
      </c>
    </row>
    <row r="875" spans="1:10" ht="14.5" customHeight="1" x14ac:dyDescent="0.25">
      <c r="A875" s="278" t="s">
        <v>3705</v>
      </c>
      <c r="B875" s="278" t="s">
        <v>10904</v>
      </c>
      <c r="C875" s="278" t="s">
        <v>10246</v>
      </c>
      <c r="D875" s="279" t="s">
        <v>10247</v>
      </c>
      <c r="E875" s="306" t="s">
        <v>10969</v>
      </c>
      <c r="F875" s="278" t="s">
        <v>4109</v>
      </c>
      <c r="G875" s="278" t="s">
        <v>4109</v>
      </c>
      <c r="H875" s="306" t="s">
        <v>11193</v>
      </c>
      <c r="I875" s="269" t="s">
        <v>11194</v>
      </c>
      <c r="J875" s="306" t="s">
        <v>10969</v>
      </c>
    </row>
    <row r="876" spans="1:10" ht="14.5" customHeight="1" x14ac:dyDescent="0.25">
      <c r="A876" s="278" t="s">
        <v>3705</v>
      </c>
      <c r="B876" s="278" t="s">
        <v>10904</v>
      </c>
      <c r="C876" s="278" t="s">
        <v>10248</v>
      </c>
      <c r="D876" s="279" t="s">
        <v>10249</v>
      </c>
      <c r="E876" s="306" t="s">
        <v>10969</v>
      </c>
      <c r="F876" s="278" t="s">
        <v>4109</v>
      </c>
      <c r="G876" s="278" t="s">
        <v>4108</v>
      </c>
      <c r="H876" s="306" t="s">
        <v>11203</v>
      </c>
      <c r="I876" s="269" t="s">
        <v>11225</v>
      </c>
      <c r="J876" s="306" t="s">
        <v>10969</v>
      </c>
    </row>
    <row r="877" spans="1:10" ht="14.5" customHeight="1" x14ac:dyDescent="0.25">
      <c r="A877" s="278" t="s">
        <v>3705</v>
      </c>
      <c r="B877" s="278" t="s">
        <v>10904</v>
      </c>
      <c r="C877" s="278" t="s">
        <v>10248</v>
      </c>
      <c r="D877" s="279" t="s">
        <v>10249</v>
      </c>
      <c r="E877" s="306" t="s">
        <v>10969</v>
      </c>
      <c r="F877" s="278" t="s">
        <v>4109</v>
      </c>
      <c r="G877" s="278" t="s">
        <v>4108</v>
      </c>
      <c r="H877" s="306" t="s">
        <v>11236</v>
      </c>
      <c r="I877" s="269" t="s">
        <v>11237</v>
      </c>
      <c r="J877" s="306" t="s">
        <v>10969</v>
      </c>
    </row>
    <row r="878" spans="1:10" ht="14.5" customHeight="1" x14ac:dyDescent="0.25">
      <c r="A878" s="278" t="s">
        <v>3705</v>
      </c>
      <c r="B878" s="278" t="s">
        <v>10904</v>
      </c>
      <c r="C878" s="278" t="s">
        <v>10248</v>
      </c>
      <c r="D878" s="279" t="s">
        <v>10249</v>
      </c>
      <c r="E878" s="306" t="s">
        <v>10969</v>
      </c>
      <c r="F878" s="278" t="s">
        <v>4109</v>
      </c>
      <c r="G878" s="278" t="s">
        <v>4108</v>
      </c>
      <c r="H878" s="306" t="s">
        <v>11187</v>
      </c>
      <c r="I878" s="269" t="s">
        <v>11188</v>
      </c>
      <c r="J878" s="306" t="s">
        <v>10969</v>
      </c>
    </row>
    <row r="879" spans="1:10" ht="14.5" customHeight="1" x14ac:dyDescent="0.25">
      <c r="A879" s="278" t="s">
        <v>3705</v>
      </c>
      <c r="B879" s="278" t="s">
        <v>10904</v>
      </c>
      <c r="C879" s="278" t="s">
        <v>10248</v>
      </c>
      <c r="D879" s="279" t="s">
        <v>10249</v>
      </c>
      <c r="E879" s="306" t="s">
        <v>10969</v>
      </c>
      <c r="F879" s="278" t="s">
        <v>4109</v>
      </c>
      <c r="G879" s="278" t="s">
        <v>4108</v>
      </c>
      <c r="H879" s="306" t="s">
        <v>11205</v>
      </c>
      <c r="I879" s="269" t="s">
        <v>11206</v>
      </c>
      <c r="J879" s="306" t="s">
        <v>10969</v>
      </c>
    </row>
    <row r="880" spans="1:10" ht="14.5" customHeight="1" x14ac:dyDescent="0.25">
      <c r="A880" s="278" t="s">
        <v>3705</v>
      </c>
      <c r="B880" s="278" t="s">
        <v>10904</v>
      </c>
      <c r="C880" s="278" t="s">
        <v>10248</v>
      </c>
      <c r="D880" s="279" t="s">
        <v>10249</v>
      </c>
      <c r="E880" s="306" t="s">
        <v>10969</v>
      </c>
      <c r="F880" s="278" t="s">
        <v>4109</v>
      </c>
      <c r="G880" s="278" t="s">
        <v>4108</v>
      </c>
      <c r="H880" s="306" t="s">
        <v>11193</v>
      </c>
      <c r="I880" s="269" t="s">
        <v>11194</v>
      </c>
      <c r="J880" s="306" t="s">
        <v>10969</v>
      </c>
    </row>
    <row r="881" spans="1:10" ht="14.5" customHeight="1" x14ac:dyDescent="0.25">
      <c r="A881" s="278" t="s">
        <v>3705</v>
      </c>
      <c r="B881" s="278" t="s">
        <v>10904</v>
      </c>
      <c r="C881" s="278" t="s">
        <v>10250</v>
      </c>
      <c r="D881" s="279" t="s">
        <v>10251</v>
      </c>
      <c r="E881" s="306" t="s">
        <v>10969</v>
      </c>
      <c r="F881" s="278" t="s">
        <v>4109</v>
      </c>
      <c r="G881" s="278" t="s">
        <v>4108</v>
      </c>
      <c r="H881" s="306" t="s">
        <v>11203</v>
      </c>
      <c r="I881" s="269" t="s">
        <v>11225</v>
      </c>
      <c r="J881" s="306" t="s">
        <v>10969</v>
      </c>
    </row>
    <row r="882" spans="1:10" ht="14.5" customHeight="1" x14ac:dyDescent="0.25">
      <c r="A882" s="278" t="s">
        <v>3705</v>
      </c>
      <c r="B882" s="278" t="s">
        <v>10904</v>
      </c>
      <c r="C882" s="278" t="s">
        <v>10250</v>
      </c>
      <c r="D882" s="279" t="s">
        <v>10251</v>
      </c>
      <c r="E882" s="306" t="s">
        <v>10969</v>
      </c>
      <c r="F882" s="278" t="s">
        <v>4109</v>
      </c>
      <c r="G882" s="278" t="s">
        <v>4108</v>
      </c>
      <c r="H882" s="306" t="s">
        <v>11236</v>
      </c>
      <c r="I882" s="269" t="s">
        <v>11237</v>
      </c>
      <c r="J882" s="306" t="s">
        <v>10969</v>
      </c>
    </row>
    <row r="883" spans="1:10" ht="14.5" customHeight="1" x14ac:dyDescent="0.25">
      <c r="A883" s="278" t="s">
        <v>3705</v>
      </c>
      <c r="B883" s="278" t="s">
        <v>10904</v>
      </c>
      <c r="C883" s="278" t="s">
        <v>10250</v>
      </c>
      <c r="D883" s="279" t="s">
        <v>10251</v>
      </c>
      <c r="E883" s="306" t="s">
        <v>10969</v>
      </c>
      <c r="F883" s="278" t="s">
        <v>4109</v>
      </c>
      <c r="G883" s="278" t="s">
        <v>4108</v>
      </c>
      <c r="H883" s="306" t="s">
        <v>11187</v>
      </c>
      <c r="I883" s="269" t="s">
        <v>11188</v>
      </c>
      <c r="J883" s="306" t="s">
        <v>10969</v>
      </c>
    </row>
    <row r="884" spans="1:10" ht="14.5" customHeight="1" x14ac:dyDescent="0.25">
      <c r="A884" s="278" t="s">
        <v>3705</v>
      </c>
      <c r="B884" s="278" t="s">
        <v>10904</v>
      </c>
      <c r="C884" s="278" t="s">
        <v>10250</v>
      </c>
      <c r="D884" s="279" t="s">
        <v>10251</v>
      </c>
      <c r="E884" s="306" t="s">
        <v>10969</v>
      </c>
      <c r="F884" s="278" t="s">
        <v>4109</v>
      </c>
      <c r="G884" s="278" t="s">
        <v>4108</v>
      </c>
      <c r="H884" s="306" t="s">
        <v>11205</v>
      </c>
      <c r="I884" s="269" t="s">
        <v>11206</v>
      </c>
      <c r="J884" s="306" t="s">
        <v>10969</v>
      </c>
    </row>
    <row r="885" spans="1:10" ht="14.5" customHeight="1" x14ac:dyDescent="0.25">
      <c r="A885" s="278" t="s">
        <v>3705</v>
      </c>
      <c r="B885" s="278" t="s">
        <v>10904</v>
      </c>
      <c r="C885" s="278" t="s">
        <v>10250</v>
      </c>
      <c r="D885" s="279" t="s">
        <v>10251</v>
      </c>
      <c r="E885" s="306" t="s">
        <v>10969</v>
      </c>
      <c r="F885" s="278" t="s">
        <v>4109</v>
      </c>
      <c r="G885" s="278" t="s">
        <v>4108</v>
      </c>
      <c r="H885" s="306" t="s">
        <v>11209</v>
      </c>
      <c r="I885" s="269" t="s">
        <v>11210</v>
      </c>
      <c r="J885" s="306" t="s">
        <v>10969</v>
      </c>
    </row>
    <row r="886" spans="1:10" ht="14.5" customHeight="1" x14ac:dyDescent="0.25">
      <c r="A886" s="278" t="s">
        <v>3705</v>
      </c>
      <c r="B886" s="278" t="s">
        <v>10904</v>
      </c>
      <c r="C886" s="278" t="s">
        <v>10250</v>
      </c>
      <c r="D886" s="279" t="s">
        <v>10251</v>
      </c>
      <c r="E886" s="306" t="s">
        <v>10969</v>
      </c>
      <c r="F886" s="278" t="s">
        <v>4109</v>
      </c>
      <c r="G886" s="278" t="s">
        <v>4108</v>
      </c>
      <c r="H886" s="306" t="s">
        <v>11238</v>
      </c>
      <c r="I886" s="269" t="s">
        <v>11239</v>
      </c>
      <c r="J886" s="306" t="s">
        <v>10969</v>
      </c>
    </row>
    <row r="887" spans="1:10" ht="14.5" customHeight="1" x14ac:dyDescent="0.25">
      <c r="A887" s="278" t="s">
        <v>3705</v>
      </c>
      <c r="B887" s="278" t="s">
        <v>10904</v>
      </c>
      <c r="C887" s="278" t="s">
        <v>10250</v>
      </c>
      <c r="D887" s="279" t="s">
        <v>10251</v>
      </c>
      <c r="E887" s="306" t="s">
        <v>10969</v>
      </c>
      <c r="F887" s="278" t="s">
        <v>4109</v>
      </c>
      <c r="G887" s="278" t="s">
        <v>4108</v>
      </c>
      <c r="H887" s="306" t="s">
        <v>11193</v>
      </c>
      <c r="I887" s="269" t="s">
        <v>11194</v>
      </c>
      <c r="J887" s="306" t="s">
        <v>10969</v>
      </c>
    </row>
    <row r="888" spans="1:10" ht="14.5" customHeight="1" x14ac:dyDescent="0.25">
      <c r="A888" s="278" t="s">
        <v>3705</v>
      </c>
      <c r="B888" s="278" t="s">
        <v>10904</v>
      </c>
      <c r="C888" s="278" t="s">
        <v>10252</v>
      </c>
      <c r="D888" s="279" t="s">
        <v>10253</v>
      </c>
      <c r="E888" s="306" t="s">
        <v>10969</v>
      </c>
      <c r="F888" s="278" t="s">
        <v>4109</v>
      </c>
      <c r="G888" s="278" t="s">
        <v>4108</v>
      </c>
      <c r="H888" s="306" t="s">
        <v>11240</v>
      </c>
      <c r="I888" s="269" t="s">
        <v>11241</v>
      </c>
      <c r="J888" s="306" t="s">
        <v>10969</v>
      </c>
    </row>
    <row r="889" spans="1:10" ht="14.5" customHeight="1" x14ac:dyDescent="0.25">
      <c r="A889" s="278" t="s">
        <v>3705</v>
      </c>
      <c r="B889" s="278" t="s">
        <v>10904</v>
      </c>
      <c r="C889" s="278" t="s">
        <v>10252</v>
      </c>
      <c r="D889" s="279" t="s">
        <v>10253</v>
      </c>
      <c r="E889" s="306" t="s">
        <v>10969</v>
      </c>
      <c r="F889" s="278" t="s">
        <v>4109</v>
      </c>
      <c r="G889" s="278" t="s">
        <v>4108</v>
      </c>
      <c r="H889" s="306" t="s">
        <v>11187</v>
      </c>
      <c r="I889" s="269" t="s">
        <v>11188</v>
      </c>
      <c r="J889" s="306" t="s">
        <v>10969</v>
      </c>
    </row>
    <row r="890" spans="1:10" ht="14.5" customHeight="1" x14ac:dyDescent="0.25">
      <c r="A890" s="278" t="s">
        <v>3705</v>
      </c>
      <c r="B890" s="278" t="s">
        <v>10904</v>
      </c>
      <c r="C890" s="278" t="s">
        <v>10252</v>
      </c>
      <c r="D890" s="279" t="s">
        <v>10253</v>
      </c>
      <c r="E890" s="306" t="s">
        <v>10969</v>
      </c>
      <c r="F890" s="278" t="s">
        <v>4109</v>
      </c>
      <c r="G890" s="278" t="s">
        <v>4108</v>
      </c>
      <c r="H890" s="306" t="s">
        <v>11205</v>
      </c>
      <c r="I890" s="269" t="s">
        <v>11206</v>
      </c>
      <c r="J890" s="306" t="s">
        <v>10969</v>
      </c>
    </row>
    <row r="891" spans="1:10" ht="14.5" customHeight="1" x14ac:dyDescent="0.25">
      <c r="A891" s="278" t="s">
        <v>3705</v>
      </c>
      <c r="B891" s="278" t="s">
        <v>10904</v>
      </c>
      <c r="C891" s="278" t="s">
        <v>10252</v>
      </c>
      <c r="D891" s="279" t="s">
        <v>10253</v>
      </c>
      <c r="E891" s="306" t="s">
        <v>10969</v>
      </c>
      <c r="F891" s="278" t="s">
        <v>4109</v>
      </c>
      <c r="G891" s="278" t="s">
        <v>4108</v>
      </c>
      <c r="H891" s="306" t="s">
        <v>11238</v>
      </c>
      <c r="I891" s="269" t="s">
        <v>11239</v>
      </c>
      <c r="J891" s="306" t="s">
        <v>10969</v>
      </c>
    </row>
    <row r="892" spans="1:10" ht="14.5" customHeight="1" x14ac:dyDescent="0.25">
      <c r="A892" s="278" t="s">
        <v>3705</v>
      </c>
      <c r="B892" s="278" t="s">
        <v>10904</v>
      </c>
      <c r="C892" s="278" t="s">
        <v>10252</v>
      </c>
      <c r="D892" s="279" t="s">
        <v>10253</v>
      </c>
      <c r="E892" s="306" t="s">
        <v>10969</v>
      </c>
      <c r="F892" s="278" t="s">
        <v>4109</v>
      </c>
      <c r="G892" s="278" t="s">
        <v>4108</v>
      </c>
      <c r="H892" s="306" t="s">
        <v>11193</v>
      </c>
      <c r="I892" s="269" t="s">
        <v>11194</v>
      </c>
      <c r="J892" s="306" t="s">
        <v>10969</v>
      </c>
    </row>
    <row r="893" spans="1:10" ht="14.5" customHeight="1" x14ac:dyDescent="0.25">
      <c r="A893" s="278" t="s">
        <v>3705</v>
      </c>
      <c r="B893" s="278" t="s">
        <v>10904</v>
      </c>
      <c r="C893" s="278" t="s">
        <v>10255</v>
      </c>
      <c r="D893" s="279" t="s">
        <v>10256</v>
      </c>
      <c r="E893" s="306" t="s">
        <v>10969</v>
      </c>
      <c r="F893" s="278" t="s">
        <v>4109</v>
      </c>
      <c r="G893" s="278" t="s">
        <v>4109</v>
      </c>
      <c r="H893" s="306" t="s">
        <v>11240</v>
      </c>
      <c r="I893" s="269" t="s">
        <v>11241</v>
      </c>
      <c r="J893" s="306" t="s">
        <v>10969</v>
      </c>
    </row>
    <row r="894" spans="1:10" ht="14.5" customHeight="1" x14ac:dyDescent="0.25">
      <c r="A894" s="278" t="s">
        <v>3705</v>
      </c>
      <c r="B894" s="278" t="s">
        <v>10904</v>
      </c>
      <c r="C894" s="278" t="s">
        <v>10255</v>
      </c>
      <c r="D894" s="279" t="s">
        <v>10256</v>
      </c>
      <c r="E894" s="306" t="s">
        <v>10969</v>
      </c>
      <c r="F894" s="278" t="s">
        <v>4109</v>
      </c>
      <c r="G894" s="278" t="s">
        <v>4109</v>
      </c>
      <c r="H894" s="306" t="s">
        <v>11187</v>
      </c>
      <c r="I894" s="269" t="s">
        <v>11188</v>
      </c>
      <c r="J894" s="306" t="s">
        <v>10969</v>
      </c>
    </row>
    <row r="895" spans="1:10" ht="14.5" customHeight="1" x14ac:dyDescent="0.25">
      <c r="A895" s="278" t="s">
        <v>3705</v>
      </c>
      <c r="B895" s="278" t="s">
        <v>10904</v>
      </c>
      <c r="C895" s="278" t="s">
        <v>10255</v>
      </c>
      <c r="D895" s="279" t="s">
        <v>10256</v>
      </c>
      <c r="E895" s="306" t="s">
        <v>10969</v>
      </c>
      <c r="F895" s="278" t="s">
        <v>4109</v>
      </c>
      <c r="G895" s="278" t="s">
        <v>4109</v>
      </c>
      <c r="H895" s="306" t="s">
        <v>11238</v>
      </c>
      <c r="I895" s="269" t="s">
        <v>11239</v>
      </c>
      <c r="J895" s="306" t="s">
        <v>10969</v>
      </c>
    </row>
    <row r="896" spans="1:10" ht="14.5" customHeight="1" x14ac:dyDescent="0.25">
      <c r="A896" s="278" t="s">
        <v>3705</v>
      </c>
      <c r="B896" s="278" t="s">
        <v>10904</v>
      </c>
      <c r="C896" s="278" t="s">
        <v>10255</v>
      </c>
      <c r="D896" s="279" t="s">
        <v>10256</v>
      </c>
      <c r="E896" s="306" t="s">
        <v>10969</v>
      </c>
      <c r="F896" s="278" t="s">
        <v>4109</v>
      </c>
      <c r="G896" s="278" t="s">
        <v>4109</v>
      </c>
      <c r="H896" s="306" t="s">
        <v>11193</v>
      </c>
      <c r="I896" s="269" t="s">
        <v>11194</v>
      </c>
      <c r="J896" s="306" t="s">
        <v>10969</v>
      </c>
    </row>
    <row r="897" spans="1:10" ht="14.5" customHeight="1" x14ac:dyDescent="0.25">
      <c r="A897" s="278" t="s">
        <v>3705</v>
      </c>
      <c r="B897" s="278" t="s">
        <v>10904</v>
      </c>
      <c r="C897" s="278" t="s">
        <v>10257</v>
      </c>
      <c r="D897" s="279" t="s">
        <v>10258</v>
      </c>
      <c r="E897" s="306" t="s">
        <v>10969</v>
      </c>
      <c r="F897" s="278" t="s">
        <v>4109</v>
      </c>
      <c r="G897" s="278" t="s">
        <v>4108</v>
      </c>
      <c r="H897" s="306" t="s">
        <v>11219</v>
      </c>
      <c r="I897" s="269" t="s">
        <v>11220</v>
      </c>
      <c r="J897" s="306" t="s">
        <v>10969</v>
      </c>
    </row>
    <row r="898" spans="1:10" ht="14.5" customHeight="1" x14ac:dyDescent="0.25">
      <c r="A898" s="278" t="s">
        <v>3705</v>
      </c>
      <c r="B898" s="278" t="s">
        <v>10904</v>
      </c>
      <c r="C898" s="278" t="s">
        <v>10257</v>
      </c>
      <c r="D898" s="279" t="s">
        <v>10258</v>
      </c>
      <c r="E898" s="306" t="s">
        <v>10969</v>
      </c>
      <c r="F898" s="278" t="s">
        <v>4109</v>
      </c>
      <c r="G898" s="278" t="s">
        <v>4108</v>
      </c>
      <c r="H898" s="306" t="s">
        <v>11187</v>
      </c>
      <c r="I898" s="269" t="s">
        <v>11188</v>
      </c>
      <c r="J898" s="306" t="s">
        <v>10969</v>
      </c>
    </row>
    <row r="899" spans="1:10" ht="14.5" customHeight="1" x14ac:dyDescent="0.25">
      <c r="A899" s="278" t="s">
        <v>3705</v>
      </c>
      <c r="B899" s="278" t="s">
        <v>10904</v>
      </c>
      <c r="C899" s="278" t="s">
        <v>10257</v>
      </c>
      <c r="D899" s="279" t="s">
        <v>10258</v>
      </c>
      <c r="E899" s="306" t="s">
        <v>10969</v>
      </c>
      <c r="F899" s="278" t="s">
        <v>4109</v>
      </c>
      <c r="G899" s="278" t="s">
        <v>4108</v>
      </c>
      <c r="H899" s="306" t="s">
        <v>11205</v>
      </c>
      <c r="I899" s="269" t="s">
        <v>11206</v>
      </c>
      <c r="J899" s="306" t="s">
        <v>10969</v>
      </c>
    </row>
    <row r="900" spans="1:10" ht="14.5" customHeight="1" x14ac:dyDescent="0.25">
      <c r="A900" s="278" t="s">
        <v>3705</v>
      </c>
      <c r="B900" s="278" t="s">
        <v>10904</v>
      </c>
      <c r="C900" s="278" t="s">
        <v>10257</v>
      </c>
      <c r="D900" s="279" t="s">
        <v>10258</v>
      </c>
      <c r="E900" s="306" t="s">
        <v>10969</v>
      </c>
      <c r="F900" s="278" t="s">
        <v>4109</v>
      </c>
      <c r="G900" s="278" t="s">
        <v>4108</v>
      </c>
      <c r="H900" s="306" t="s">
        <v>11221</v>
      </c>
      <c r="I900" s="269" t="s">
        <v>11222</v>
      </c>
      <c r="J900" s="306" t="s">
        <v>10969</v>
      </c>
    </row>
    <row r="901" spans="1:10" ht="14.5" customHeight="1" x14ac:dyDescent="0.25">
      <c r="A901" s="278" t="s">
        <v>3705</v>
      </c>
      <c r="B901" s="278" t="s">
        <v>10904</v>
      </c>
      <c r="C901" s="278" t="s">
        <v>10257</v>
      </c>
      <c r="D901" s="279" t="s">
        <v>10258</v>
      </c>
      <c r="E901" s="306" t="s">
        <v>10969</v>
      </c>
      <c r="F901" s="278" t="s">
        <v>4109</v>
      </c>
      <c r="G901" s="278" t="s">
        <v>4108</v>
      </c>
      <c r="H901" s="306" t="s">
        <v>11193</v>
      </c>
      <c r="I901" s="269" t="s">
        <v>11194</v>
      </c>
      <c r="J901" s="306" t="s">
        <v>10969</v>
      </c>
    </row>
    <row r="902" spans="1:10" ht="14.5" customHeight="1" x14ac:dyDescent="0.25">
      <c r="A902" s="278" t="s">
        <v>3705</v>
      </c>
      <c r="B902" s="278" t="s">
        <v>10904</v>
      </c>
      <c r="C902" s="278" t="s">
        <v>10259</v>
      </c>
      <c r="D902" s="279" t="s">
        <v>10260</v>
      </c>
      <c r="E902" s="306" t="s">
        <v>10969</v>
      </c>
      <c r="F902" s="278" t="s">
        <v>4109</v>
      </c>
      <c r="G902" s="278" t="s">
        <v>4108</v>
      </c>
      <c r="H902" s="306" t="s">
        <v>11203</v>
      </c>
      <c r="I902" s="269" t="s">
        <v>11225</v>
      </c>
      <c r="J902" s="306" t="s">
        <v>10969</v>
      </c>
    </row>
    <row r="903" spans="1:10" ht="14.5" customHeight="1" x14ac:dyDescent="0.25">
      <c r="A903" s="278" t="s">
        <v>3705</v>
      </c>
      <c r="B903" s="278" t="s">
        <v>10904</v>
      </c>
      <c r="C903" s="278" t="s">
        <v>10259</v>
      </c>
      <c r="D903" s="279" t="s">
        <v>10260</v>
      </c>
      <c r="E903" s="306" t="s">
        <v>10969</v>
      </c>
      <c r="F903" s="278" t="s">
        <v>4109</v>
      </c>
      <c r="G903" s="278" t="s">
        <v>4108</v>
      </c>
      <c r="H903" s="306" t="s">
        <v>11187</v>
      </c>
      <c r="I903" s="269" t="s">
        <v>11188</v>
      </c>
      <c r="J903" s="306" t="s">
        <v>10969</v>
      </c>
    </row>
    <row r="904" spans="1:10" ht="14.5" customHeight="1" x14ac:dyDescent="0.25">
      <c r="A904" s="278" t="s">
        <v>3705</v>
      </c>
      <c r="B904" s="278" t="s">
        <v>10904</v>
      </c>
      <c r="C904" s="278" t="s">
        <v>10259</v>
      </c>
      <c r="D904" s="279" t="s">
        <v>10260</v>
      </c>
      <c r="E904" s="306" t="s">
        <v>10969</v>
      </c>
      <c r="F904" s="278" t="s">
        <v>4109</v>
      </c>
      <c r="G904" s="278" t="s">
        <v>4108</v>
      </c>
      <c r="H904" s="306" t="s">
        <v>11209</v>
      </c>
      <c r="I904" s="269" t="s">
        <v>11210</v>
      </c>
      <c r="J904" s="306" t="s">
        <v>10969</v>
      </c>
    </row>
    <row r="905" spans="1:10" ht="14.5" customHeight="1" x14ac:dyDescent="0.25">
      <c r="A905" s="278" t="s">
        <v>3705</v>
      </c>
      <c r="B905" s="278" t="s">
        <v>10904</v>
      </c>
      <c r="C905" s="278" t="s">
        <v>10259</v>
      </c>
      <c r="D905" s="279" t="s">
        <v>10260</v>
      </c>
      <c r="E905" s="306" t="s">
        <v>10969</v>
      </c>
      <c r="F905" s="278" t="s">
        <v>4109</v>
      </c>
      <c r="G905" s="278" t="s">
        <v>4108</v>
      </c>
      <c r="H905" s="306" t="s">
        <v>11238</v>
      </c>
      <c r="I905" s="269" t="s">
        <v>11239</v>
      </c>
      <c r="J905" s="306" t="s">
        <v>10969</v>
      </c>
    </row>
    <row r="906" spans="1:10" ht="14.5" customHeight="1" x14ac:dyDescent="0.25">
      <c r="A906" s="278" t="s">
        <v>3705</v>
      </c>
      <c r="B906" s="278" t="s">
        <v>10904</v>
      </c>
      <c r="C906" s="278" t="s">
        <v>10259</v>
      </c>
      <c r="D906" s="279" t="s">
        <v>10260</v>
      </c>
      <c r="E906" s="306" t="s">
        <v>10969</v>
      </c>
      <c r="F906" s="278" t="s">
        <v>4109</v>
      </c>
      <c r="G906" s="278" t="s">
        <v>4108</v>
      </c>
      <c r="H906" s="306" t="s">
        <v>11193</v>
      </c>
      <c r="I906" s="269" t="s">
        <v>11194</v>
      </c>
      <c r="J906" s="306" t="s">
        <v>10969</v>
      </c>
    </row>
    <row r="907" spans="1:10" ht="14.5" customHeight="1" x14ac:dyDescent="0.25">
      <c r="A907" s="278" t="s">
        <v>3705</v>
      </c>
      <c r="B907" s="278" t="s">
        <v>10904</v>
      </c>
      <c r="C907" s="278" t="s">
        <v>10261</v>
      </c>
      <c r="D907" s="279" t="s">
        <v>10262</v>
      </c>
      <c r="E907" s="306" t="s">
        <v>10969</v>
      </c>
      <c r="F907" s="278" t="s">
        <v>4109</v>
      </c>
      <c r="G907" s="278" t="s">
        <v>4108</v>
      </c>
      <c r="H907" s="306" t="s">
        <v>11187</v>
      </c>
      <c r="I907" s="269" t="s">
        <v>11188</v>
      </c>
      <c r="J907" s="306" t="s">
        <v>10969</v>
      </c>
    </row>
    <row r="908" spans="1:10" ht="14.5" customHeight="1" x14ac:dyDescent="0.25">
      <c r="A908" s="278" t="s">
        <v>3705</v>
      </c>
      <c r="B908" s="278" t="s">
        <v>10904</v>
      </c>
      <c r="C908" s="278" t="s">
        <v>10261</v>
      </c>
      <c r="D908" s="279" t="s">
        <v>10262</v>
      </c>
      <c r="E908" s="306" t="s">
        <v>10969</v>
      </c>
      <c r="F908" s="278" t="s">
        <v>4109</v>
      </c>
      <c r="G908" s="278" t="s">
        <v>4108</v>
      </c>
      <c r="H908" s="306" t="s">
        <v>11209</v>
      </c>
      <c r="I908" s="269" t="s">
        <v>11210</v>
      </c>
      <c r="J908" s="306" t="s">
        <v>10969</v>
      </c>
    </row>
    <row r="909" spans="1:10" ht="14.5" customHeight="1" x14ac:dyDescent="0.25">
      <c r="A909" s="278" t="s">
        <v>3705</v>
      </c>
      <c r="B909" s="278" t="s">
        <v>10904</v>
      </c>
      <c r="C909" s="278" t="s">
        <v>10261</v>
      </c>
      <c r="D909" s="279" t="s">
        <v>10262</v>
      </c>
      <c r="E909" s="306" t="s">
        <v>10969</v>
      </c>
      <c r="F909" s="278" t="s">
        <v>4109</v>
      </c>
      <c r="G909" s="278" t="s">
        <v>4108</v>
      </c>
      <c r="H909" s="306" t="s">
        <v>11238</v>
      </c>
      <c r="I909" s="269" t="s">
        <v>11239</v>
      </c>
      <c r="J909" s="306" t="s">
        <v>10969</v>
      </c>
    </row>
    <row r="910" spans="1:10" ht="14.5" customHeight="1" x14ac:dyDescent="0.25">
      <c r="A910" s="278" t="s">
        <v>3705</v>
      </c>
      <c r="B910" s="278" t="s">
        <v>10904</v>
      </c>
      <c r="C910" s="278" t="s">
        <v>10261</v>
      </c>
      <c r="D910" s="279" t="s">
        <v>10262</v>
      </c>
      <c r="E910" s="306" t="s">
        <v>10969</v>
      </c>
      <c r="F910" s="278" t="s">
        <v>4109</v>
      </c>
      <c r="G910" s="278" t="s">
        <v>4108</v>
      </c>
      <c r="H910" s="306" t="s">
        <v>11193</v>
      </c>
      <c r="I910" s="269" t="s">
        <v>11194</v>
      </c>
      <c r="J910" s="306" t="s">
        <v>10969</v>
      </c>
    </row>
    <row r="911" spans="1:10" ht="14.5" customHeight="1" x14ac:dyDescent="0.25">
      <c r="A911" s="278" t="s">
        <v>3705</v>
      </c>
      <c r="B911" s="278" t="s">
        <v>10904</v>
      </c>
      <c r="C911" s="278" t="s">
        <v>10264</v>
      </c>
      <c r="D911" s="279" t="s">
        <v>10265</v>
      </c>
      <c r="E911" s="306" t="s">
        <v>10969</v>
      </c>
      <c r="F911" s="278" t="s">
        <v>4109</v>
      </c>
      <c r="G911" s="278" t="s">
        <v>4108</v>
      </c>
      <c r="H911" s="306" t="s">
        <v>11187</v>
      </c>
      <c r="I911" s="269" t="s">
        <v>11188</v>
      </c>
      <c r="J911" s="306" t="s">
        <v>10969</v>
      </c>
    </row>
    <row r="912" spans="1:10" ht="14.5" customHeight="1" x14ac:dyDescent="0.25">
      <c r="A912" s="278" t="s">
        <v>3705</v>
      </c>
      <c r="B912" s="278" t="s">
        <v>10904</v>
      </c>
      <c r="C912" s="278" t="s">
        <v>10264</v>
      </c>
      <c r="D912" s="279" t="s">
        <v>10265</v>
      </c>
      <c r="E912" s="306" t="s">
        <v>10969</v>
      </c>
      <c r="F912" s="278" t="s">
        <v>4109</v>
      </c>
      <c r="G912" s="278" t="s">
        <v>4108</v>
      </c>
      <c r="H912" s="306" t="s">
        <v>11238</v>
      </c>
      <c r="I912" s="269" t="s">
        <v>11239</v>
      </c>
      <c r="J912" s="306" t="s">
        <v>10969</v>
      </c>
    </row>
    <row r="913" spans="1:10" ht="14.5" customHeight="1" x14ac:dyDescent="0.25">
      <c r="A913" s="278" t="s">
        <v>3705</v>
      </c>
      <c r="B913" s="278" t="s">
        <v>10904</v>
      </c>
      <c r="C913" s="278" t="s">
        <v>10264</v>
      </c>
      <c r="D913" s="279" t="s">
        <v>10265</v>
      </c>
      <c r="E913" s="306" t="s">
        <v>10969</v>
      </c>
      <c r="F913" s="278" t="s">
        <v>4109</v>
      </c>
      <c r="G913" s="278" t="s">
        <v>4108</v>
      </c>
      <c r="H913" s="306" t="s">
        <v>11193</v>
      </c>
      <c r="I913" s="269" t="s">
        <v>11194</v>
      </c>
      <c r="J913" s="306" t="s">
        <v>10969</v>
      </c>
    </row>
    <row r="914" spans="1:10" ht="14.5" customHeight="1" x14ac:dyDescent="0.25">
      <c r="A914" s="278" t="s">
        <v>3705</v>
      </c>
      <c r="B914" s="278" t="s">
        <v>10904</v>
      </c>
      <c r="C914" s="278" t="s">
        <v>10266</v>
      </c>
      <c r="D914" s="279" t="s">
        <v>10267</v>
      </c>
      <c r="E914" s="306" t="s">
        <v>10969</v>
      </c>
      <c r="F914" s="278" t="s">
        <v>4109</v>
      </c>
      <c r="G914" s="278" t="s">
        <v>4108</v>
      </c>
      <c r="H914" s="306" t="s">
        <v>11236</v>
      </c>
      <c r="I914" s="269" t="s">
        <v>11237</v>
      </c>
      <c r="J914" s="306" t="s">
        <v>10969</v>
      </c>
    </row>
    <row r="915" spans="1:10" ht="14.5" customHeight="1" x14ac:dyDescent="0.25">
      <c r="A915" s="278" t="s">
        <v>3705</v>
      </c>
      <c r="B915" s="278" t="s">
        <v>10904</v>
      </c>
      <c r="C915" s="278" t="s">
        <v>10266</v>
      </c>
      <c r="D915" s="279" t="s">
        <v>10267</v>
      </c>
      <c r="E915" s="306" t="s">
        <v>10969</v>
      </c>
      <c r="F915" s="278" t="s">
        <v>4109</v>
      </c>
      <c r="G915" s="278" t="s">
        <v>4108</v>
      </c>
      <c r="H915" s="306" t="s">
        <v>11187</v>
      </c>
      <c r="I915" s="269" t="s">
        <v>11188</v>
      </c>
      <c r="J915" s="306" t="s">
        <v>10969</v>
      </c>
    </row>
    <row r="916" spans="1:10" s="362" customFormat="1" ht="14.5" customHeight="1" x14ac:dyDescent="0.25">
      <c r="A916" s="352" t="s">
        <v>3705</v>
      </c>
      <c r="B916" s="284" t="s">
        <v>10904</v>
      </c>
      <c r="C916" s="284" t="s">
        <v>10266</v>
      </c>
      <c r="D916" s="363" t="s">
        <v>10267</v>
      </c>
      <c r="E916" s="342" t="s">
        <v>10969</v>
      </c>
      <c r="F916" s="284" t="s">
        <v>4109</v>
      </c>
      <c r="G916" s="284" t="s">
        <v>4108</v>
      </c>
      <c r="H916" s="284" t="s">
        <v>11205</v>
      </c>
      <c r="I916" s="271" t="s">
        <v>11206</v>
      </c>
      <c r="J916" s="342" t="s">
        <v>10969</v>
      </c>
    </row>
    <row r="917" spans="1:10" ht="14.5" customHeight="1" x14ac:dyDescent="0.25">
      <c r="A917" s="278" t="s">
        <v>3705</v>
      </c>
      <c r="B917" s="278" t="s">
        <v>10904</v>
      </c>
      <c r="C917" s="278" t="s">
        <v>10266</v>
      </c>
      <c r="D917" s="279" t="s">
        <v>10267</v>
      </c>
      <c r="E917" s="306" t="s">
        <v>10969</v>
      </c>
      <c r="F917" s="278" t="s">
        <v>4109</v>
      </c>
      <c r="G917" s="278" t="s">
        <v>4108</v>
      </c>
      <c r="H917" s="306" t="s">
        <v>11209</v>
      </c>
      <c r="I917" s="269" t="s">
        <v>11210</v>
      </c>
      <c r="J917" s="306" t="s">
        <v>10969</v>
      </c>
    </row>
    <row r="918" spans="1:10" ht="14.5" customHeight="1" x14ac:dyDescent="0.25">
      <c r="A918" s="278" t="s">
        <v>3705</v>
      </c>
      <c r="B918" s="278" t="s">
        <v>10904</v>
      </c>
      <c r="C918" s="278" t="s">
        <v>10266</v>
      </c>
      <c r="D918" s="279" t="s">
        <v>10267</v>
      </c>
      <c r="E918" s="306" t="s">
        <v>10969</v>
      </c>
      <c r="F918" s="278" t="s">
        <v>4109</v>
      </c>
      <c r="G918" s="278" t="s">
        <v>4108</v>
      </c>
      <c r="H918" s="306" t="s">
        <v>11238</v>
      </c>
      <c r="I918" s="269" t="s">
        <v>11239</v>
      </c>
      <c r="J918" s="306" t="s">
        <v>10969</v>
      </c>
    </row>
    <row r="919" spans="1:10" ht="14.5" customHeight="1" x14ac:dyDescent="0.25">
      <c r="A919" s="278" t="s">
        <v>3705</v>
      </c>
      <c r="B919" s="278" t="s">
        <v>10904</v>
      </c>
      <c r="C919" s="278" t="s">
        <v>10266</v>
      </c>
      <c r="D919" s="279" t="s">
        <v>10267</v>
      </c>
      <c r="E919" s="306" t="s">
        <v>10969</v>
      </c>
      <c r="F919" s="278" t="s">
        <v>4109</v>
      </c>
      <c r="G919" s="278" t="s">
        <v>4108</v>
      </c>
      <c r="H919" s="306" t="s">
        <v>11193</v>
      </c>
      <c r="I919" s="269" t="s">
        <v>11194</v>
      </c>
      <c r="J919" s="306" t="s">
        <v>10969</v>
      </c>
    </row>
    <row r="920" spans="1:10" ht="14.5" customHeight="1" x14ac:dyDescent="0.25">
      <c r="A920" s="278" t="s">
        <v>3705</v>
      </c>
      <c r="B920" s="278" t="s">
        <v>10904</v>
      </c>
      <c r="C920" s="278" t="s">
        <v>10268</v>
      </c>
      <c r="D920" s="279" t="s">
        <v>10269</v>
      </c>
      <c r="E920" s="306" t="s">
        <v>10969</v>
      </c>
      <c r="F920" s="278" t="s">
        <v>4109</v>
      </c>
      <c r="G920" s="278" t="s">
        <v>4108</v>
      </c>
      <c r="H920" s="306" t="s">
        <v>11209</v>
      </c>
      <c r="I920" s="269" t="s">
        <v>11210</v>
      </c>
      <c r="J920" s="306" t="s">
        <v>10969</v>
      </c>
    </row>
    <row r="921" spans="1:10" ht="14.5" customHeight="1" x14ac:dyDescent="0.25">
      <c r="A921" s="278" t="s">
        <v>3705</v>
      </c>
      <c r="B921" s="278" t="s">
        <v>10904</v>
      </c>
      <c r="C921" s="278" t="s">
        <v>10268</v>
      </c>
      <c r="D921" s="279" t="s">
        <v>10269</v>
      </c>
      <c r="E921" s="306" t="s">
        <v>10969</v>
      </c>
      <c r="F921" s="278" t="s">
        <v>4109</v>
      </c>
      <c r="G921" s="278" t="s">
        <v>4108</v>
      </c>
      <c r="H921" s="306" t="s">
        <v>11238</v>
      </c>
      <c r="I921" s="269" t="s">
        <v>11239</v>
      </c>
      <c r="J921" s="306" t="s">
        <v>10969</v>
      </c>
    </row>
    <row r="922" spans="1:10" ht="14.5" customHeight="1" x14ac:dyDescent="0.25">
      <c r="A922" s="278" t="s">
        <v>3705</v>
      </c>
      <c r="B922" s="278" t="s">
        <v>10904</v>
      </c>
      <c r="C922" s="278" t="s">
        <v>10268</v>
      </c>
      <c r="D922" s="279" t="s">
        <v>10269</v>
      </c>
      <c r="E922" s="306" t="s">
        <v>10969</v>
      </c>
      <c r="F922" s="278" t="s">
        <v>4109</v>
      </c>
      <c r="G922" s="278" t="s">
        <v>4108</v>
      </c>
      <c r="H922" s="306" t="s">
        <v>11193</v>
      </c>
      <c r="I922" s="269" t="s">
        <v>11194</v>
      </c>
      <c r="J922" s="306" t="s">
        <v>10969</v>
      </c>
    </row>
    <row r="923" spans="1:10" ht="14.5" customHeight="1" x14ac:dyDescent="0.25">
      <c r="A923" s="278" t="s">
        <v>3705</v>
      </c>
      <c r="B923" s="278" t="s">
        <v>10904</v>
      </c>
      <c r="C923" s="278" t="s">
        <v>10270</v>
      </c>
      <c r="D923" s="279" t="s">
        <v>10271</v>
      </c>
      <c r="E923" s="306" t="s">
        <v>10969</v>
      </c>
      <c r="F923" s="278" t="s">
        <v>4109</v>
      </c>
      <c r="G923" s="278" t="s">
        <v>4108</v>
      </c>
      <c r="H923" s="306" t="s">
        <v>11187</v>
      </c>
      <c r="I923" s="269" t="s">
        <v>11188</v>
      </c>
      <c r="J923" s="306" t="s">
        <v>10969</v>
      </c>
    </row>
    <row r="924" spans="1:10" ht="14.5" customHeight="1" x14ac:dyDescent="0.25">
      <c r="A924" s="278" t="s">
        <v>3705</v>
      </c>
      <c r="B924" s="278" t="s">
        <v>10904</v>
      </c>
      <c r="C924" s="278" t="s">
        <v>10270</v>
      </c>
      <c r="D924" s="279" t="s">
        <v>10271</v>
      </c>
      <c r="E924" s="306" t="s">
        <v>10969</v>
      </c>
      <c r="F924" s="278" t="s">
        <v>4109</v>
      </c>
      <c r="G924" s="278" t="s">
        <v>4108</v>
      </c>
      <c r="H924" s="306" t="s">
        <v>11209</v>
      </c>
      <c r="I924" s="269" t="s">
        <v>11210</v>
      </c>
      <c r="J924" s="306" t="s">
        <v>10969</v>
      </c>
    </row>
    <row r="925" spans="1:10" ht="14.5" customHeight="1" x14ac:dyDescent="0.25">
      <c r="A925" s="278" t="s">
        <v>3705</v>
      </c>
      <c r="B925" s="278" t="s">
        <v>10904</v>
      </c>
      <c r="C925" s="278" t="s">
        <v>10270</v>
      </c>
      <c r="D925" s="279" t="s">
        <v>10271</v>
      </c>
      <c r="E925" s="306" t="s">
        <v>10969</v>
      </c>
      <c r="F925" s="278" t="s">
        <v>4109</v>
      </c>
      <c r="G925" s="278" t="s">
        <v>4108</v>
      </c>
      <c r="H925" s="306" t="s">
        <v>11238</v>
      </c>
      <c r="I925" s="269" t="s">
        <v>11239</v>
      </c>
      <c r="J925" s="306" t="s">
        <v>10969</v>
      </c>
    </row>
    <row r="926" spans="1:10" ht="14.5" customHeight="1" x14ac:dyDescent="0.25">
      <c r="A926" s="278" t="s">
        <v>3705</v>
      </c>
      <c r="B926" s="278" t="s">
        <v>10904</v>
      </c>
      <c r="C926" s="278" t="s">
        <v>10270</v>
      </c>
      <c r="D926" s="279" t="s">
        <v>10271</v>
      </c>
      <c r="E926" s="306" t="s">
        <v>10969</v>
      </c>
      <c r="F926" s="278" t="s">
        <v>4109</v>
      </c>
      <c r="G926" s="278" t="s">
        <v>4108</v>
      </c>
      <c r="H926" s="306" t="s">
        <v>11193</v>
      </c>
      <c r="I926" s="269" t="s">
        <v>11194</v>
      </c>
      <c r="J926" s="306" t="s">
        <v>10969</v>
      </c>
    </row>
    <row r="927" spans="1:10" ht="14.5" customHeight="1" x14ac:dyDescent="0.25">
      <c r="A927" s="278" t="s">
        <v>3705</v>
      </c>
      <c r="B927" s="278" t="s">
        <v>10904</v>
      </c>
      <c r="C927" s="278" t="s">
        <v>10272</v>
      </c>
      <c r="D927" s="279" t="s">
        <v>10273</v>
      </c>
      <c r="E927" s="306" t="s">
        <v>10969</v>
      </c>
      <c r="F927" s="278" t="s">
        <v>4109</v>
      </c>
      <c r="G927" s="278" t="s">
        <v>4108</v>
      </c>
      <c r="H927" s="306" t="s">
        <v>11240</v>
      </c>
      <c r="I927" s="269" t="s">
        <v>11241</v>
      </c>
      <c r="J927" s="306" t="s">
        <v>10969</v>
      </c>
    </row>
    <row r="928" spans="1:10" ht="14.5" customHeight="1" x14ac:dyDescent="0.25">
      <c r="A928" s="278" t="s">
        <v>3705</v>
      </c>
      <c r="B928" s="278" t="s">
        <v>10904</v>
      </c>
      <c r="C928" s="278" t="s">
        <v>10272</v>
      </c>
      <c r="D928" s="279" t="s">
        <v>10273</v>
      </c>
      <c r="E928" s="306" t="s">
        <v>10969</v>
      </c>
      <c r="F928" s="278" t="s">
        <v>4109</v>
      </c>
      <c r="G928" s="278" t="s">
        <v>4108</v>
      </c>
      <c r="H928" s="306" t="s">
        <v>11203</v>
      </c>
      <c r="I928" s="269" t="s">
        <v>11225</v>
      </c>
      <c r="J928" s="306" t="s">
        <v>10969</v>
      </c>
    </row>
    <row r="929" spans="1:10" ht="14.5" customHeight="1" x14ac:dyDescent="0.25">
      <c r="A929" s="278" t="s">
        <v>3705</v>
      </c>
      <c r="B929" s="278" t="s">
        <v>10904</v>
      </c>
      <c r="C929" s="278" t="s">
        <v>10272</v>
      </c>
      <c r="D929" s="279" t="s">
        <v>10273</v>
      </c>
      <c r="E929" s="306" t="s">
        <v>10969</v>
      </c>
      <c r="F929" s="278" t="s">
        <v>4109</v>
      </c>
      <c r="G929" s="278" t="s">
        <v>4108</v>
      </c>
      <c r="H929" s="306" t="s">
        <v>11236</v>
      </c>
      <c r="I929" s="269" t="s">
        <v>11237</v>
      </c>
      <c r="J929" s="306" t="s">
        <v>10969</v>
      </c>
    </row>
    <row r="930" spans="1:10" ht="14.5" customHeight="1" x14ac:dyDescent="0.25">
      <c r="A930" s="278" t="s">
        <v>3705</v>
      </c>
      <c r="B930" s="278" t="s">
        <v>10904</v>
      </c>
      <c r="C930" s="278" t="s">
        <v>10272</v>
      </c>
      <c r="D930" s="279" t="s">
        <v>10273</v>
      </c>
      <c r="E930" s="306" t="s">
        <v>10969</v>
      </c>
      <c r="F930" s="278" t="s">
        <v>4109</v>
      </c>
      <c r="G930" s="278" t="s">
        <v>4108</v>
      </c>
      <c r="H930" s="306" t="s">
        <v>11187</v>
      </c>
      <c r="I930" s="269" t="s">
        <v>11188</v>
      </c>
      <c r="J930" s="306" t="s">
        <v>10969</v>
      </c>
    </row>
    <row r="931" spans="1:10" ht="14.5" customHeight="1" x14ac:dyDescent="0.25">
      <c r="A931" s="278" t="s">
        <v>3705</v>
      </c>
      <c r="B931" s="278" t="s">
        <v>10904</v>
      </c>
      <c r="C931" s="278" t="s">
        <v>10272</v>
      </c>
      <c r="D931" s="279" t="s">
        <v>10273</v>
      </c>
      <c r="E931" s="306" t="s">
        <v>10969</v>
      </c>
      <c r="F931" s="278" t="s">
        <v>4109</v>
      </c>
      <c r="G931" s="278" t="s">
        <v>4108</v>
      </c>
      <c r="H931" s="306" t="s">
        <v>11205</v>
      </c>
      <c r="I931" s="269" t="s">
        <v>11206</v>
      </c>
      <c r="J931" s="306" t="s">
        <v>10969</v>
      </c>
    </row>
    <row r="932" spans="1:10" ht="14.5" customHeight="1" x14ac:dyDescent="0.25">
      <c r="A932" s="278" t="s">
        <v>3705</v>
      </c>
      <c r="B932" s="278" t="s">
        <v>10904</v>
      </c>
      <c r="C932" s="278" t="s">
        <v>10272</v>
      </c>
      <c r="D932" s="279" t="s">
        <v>10273</v>
      </c>
      <c r="E932" s="306" t="s">
        <v>10969</v>
      </c>
      <c r="F932" s="278" t="s">
        <v>4109</v>
      </c>
      <c r="G932" s="278" t="s">
        <v>4108</v>
      </c>
      <c r="H932" s="306" t="s">
        <v>11209</v>
      </c>
      <c r="I932" s="269" t="s">
        <v>11210</v>
      </c>
      <c r="J932" s="306" t="s">
        <v>10969</v>
      </c>
    </row>
    <row r="933" spans="1:10" ht="14.5" customHeight="1" x14ac:dyDescent="0.25">
      <c r="A933" s="278" t="s">
        <v>3705</v>
      </c>
      <c r="B933" s="278" t="s">
        <v>10904</v>
      </c>
      <c r="C933" s="278" t="s">
        <v>10272</v>
      </c>
      <c r="D933" s="279" t="s">
        <v>10273</v>
      </c>
      <c r="E933" s="306" t="s">
        <v>10969</v>
      </c>
      <c r="F933" s="278" t="s">
        <v>4109</v>
      </c>
      <c r="G933" s="278" t="s">
        <v>4108</v>
      </c>
      <c r="H933" s="306" t="s">
        <v>11238</v>
      </c>
      <c r="I933" s="269" t="s">
        <v>11239</v>
      </c>
      <c r="J933" s="306" t="s">
        <v>10969</v>
      </c>
    </row>
    <row r="934" spans="1:10" ht="14.5" customHeight="1" x14ac:dyDescent="0.25">
      <c r="A934" s="278" t="s">
        <v>3705</v>
      </c>
      <c r="B934" s="278" t="s">
        <v>10904</v>
      </c>
      <c r="C934" s="278" t="s">
        <v>10272</v>
      </c>
      <c r="D934" s="279" t="s">
        <v>10273</v>
      </c>
      <c r="E934" s="306" t="s">
        <v>10969</v>
      </c>
      <c r="F934" s="278" t="s">
        <v>4109</v>
      </c>
      <c r="G934" s="278" t="s">
        <v>4108</v>
      </c>
      <c r="H934" s="306" t="s">
        <v>11193</v>
      </c>
      <c r="I934" s="269" t="s">
        <v>11194</v>
      </c>
      <c r="J934" s="306" t="s">
        <v>10969</v>
      </c>
    </row>
    <row r="935" spans="1:10" ht="14.5" customHeight="1" x14ac:dyDescent="0.25">
      <c r="A935" s="278" t="s">
        <v>3705</v>
      </c>
      <c r="B935" s="278" t="s">
        <v>10904</v>
      </c>
      <c r="C935" s="278" t="s">
        <v>10274</v>
      </c>
      <c r="D935" s="279" t="s">
        <v>10275</v>
      </c>
      <c r="E935" s="306" t="s">
        <v>10969</v>
      </c>
      <c r="F935" s="278" t="s">
        <v>4109</v>
      </c>
      <c r="G935" s="278" t="s">
        <v>4109</v>
      </c>
      <c r="H935" s="306" t="s">
        <v>11187</v>
      </c>
      <c r="I935" s="269" t="s">
        <v>11188</v>
      </c>
      <c r="J935" s="306" t="s">
        <v>10969</v>
      </c>
    </row>
    <row r="936" spans="1:10" ht="14.5" customHeight="1" x14ac:dyDescent="0.25">
      <c r="A936" s="278" t="s">
        <v>3705</v>
      </c>
      <c r="B936" s="278" t="s">
        <v>10904</v>
      </c>
      <c r="C936" s="278" t="s">
        <v>10274</v>
      </c>
      <c r="D936" s="279" t="s">
        <v>10275</v>
      </c>
      <c r="E936" s="306" t="s">
        <v>10969</v>
      </c>
      <c r="F936" s="278" t="s">
        <v>4109</v>
      </c>
      <c r="G936" s="278" t="s">
        <v>4109</v>
      </c>
      <c r="H936" s="306" t="s">
        <v>11209</v>
      </c>
      <c r="I936" s="269" t="s">
        <v>11210</v>
      </c>
      <c r="J936" s="306" t="s">
        <v>10969</v>
      </c>
    </row>
    <row r="937" spans="1:10" ht="14.5" customHeight="1" x14ac:dyDescent="0.25">
      <c r="A937" s="278" t="s">
        <v>3705</v>
      </c>
      <c r="B937" s="278" t="s">
        <v>10904</v>
      </c>
      <c r="C937" s="278" t="s">
        <v>10274</v>
      </c>
      <c r="D937" s="279" t="s">
        <v>10275</v>
      </c>
      <c r="E937" s="306" t="s">
        <v>10969</v>
      </c>
      <c r="F937" s="278" t="s">
        <v>4109</v>
      </c>
      <c r="G937" s="278" t="s">
        <v>4109</v>
      </c>
      <c r="H937" s="306" t="s">
        <v>11193</v>
      </c>
      <c r="I937" s="269" t="s">
        <v>11194</v>
      </c>
      <c r="J937" s="306" t="s">
        <v>10969</v>
      </c>
    </row>
    <row r="938" spans="1:10" ht="14.5" customHeight="1" x14ac:dyDescent="0.25">
      <c r="A938" s="278" t="s">
        <v>3705</v>
      </c>
      <c r="B938" s="278" t="s">
        <v>10904</v>
      </c>
      <c r="C938" s="278" t="s">
        <v>10276</v>
      </c>
      <c r="D938" s="279" t="s">
        <v>10277</v>
      </c>
      <c r="E938" s="306" t="s">
        <v>10969</v>
      </c>
      <c r="F938" s="278" t="s">
        <v>4109</v>
      </c>
      <c r="G938" s="278" t="s">
        <v>4108</v>
      </c>
      <c r="H938" s="306" t="s">
        <v>11209</v>
      </c>
      <c r="I938" s="269" t="s">
        <v>11210</v>
      </c>
      <c r="J938" s="306" t="s">
        <v>10969</v>
      </c>
    </row>
    <row r="939" spans="1:10" ht="14.5" customHeight="1" x14ac:dyDescent="0.25">
      <c r="A939" s="278" t="s">
        <v>3705</v>
      </c>
      <c r="B939" s="278" t="s">
        <v>10904</v>
      </c>
      <c r="C939" s="278" t="s">
        <v>10276</v>
      </c>
      <c r="D939" s="279" t="s">
        <v>10277</v>
      </c>
      <c r="E939" s="306" t="s">
        <v>10969</v>
      </c>
      <c r="F939" s="278" t="s">
        <v>4109</v>
      </c>
      <c r="G939" s="278" t="s">
        <v>4108</v>
      </c>
      <c r="H939" s="306" t="s">
        <v>11193</v>
      </c>
      <c r="I939" s="269" t="s">
        <v>11194</v>
      </c>
      <c r="J939" s="306" t="s">
        <v>10969</v>
      </c>
    </row>
    <row r="940" spans="1:10" ht="14.5" customHeight="1" x14ac:dyDescent="0.25">
      <c r="A940" s="278" t="s">
        <v>3705</v>
      </c>
      <c r="B940" s="278" t="s">
        <v>10904</v>
      </c>
      <c r="C940" s="278" t="s">
        <v>10278</v>
      </c>
      <c r="D940" s="279" t="s">
        <v>10279</v>
      </c>
      <c r="E940" s="306" t="s">
        <v>10969</v>
      </c>
      <c r="F940" s="278" t="s">
        <v>4109</v>
      </c>
      <c r="G940" s="278" t="s">
        <v>4108</v>
      </c>
      <c r="H940" s="306" t="s">
        <v>11187</v>
      </c>
      <c r="I940" s="269" t="s">
        <v>11188</v>
      </c>
      <c r="J940" s="306" t="s">
        <v>10969</v>
      </c>
    </row>
    <row r="941" spans="1:10" ht="14.5" customHeight="1" x14ac:dyDescent="0.25">
      <c r="A941" s="278" t="s">
        <v>3705</v>
      </c>
      <c r="B941" s="278" t="s">
        <v>10904</v>
      </c>
      <c r="C941" s="278" t="s">
        <v>10278</v>
      </c>
      <c r="D941" s="279" t="s">
        <v>10279</v>
      </c>
      <c r="E941" s="306" t="s">
        <v>10969</v>
      </c>
      <c r="F941" s="278" t="s">
        <v>4109</v>
      </c>
      <c r="G941" s="278" t="s">
        <v>4108</v>
      </c>
      <c r="H941" s="306" t="s">
        <v>11209</v>
      </c>
      <c r="I941" s="269" t="s">
        <v>11210</v>
      </c>
      <c r="J941" s="306" t="s">
        <v>10969</v>
      </c>
    </row>
    <row r="942" spans="1:10" ht="14.5" customHeight="1" x14ac:dyDescent="0.25">
      <c r="A942" s="278" t="s">
        <v>3705</v>
      </c>
      <c r="B942" s="278" t="s">
        <v>10904</v>
      </c>
      <c r="C942" s="278" t="s">
        <v>10278</v>
      </c>
      <c r="D942" s="279" t="s">
        <v>10279</v>
      </c>
      <c r="E942" s="306" t="s">
        <v>10969</v>
      </c>
      <c r="F942" s="278" t="s">
        <v>4109</v>
      </c>
      <c r="G942" s="278" t="s">
        <v>4108</v>
      </c>
      <c r="H942" s="306" t="s">
        <v>11238</v>
      </c>
      <c r="I942" s="269" t="s">
        <v>11239</v>
      </c>
      <c r="J942" s="306" t="s">
        <v>10969</v>
      </c>
    </row>
    <row r="943" spans="1:10" ht="14.5" customHeight="1" x14ac:dyDescent="0.25">
      <c r="A943" s="278" t="s">
        <v>3705</v>
      </c>
      <c r="B943" s="278" t="s">
        <v>10904</v>
      </c>
      <c r="C943" s="278" t="s">
        <v>10278</v>
      </c>
      <c r="D943" s="279" t="s">
        <v>10279</v>
      </c>
      <c r="E943" s="306" t="s">
        <v>10969</v>
      </c>
      <c r="F943" s="278" t="s">
        <v>4109</v>
      </c>
      <c r="G943" s="278" t="s">
        <v>4108</v>
      </c>
      <c r="H943" s="306" t="s">
        <v>11193</v>
      </c>
      <c r="I943" s="269" t="s">
        <v>11194</v>
      </c>
      <c r="J943" s="306" t="s">
        <v>10969</v>
      </c>
    </row>
    <row r="944" spans="1:10" ht="14.5" customHeight="1" x14ac:dyDescent="0.25">
      <c r="A944" s="278" t="s">
        <v>3705</v>
      </c>
      <c r="B944" s="278" t="s">
        <v>10904</v>
      </c>
      <c r="C944" s="278" t="s">
        <v>10280</v>
      </c>
      <c r="D944" s="279" t="s">
        <v>10281</v>
      </c>
      <c r="E944" s="306" t="s">
        <v>10969</v>
      </c>
      <c r="F944" s="278" t="s">
        <v>4109</v>
      </c>
      <c r="G944" s="278" t="s">
        <v>4108</v>
      </c>
      <c r="H944" s="306" t="s">
        <v>11187</v>
      </c>
      <c r="I944" s="269" t="s">
        <v>11188</v>
      </c>
      <c r="J944" s="306" t="s">
        <v>10969</v>
      </c>
    </row>
    <row r="945" spans="1:10" ht="14.5" customHeight="1" x14ac:dyDescent="0.25">
      <c r="A945" s="278" t="s">
        <v>3705</v>
      </c>
      <c r="B945" s="278" t="s">
        <v>10904</v>
      </c>
      <c r="C945" s="278" t="s">
        <v>10280</v>
      </c>
      <c r="D945" s="279" t="s">
        <v>10281</v>
      </c>
      <c r="E945" s="306" t="s">
        <v>10969</v>
      </c>
      <c r="F945" s="278" t="s">
        <v>4109</v>
      </c>
      <c r="G945" s="278" t="s">
        <v>4108</v>
      </c>
      <c r="H945" s="306" t="s">
        <v>11238</v>
      </c>
      <c r="I945" s="269" t="s">
        <v>11239</v>
      </c>
      <c r="J945" s="306" t="s">
        <v>10969</v>
      </c>
    </row>
    <row r="946" spans="1:10" ht="14.5" customHeight="1" x14ac:dyDescent="0.25">
      <c r="A946" s="278" t="s">
        <v>3705</v>
      </c>
      <c r="B946" s="278" t="s">
        <v>10904</v>
      </c>
      <c r="C946" s="278" t="s">
        <v>10280</v>
      </c>
      <c r="D946" s="279" t="s">
        <v>10281</v>
      </c>
      <c r="E946" s="306" t="s">
        <v>10969</v>
      </c>
      <c r="F946" s="278" t="s">
        <v>4109</v>
      </c>
      <c r="G946" s="278" t="s">
        <v>4108</v>
      </c>
      <c r="H946" s="306" t="s">
        <v>11193</v>
      </c>
      <c r="I946" s="269" t="s">
        <v>11194</v>
      </c>
      <c r="J946" s="306" t="s">
        <v>10969</v>
      </c>
    </row>
    <row r="947" spans="1:10" ht="14.5" customHeight="1" x14ac:dyDescent="0.25">
      <c r="A947" s="278" t="s">
        <v>3705</v>
      </c>
      <c r="B947" s="278" t="s">
        <v>10904</v>
      </c>
      <c r="C947" s="278" t="s">
        <v>10282</v>
      </c>
      <c r="D947" s="279" t="s">
        <v>10283</v>
      </c>
      <c r="E947" s="306" t="s">
        <v>10969</v>
      </c>
      <c r="F947" s="278" t="s">
        <v>4109</v>
      </c>
      <c r="G947" s="278" t="s">
        <v>4108</v>
      </c>
      <c r="H947" s="306" t="s">
        <v>11187</v>
      </c>
      <c r="I947" s="269" t="s">
        <v>11188</v>
      </c>
      <c r="J947" s="306" t="s">
        <v>10969</v>
      </c>
    </row>
    <row r="948" spans="1:10" ht="14.5" customHeight="1" x14ac:dyDescent="0.25">
      <c r="A948" s="278" t="s">
        <v>3705</v>
      </c>
      <c r="B948" s="278" t="s">
        <v>10904</v>
      </c>
      <c r="C948" s="278" t="s">
        <v>10282</v>
      </c>
      <c r="D948" s="279" t="s">
        <v>10283</v>
      </c>
      <c r="E948" s="306" t="s">
        <v>10969</v>
      </c>
      <c r="F948" s="278" t="s">
        <v>4109</v>
      </c>
      <c r="G948" s="278" t="s">
        <v>4108</v>
      </c>
      <c r="H948" s="306" t="s">
        <v>11209</v>
      </c>
      <c r="I948" s="269" t="s">
        <v>11210</v>
      </c>
      <c r="J948" s="306" t="s">
        <v>10969</v>
      </c>
    </row>
    <row r="949" spans="1:10" ht="14.5" customHeight="1" x14ac:dyDescent="0.25">
      <c r="A949" s="278" t="s">
        <v>3705</v>
      </c>
      <c r="B949" s="278" t="s">
        <v>10904</v>
      </c>
      <c r="C949" s="278" t="s">
        <v>10282</v>
      </c>
      <c r="D949" s="279" t="s">
        <v>10283</v>
      </c>
      <c r="E949" s="306" t="s">
        <v>10969</v>
      </c>
      <c r="F949" s="278" t="s">
        <v>4109</v>
      </c>
      <c r="G949" s="278" t="s">
        <v>4108</v>
      </c>
      <c r="H949" s="306" t="s">
        <v>11238</v>
      </c>
      <c r="I949" s="269" t="s">
        <v>11239</v>
      </c>
      <c r="J949" s="306" t="s">
        <v>10969</v>
      </c>
    </row>
    <row r="950" spans="1:10" ht="14.5" customHeight="1" x14ac:dyDescent="0.25">
      <c r="A950" s="278" t="s">
        <v>3705</v>
      </c>
      <c r="B950" s="278" t="s">
        <v>10904</v>
      </c>
      <c r="C950" s="278" t="s">
        <v>10282</v>
      </c>
      <c r="D950" s="279" t="s">
        <v>10283</v>
      </c>
      <c r="E950" s="306" t="s">
        <v>10969</v>
      </c>
      <c r="F950" s="278" t="s">
        <v>4109</v>
      </c>
      <c r="G950" s="278" t="s">
        <v>4108</v>
      </c>
      <c r="H950" s="306" t="s">
        <v>11193</v>
      </c>
      <c r="I950" s="269" t="s">
        <v>11194</v>
      </c>
      <c r="J950" s="306" t="s">
        <v>10969</v>
      </c>
    </row>
    <row r="951" spans="1:10" ht="14.5" customHeight="1" x14ac:dyDescent="0.25">
      <c r="A951" s="278" t="s">
        <v>3705</v>
      </c>
      <c r="B951" s="278" t="s">
        <v>10904</v>
      </c>
      <c r="C951" s="278" t="s">
        <v>10284</v>
      </c>
      <c r="D951" s="279" t="s">
        <v>10285</v>
      </c>
      <c r="E951" s="306" t="s">
        <v>10969</v>
      </c>
      <c r="F951" s="278" t="s">
        <v>4109</v>
      </c>
      <c r="G951" s="278" t="s">
        <v>4108</v>
      </c>
      <c r="H951" s="306" t="s">
        <v>11209</v>
      </c>
      <c r="I951" s="269" t="s">
        <v>11210</v>
      </c>
      <c r="J951" s="306" t="s">
        <v>10969</v>
      </c>
    </row>
    <row r="952" spans="1:10" ht="14.5" customHeight="1" x14ac:dyDescent="0.25">
      <c r="A952" s="278" t="s">
        <v>3705</v>
      </c>
      <c r="B952" s="278" t="s">
        <v>10904</v>
      </c>
      <c r="C952" s="278" t="s">
        <v>10284</v>
      </c>
      <c r="D952" s="279" t="s">
        <v>10285</v>
      </c>
      <c r="E952" s="306" t="s">
        <v>10969</v>
      </c>
      <c r="F952" s="278" t="s">
        <v>4109</v>
      </c>
      <c r="G952" s="278" t="s">
        <v>4108</v>
      </c>
      <c r="H952" s="306" t="s">
        <v>11193</v>
      </c>
      <c r="I952" s="269" t="s">
        <v>11194</v>
      </c>
      <c r="J952" s="306" t="s">
        <v>10969</v>
      </c>
    </row>
    <row r="953" spans="1:10" ht="14.5" customHeight="1" x14ac:dyDescent="0.25">
      <c r="A953" s="278" t="s">
        <v>3705</v>
      </c>
      <c r="B953" s="278" t="s">
        <v>10904</v>
      </c>
      <c r="C953" s="278" t="s">
        <v>10286</v>
      </c>
      <c r="D953" s="279" t="s">
        <v>10287</v>
      </c>
      <c r="E953" s="306" t="s">
        <v>10969</v>
      </c>
      <c r="F953" s="278" t="s">
        <v>4109</v>
      </c>
      <c r="G953" s="278" t="s">
        <v>4108</v>
      </c>
      <c r="H953" s="306" t="s">
        <v>11219</v>
      </c>
      <c r="I953" s="269" t="s">
        <v>11220</v>
      </c>
      <c r="J953" s="306" t="s">
        <v>10969</v>
      </c>
    </row>
    <row r="954" spans="1:10" ht="14.5" customHeight="1" x14ac:dyDescent="0.25">
      <c r="A954" s="278" t="s">
        <v>3705</v>
      </c>
      <c r="B954" s="278" t="s">
        <v>10904</v>
      </c>
      <c r="C954" s="278" t="s">
        <v>10286</v>
      </c>
      <c r="D954" s="279" t="s">
        <v>10287</v>
      </c>
      <c r="E954" s="306" t="s">
        <v>10969</v>
      </c>
      <c r="F954" s="278" t="s">
        <v>4109</v>
      </c>
      <c r="G954" s="278" t="s">
        <v>4108</v>
      </c>
      <c r="H954" s="306" t="s">
        <v>11209</v>
      </c>
      <c r="I954" s="269" t="s">
        <v>11210</v>
      </c>
      <c r="J954" s="306" t="s">
        <v>10969</v>
      </c>
    </row>
    <row r="955" spans="1:10" ht="14.5" customHeight="1" x14ac:dyDescent="0.25">
      <c r="A955" s="278" t="s">
        <v>3705</v>
      </c>
      <c r="B955" s="278" t="s">
        <v>10904</v>
      </c>
      <c r="C955" s="278" t="s">
        <v>10286</v>
      </c>
      <c r="D955" s="279" t="s">
        <v>10287</v>
      </c>
      <c r="E955" s="306" t="s">
        <v>10969</v>
      </c>
      <c r="F955" s="278" t="s">
        <v>4109</v>
      </c>
      <c r="G955" s="278" t="s">
        <v>4108</v>
      </c>
      <c r="H955" s="306" t="s">
        <v>11221</v>
      </c>
      <c r="I955" s="269" t="s">
        <v>11222</v>
      </c>
      <c r="J955" s="306" t="s">
        <v>10969</v>
      </c>
    </row>
    <row r="956" spans="1:10" ht="14.5" customHeight="1" x14ac:dyDescent="0.25">
      <c r="A956" s="278" t="s">
        <v>3705</v>
      </c>
      <c r="B956" s="278" t="s">
        <v>10904</v>
      </c>
      <c r="C956" s="278" t="s">
        <v>10286</v>
      </c>
      <c r="D956" s="279" t="s">
        <v>10287</v>
      </c>
      <c r="E956" s="306" t="s">
        <v>10969</v>
      </c>
      <c r="F956" s="278" t="s">
        <v>4109</v>
      </c>
      <c r="G956" s="278" t="s">
        <v>4108</v>
      </c>
      <c r="H956" s="306" t="s">
        <v>11193</v>
      </c>
      <c r="I956" s="269" t="s">
        <v>11194</v>
      </c>
      <c r="J956" s="306" t="s">
        <v>10969</v>
      </c>
    </row>
    <row r="957" spans="1:10" ht="14.5" customHeight="1" x14ac:dyDescent="0.25">
      <c r="A957" s="278" t="s">
        <v>3705</v>
      </c>
      <c r="B957" s="278" t="s">
        <v>10904</v>
      </c>
      <c r="C957" s="278" t="s">
        <v>10288</v>
      </c>
      <c r="D957" s="279" t="s">
        <v>10289</v>
      </c>
      <c r="E957" s="306" t="s">
        <v>10969</v>
      </c>
      <c r="F957" s="278" t="s">
        <v>4109</v>
      </c>
      <c r="G957" s="278" t="s">
        <v>4108</v>
      </c>
      <c r="H957" s="306" t="s">
        <v>11187</v>
      </c>
      <c r="I957" s="269" t="s">
        <v>11188</v>
      </c>
      <c r="J957" s="306" t="s">
        <v>10969</v>
      </c>
    </row>
    <row r="958" spans="1:10" ht="14.5" customHeight="1" x14ac:dyDescent="0.25">
      <c r="A958" s="278" t="s">
        <v>3705</v>
      </c>
      <c r="B958" s="278" t="s">
        <v>10904</v>
      </c>
      <c r="C958" s="278" t="s">
        <v>10288</v>
      </c>
      <c r="D958" s="279" t="s">
        <v>10289</v>
      </c>
      <c r="E958" s="306" t="s">
        <v>10969</v>
      </c>
      <c r="F958" s="278" t="s">
        <v>4109</v>
      </c>
      <c r="G958" s="278" t="s">
        <v>4108</v>
      </c>
      <c r="H958" s="306" t="s">
        <v>11209</v>
      </c>
      <c r="I958" s="269" t="s">
        <v>11210</v>
      </c>
      <c r="J958" s="306" t="s">
        <v>10969</v>
      </c>
    </row>
    <row r="959" spans="1:10" ht="14.5" customHeight="1" x14ac:dyDescent="0.25">
      <c r="A959" s="278" t="s">
        <v>3705</v>
      </c>
      <c r="B959" s="278" t="s">
        <v>10904</v>
      </c>
      <c r="C959" s="278" t="s">
        <v>10288</v>
      </c>
      <c r="D959" s="279" t="s">
        <v>10289</v>
      </c>
      <c r="E959" s="306" t="s">
        <v>10969</v>
      </c>
      <c r="F959" s="278" t="s">
        <v>4109</v>
      </c>
      <c r="G959" s="278" t="s">
        <v>4108</v>
      </c>
      <c r="H959" s="306" t="s">
        <v>11193</v>
      </c>
      <c r="I959" s="269" t="s">
        <v>11194</v>
      </c>
      <c r="J959" s="306" t="s">
        <v>10969</v>
      </c>
    </row>
    <row r="960" spans="1:10" ht="14.5" customHeight="1" x14ac:dyDescent="0.25">
      <c r="A960" s="278" t="s">
        <v>3705</v>
      </c>
      <c r="B960" s="278" t="s">
        <v>10904</v>
      </c>
      <c r="C960" s="278" t="s">
        <v>10290</v>
      </c>
      <c r="D960" s="279" t="s">
        <v>10291</v>
      </c>
      <c r="E960" s="306" t="s">
        <v>10969</v>
      </c>
      <c r="F960" s="278" t="s">
        <v>4109</v>
      </c>
      <c r="G960" s="278" t="s">
        <v>4108</v>
      </c>
      <c r="H960" s="306" t="s">
        <v>11187</v>
      </c>
      <c r="I960" s="269" t="s">
        <v>11188</v>
      </c>
      <c r="J960" s="306" t="s">
        <v>10969</v>
      </c>
    </row>
    <row r="961" spans="1:10" ht="14.5" customHeight="1" x14ac:dyDescent="0.25">
      <c r="A961" s="278" t="s">
        <v>3705</v>
      </c>
      <c r="B961" s="278" t="s">
        <v>10904</v>
      </c>
      <c r="C961" s="278" t="s">
        <v>10290</v>
      </c>
      <c r="D961" s="279" t="s">
        <v>10291</v>
      </c>
      <c r="E961" s="306" t="s">
        <v>10969</v>
      </c>
      <c r="F961" s="278" t="s">
        <v>4109</v>
      </c>
      <c r="G961" s="278" t="s">
        <v>4108</v>
      </c>
      <c r="H961" s="306" t="s">
        <v>11238</v>
      </c>
      <c r="I961" s="269" t="s">
        <v>11239</v>
      </c>
      <c r="J961" s="306" t="s">
        <v>10969</v>
      </c>
    </row>
    <row r="962" spans="1:10" ht="14.5" customHeight="1" x14ac:dyDescent="0.25">
      <c r="A962" s="278" t="s">
        <v>3705</v>
      </c>
      <c r="B962" s="278" t="s">
        <v>10904</v>
      </c>
      <c r="C962" s="278" t="s">
        <v>10290</v>
      </c>
      <c r="D962" s="279" t="s">
        <v>10291</v>
      </c>
      <c r="E962" s="306" t="s">
        <v>10969</v>
      </c>
      <c r="F962" s="278" t="s">
        <v>4109</v>
      </c>
      <c r="G962" s="278" t="s">
        <v>4108</v>
      </c>
      <c r="H962" s="306" t="s">
        <v>11193</v>
      </c>
      <c r="I962" s="269" t="s">
        <v>11194</v>
      </c>
      <c r="J962" s="306" t="s">
        <v>10969</v>
      </c>
    </row>
    <row r="963" spans="1:10" ht="14.5" customHeight="1" x14ac:dyDescent="0.25">
      <c r="A963" s="278" t="s">
        <v>3705</v>
      </c>
      <c r="B963" s="278" t="s">
        <v>10904</v>
      </c>
      <c r="C963" s="278" t="s">
        <v>10292</v>
      </c>
      <c r="D963" s="279" t="s">
        <v>10293</v>
      </c>
      <c r="E963" s="306" t="s">
        <v>10969</v>
      </c>
      <c r="F963" s="278" t="s">
        <v>4109</v>
      </c>
      <c r="G963" s="278" t="s">
        <v>4108</v>
      </c>
      <c r="H963" s="306" t="s">
        <v>11240</v>
      </c>
      <c r="I963" s="269" t="s">
        <v>11241</v>
      </c>
      <c r="J963" s="306" t="s">
        <v>10969</v>
      </c>
    </row>
    <row r="964" spans="1:10" s="337" customFormat="1" ht="14.5" customHeight="1" x14ac:dyDescent="0.25">
      <c r="A964" s="356" t="s">
        <v>3705</v>
      </c>
      <c r="B964" s="338" t="s">
        <v>10904</v>
      </c>
      <c r="C964" s="338" t="s">
        <v>10292</v>
      </c>
      <c r="D964" s="339" t="s">
        <v>10293</v>
      </c>
      <c r="E964" s="340" t="s">
        <v>10969</v>
      </c>
      <c r="F964" s="338" t="s">
        <v>4109</v>
      </c>
      <c r="G964" s="338" t="s">
        <v>4108</v>
      </c>
      <c r="H964" s="340" t="s">
        <v>11242</v>
      </c>
      <c r="I964" s="341" t="s">
        <v>11243</v>
      </c>
      <c r="J964" s="340" t="s">
        <v>10969</v>
      </c>
    </row>
    <row r="965" spans="1:10" ht="14.5" customHeight="1" x14ac:dyDescent="0.25">
      <c r="A965" s="278" t="s">
        <v>3705</v>
      </c>
      <c r="B965" s="278" t="s">
        <v>10904</v>
      </c>
      <c r="C965" s="278" t="s">
        <v>10292</v>
      </c>
      <c r="D965" s="279" t="s">
        <v>10293</v>
      </c>
      <c r="E965" s="306" t="s">
        <v>10969</v>
      </c>
      <c r="F965" s="278" t="s">
        <v>4109</v>
      </c>
      <c r="G965" s="278" t="s">
        <v>4108</v>
      </c>
      <c r="H965" s="306" t="s">
        <v>11238</v>
      </c>
      <c r="I965" s="269" t="s">
        <v>11239</v>
      </c>
      <c r="J965" s="306" t="s">
        <v>10969</v>
      </c>
    </row>
    <row r="966" spans="1:10" ht="14.5" customHeight="1" x14ac:dyDescent="0.25">
      <c r="A966" s="278" t="s">
        <v>3705</v>
      </c>
      <c r="B966" s="278" t="s">
        <v>10904</v>
      </c>
      <c r="C966" s="278" t="s">
        <v>10292</v>
      </c>
      <c r="D966" s="279" t="s">
        <v>10293</v>
      </c>
      <c r="E966" s="306" t="s">
        <v>10969</v>
      </c>
      <c r="F966" s="278" t="s">
        <v>4109</v>
      </c>
      <c r="G966" s="278" t="s">
        <v>4108</v>
      </c>
      <c r="H966" s="306" t="s">
        <v>11193</v>
      </c>
      <c r="I966" s="269" t="s">
        <v>11194</v>
      </c>
      <c r="J966" s="306" t="s">
        <v>10969</v>
      </c>
    </row>
    <row r="967" spans="1:10" ht="14.5" customHeight="1" x14ac:dyDescent="0.25">
      <c r="A967" s="278" t="s">
        <v>3705</v>
      </c>
      <c r="B967" s="278" t="s">
        <v>10904</v>
      </c>
      <c r="C967" s="278" t="s">
        <v>10294</v>
      </c>
      <c r="D967" s="279" t="s">
        <v>10295</v>
      </c>
      <c r="E967" s="306" t="s">
        <v>10969</v>
      </c>
      <c r="F967" s="278" t="s">
        <v>4109</v>
      </c>
      <c r="G967" s="278" t="s">
        <v>4108</v>
      </c>
      <c r="H967" s="306" t="s">
        <v>11240</v>
      </c>
      <c r="I967" s="269" t="s">
        <v>11241</v>
      </c>
      <c r="J967" s="306" t="s">
        <v>10969</v>
      </c>
    </row>
    <row r="968" spans="1:10" ht="14.5" customHeight="1" x14ac:dyDescent="0.25">
      <c r="A968" s="278" t="s">
        <v>3705</v>
      </c>
      <c r="B968" s="278" t="s">
        <v>10904</v>
      </c>
      <c r="C968" s="278" t="s">
        <v>10294</v>
      </c>
      <c r="D968" s="279" t="s">
        <v>10295</v>
      </c>
      <c r="E968" s="306" t="s">
        <v>10969</v>
      </c>
      <c r="F968" s="278" t="s">
        <v>4109</v>
      </c>
      <c r="G968" s="278" t="s">
        <v>4108</v>
      </c>
      <c r="H968" s="306" t="s">
        <v>11238</v>
      </c>
      <c r="I968" s="269" t="s">
        <v>11239</v>
      </c>
      <c r="J968" s="306" t="s">
        <v>10969</v>
      </c>
    </row>
    <row r="969" spans="1:10" ht="14.5" customHeight="1" x14ac:dyDescent="0.25">
      <c r="A969" s="278" t="s">
        <v>3705</v>
      </c>
      <c r="B969" s="278" t="s">
        <v>10904</v>
      </c>
      <c r="C969" s="278" t="s">
        <v>10294</v>
      </c>
      <c r="D969" s="279" t="s">
        <v>10295</v>
      </c>
      <c r="E969" s="306" t="s">
        <v>10969</v>
      </c>
      <c r="F969" s="278" t="s">
        <v>4109</v>
      </c>
      <c r="G969" s="278" t="s">
        <v>4108</v>
      </c>
      <c r="H969" s="306" t="s">
        <v>11193</v>
      </c>
      <c r="I969" s="269" t="s">
        <v>11194</v>
      </c>
      <c r="J969" s="306" t="s">
        <v>10969</v>
      </c>
    </row>
    <row r="970" spans="1:10" ht="14.5" customHeight="1" x14ac:dyDescent="0.25">
      <c r="A970" s="278" t="s">
        <v>3705</v>
      </c>
      <c r="B970" s="278" t="s">
        <v>10904</v>
      </c>
      <c r="C970" s="278" t="s">
        <v>10296</v>
      </c>
      <c r="D970" s="279" t="s">
        <v>10297</v>
      </c>
      <c r="E970" s="306" t="s">
        <v>10969</v>
      </c>
      <c r="F970" s="278" t="s">
        <v>4109</v>
      </c>
      <c r="G970" s="278" t="s">
        <v>4108</v>
      </c>
      <c r="H970" s="306" t="s">
        <v>11187</v>
      </c>
      <c r="I970" s="269" t="s">
        <v>11188</v>
      </c>
      <c r="J970" s="306" t="s">
        <v>10969</v>
      </c>
    </row>
    <row r="971" spans="1:10" ht="14.5" customHeight="1" x14ac:dyDescent="0.25">
      <c r="A971" s="278" t="s">
        <v>3705</v>
      </c>
      <c r="B971" s="278" t="s">
        <v>10904</v>
      </c>
      <c r="C971" s="278" t="s">
        <v>10296</v>
      </c>
      <c r="D971" s="279" t="s">
        <v>10297</v>
      </c>
      <c r="E971" s="306" t="s">
        <v>10969</v>
      </c>
      <c r="F971" s="278" t="s">
        <v>4109</v>
      </c>
      <c r="G971" s="278" t="s">
        <v>4108</v>
      </c>
      <c r="H971" s="306" t="s">
        <v>11191</v>
      </c>
      <c r="I971" s="269" t="s">
        <v>11192</v>
      </c>
      <c r="J971" s="306" t="s">
        <v>10969</v>
      </c>
    </row>
    <row r="972" spans="1:10" ht="14.5" customHeight="1" x14ac:dyDescent="0.25">
      <c r="A972" s="278" t="s">
        <v>3705</v>
      </c>
      <c r="B972" s="278" t="s">
        <v>10904</v>
      </c>
      <c r="C972" s="278" t="s">
        <v>10296</v>
      </c>
      <c r="D972" s="279" t="s">
        <v>10297</v>
      </c>
      <c r="E972" s="306" t="s">
        <v>10969</v>
      </c>
      <c r="F972" s="278" t="s">
        <v>4109</v>
      </c>
      <c r="G972" s="278" t="s">
        <v>4108</v>
      </c>
      <c r="H972" s="306" t="s">
        <v>11238</v>
      </c>
      <c r="I972" s="269" t="s">
        <v>11239</v>
      </c>
      <c r="J972" s="306" t="s">
        <v>10969</v>
      </c>
    </row>
    <row r="973" spans="1:10" ht="14.5" customHeight="1" x14ac:dyDescent="0.25">
      <c r="A973" s="278" t="s">
        <v>3705</v>
      </c>
      <c r="B973" s="278" t="s">
        <v>10904</v>
      </c>
      <c r="C973" s="278" t="s">
        <v>10296</v>
      </c>
      <c r="D973" s="279" t="s">
        <v>10297</v>
      </c>
      <c r="E973" s="306" t="s">
        <v>10969</v>
      </c>
      <c r="F973" s="278" t="s">
        <v>4109</v>
      </c>
      <c r="G973" s="278" t="s">
        <v>4108</v>
      </c>
      <c r="H973" s="306" t="s">
        <v>11193</v>
      </c>
      <c r="I973" s="269" t="s">
        <v>11194</v>
      </c>
      <c r="J973" s="306" t="s">
        <v>10969</v>
      </c>
    </row>
    <row r="974" spans="1:10" ht="14.5" customHeight="1" x14ac:dyDescent="0.25">
      <c r="A974" s="278" t="s">
        <v>3705</v>
      </c>
      <c r="B974" s="278" t="s">
        <v>10904</v>
      </c>
      <c r="C974" s="278" t="s">
        <v>10298</v>
      </c>
      <c r="D974" s="279" t="s">
        <v>10299</v>
      </c>
      <c r="E974" s="306" t="s">
        <v>10969</v>
      </c>
      <c r="F974" s="278" t="s">
        <v>4109</v>
      </c>
      <c r="G974" s="278" t="s">
        <v>4108</v>
      </c>
      <c r="H974" s="306" t="s">
        <v>11240</v>
      </c>
      <c r="I974" s="269" t="s">
        <v>11241</v>
      </c>
      <c r="J974" s="306" t="s">
        <v>10969</v>
      </c>
    </row>
    <row r="975" spans="1:10" ht="14.5" customHeight="1" x14ac:dyDescent="0.25">
      <c r="A975" s="278" t="s">
        <v>3705</v>
      </c>
      <c r="B975" s="278" t="s">
        <v>10904</v>
      </c>
      <c r="C975" s="278" t="s">
        <v>10298</v>
      </c>
      <c r="D975" s="279" t="s">
        <v>10299</v>
      </c>
      <c r="E975" s="306" t="s">
        <v>10969</v>
      </c>
      <c r="F975" s="278" t="s">
        <v>4109</v>
      </c>
      <c r="G975" s="278" t="s">
        <v>4108</v>
      </c>
      <c r="H975" s="306" t="s">
        <v>11187</v>
      </c>
      <c r="I975" s="269" t="s">
        <v>11188</v>
      </c>
      <c r="J975" s="306" t="s">
        <v>10969</v>
      </c>
    </row>
    <row r="976" spans="1:10" ht="14.5" customHeight="1" x14ac:dyDescent="0.25">
      <c r="A976" s="278" t="s">
        <v>3705</v>
      </c>
      <c r="B976" s="278" t="s">
        <v>10904</v>
      </c>
      <c r="C976" s="278" t="s">
        <v>10298</v>
      </c>
      <c r="D976" s="279" t="s">
        <v>10299</v>
      </c>
      <c r="E976" s="306" t="s">
        <v>10969</v>
      </c>
      <c r="F976" s="278" t="s">
        <v>4109</v>
      </c>
      <c r="G976" s="278" t="s">
        <v>4108</v>
      </c>
      <c r="H976" s="306" t="s">
        <v>11238</v>
      </c>
      <c r="I976" s="269" t="s">
        <v>11239</v>
      </c>
      <c r="J976" s="306" t="s">
        <v>10969</v>
      </c>
    </row>
    <row r="977" spans="1:10" ht="14.5" customHeight="1" x14ac:dyDescent="0.25">
      <c r="A977" s="278" t="s">
        <v>3705</v>
      </c>
      <c r="B977" s="278" t="s">
        <v>10904</v>
      </c>
      <c r="C977" s="278" t="s">
        <v>10298</v>
      </c>
      <c r="D977" s="279" t="s">
        <v>10299</v>
      </c>
      <c r="E977" s="306" t="s">
        <v>10969</v>
      </c>
      <c r="F977" s="278" t="s">
        <v>4109</v>
      </c>
      <c r="G977" s="278" t="s">
        <v>4108</v>
      </c>
      <c r="H977" s="306" t="s">
        <v>11193</v>
      </c>
      <c r="I977" s="269" t="s">
        <v>11194</v>
      </c>
      <c r="J977" s="306" t="s">
        <v>10969</v>
      </c>
    </row>
    <row r="978" spans="1:10" ht="14.5" customHeight="1" x14ac:dyDescent="0.25">
      <c r="A978" s="278" t="s">
        <v>3705</v>
      </c>
      <c r="B978" s="278" t="s">
        <v>10904</v>
      </c>
      <c r="C978" s="278" t="s">
        <v>10300</v>
      </c>
      <c r="D978" s="279" t="s">
        <v>10301</v>
      </c>
      <c r="E978" s="306" t="s">
        <v>10969</v>
      </c>
      <c r="F978" s="278" t="s">
        <v>4109</v>
      </c>
      <c r="G978" s="278" t="s">
        <v>4108</v>
      </c>
      <c r="H978" s="306" t="s">
        <v>11240</v>
      </c>
      <c r="I978" s="269" t="s">
        <v>11241</v>
      </c>
      <c r="J978" s="306" t="s">
        <v>10969</v>
      </c>
    </row>
    <row r="979" spans="1:10" ht="14.5" customHeight="1" x14ac:dyDescent="0.25">
      <c r="A979" s="278" t="s">
        <v>3705</v>
      </c>
      <c r="B979" s="278" t="s">
        <v>10904</v>
      </c>
      <c r="C979" s="278" t="s">
        <v>10300</v>
      </c>
      <c r="D979" s="279" t="s">
        <v>10301</v>
      </c>
      <c r="E979" s="306" t="s">
        <v>10969</v>
      </c>
      <c r="F979" s="278" t="s">
        <v>4109</v>
      </c>
      <c r="G979" s="278" t="s">
        <v>4108</v>
      </c>
      <c r="H979" s="306" t="s">
        <v>11203</v>
      </c>
      <c r="I979" s="269" t="s">
        <v>11225</v>
      </c>
      <c r="J979" s="306" t="s">
        <v>10969</v>
      </c>
    </row>
    <row r="980" spans="1:10" ht="14.5" customHeight="1" x14ac:dyDescent="0.25">
      <c r="A980" s="278" t="s">
        <v>3705</v>
      </c>
      <c r="B980" s="278" t="s">
        <v>10904</v>
      </c>
      <c r="C980" s="278" t="s">
        <v>10300</v>
      </c>
      <c r="D980" s="279" t="s">
        <v>10301</v>
      </c>
      <c r="E980" s="306" t="s">
        <v>10969</v>
      </c>
      <c r="F980" s="278" t="s">
        <v>4109</v>
      </c>
      <c r="G980" s="278" t="s">
        <v>4108</v>
      </c>
      <c r="H980" s="306" t="s">
        <v>11236</v>
      </c>
      <c r="I980" s="269" t="s">
        <v>11237</v>
      </c>
      <c r="J980" s="306" t="s">
        <v>10969</v>
      </c>
    </row>
    <row r="981" spans="1:10" ht="14.5" customHeight="1" x14ac:dyDescent="0.25">
      <c r="A981" s="278" t="s">
        <v>3705</v>
      </c>
      <c r="B981" s="278" t="s">
        <v>10904</v>
      </c>
      <c r="C981" s="278" t="s">
        <v>10300</v>
      </c>
      <c r="D981" s="279" t="s">
        <v>10301</v>
      </c>
      <c r="E981" s="306" t="s">
        <v>10969</v>
      </c>
      <c r="F981" s="278" t="s">
        <v>4109</v>
      </c>
      <c r="G981" s="278" t="s">
        <v>4108</v>
      </c>
      <c r="H981" s="306" t="s">
        <v>11187</v>
      </c>
      <c r="I981" s="269" t="s">
        <v>11188</v>
      </c>
      <c r="J981" s="306" t="s">
        <v>10969</v>
      </c>
    </row>
    <row r="982" spans="1:10" ht="14.5" customHeight="1" x14ac:dyDescent="0.25">
      <c r="A982" s="278" t="s">
        <v>3705</v>
      </c>
      <c r="B982" s="278" t="s">
        <v>10904</v>
      </c>
      <c r="C982" s="278" t="s">
        <v>10300</v>
      </c>
      <c r="D982" s="279" t="s">
        <v>10301</v>
      </c>
      <c r="E982" s="306" t="s">
        <v>10969</v>
      </c>
      <c r="F982" s="278" t="s">
        <v>4109</v>
      </c>
      <c r="G982" s="278" t="s">
        <v>4108</v>
      </c>
      <c r="H982" s="306" t="s">
        <v>11205</v>
      </c>
      <c r="I982" s="269" t="s">
        <v>11206</v>
      </c>
      <c r="J982" s="306" t="s">
        <v>10969</v>
      </c>
    </row>
    <row r="983" spans="1:10" ht="14.5" customHeight="1" x14ac:dyDescent="0.25">
      <c r="A983" s="278" t="s">
        <v>3705</v>
      </c>
      <c r="B983" s="278" t="s">
        <v>10904</v>
      </c>
      <c r="C983" s="278" t="s">
        <v>10300</v>
      </c>
      <c r="D983" s="279" t="s">
        <v>10301</v>
      </c>
      <c r="E983" s="306" t="s">
        <v>10969</v>
      </c>
      <c r="F983" s="278" t="s">
        <v>4109</v>
      </c>
      <c r="G983" s="278" t="s">
        <v>4108</v>
      </c>
      <c r="H983" s="306" t="s">
        <v>11238</v>
      </c>
      <c r="I983" s="269" t="s">
        <v>11239</v>
      </c>
      <c r="J983" s="306" t="s">
        <v>10969</v>
      </c>
    </row>
    <row r="984" spans="1:10" ht="14.5" customHeight="1" x14ac:dyDescent="0.25">
      <c r="A984" s="278" t="s">
        <v>3705</v>
      </c>
      <c r="B984" s="278" t="s">
        <v>10904</v>
      </c>
      <c r="C984" s="278" t="s">
        <v>10300</v>
      </c>
      <c r="D984" s="279" t="s">
        <v>10301</v>
      </c>
      <c r="E984" s="306" t="s">
        <v>10969</v>
      </c>
      <c r="F984" s="278" t="s">
        <v>4109</v>
      </c>
      <c r="G984" s="278" t="s">
        <v>4108</v>
      </c>
      <c r="H984" s="306" t="s">
        <v>11193</v>
      </c>
      <c r="I984" s="269" t="s">
        <v>11194</v>
      </c>
      <c r="J984" s="306" t="s">
        <v>10969</v>
      </c>
    </row>
    <row r="985" spans="1:10" ht="14.5" customHeight="1" x14ac:dyDescent="0.25">
      <c r="A985" s="278" t="s">
        <v>3705</v>
      </c>
      <c r="B985" s="278" t="s">
        <v>10904</v>
      </c>
      <c r="C985" s="278" t="s">
        <v>10302</v>
      </c>
      <c r="D985" s="279" t="s">
        <v>10303</v>
      </c>
      <c r="E985" s="306" t="s">
        <v>10969</v>
      </c>
      <c r="F985" s="278" t="s">
        <v>4109</v>
      </c>
      <c r="G985" s="278" t="s">
        <v>4108</v>
      </c>
      <c r="H985" s="306" t="s">
        <v>11240</v>
      </c>
      <c r="I985" s="269" t="s">
        <v>11241</v>
      </c>
      <c r="J985" s="306" t="s">
        <v>10969</v>
      </c>
    </row>
    <row r="986" spans="1:10" ht="14.5" customHeight="1" x14ac:dyDescent="0.25">
      <c r="A986" s="278" t="s">
        <v>3705</v>
      </c>
      <c r="B986" s="278" t="s">
        <v>10904</v>
      </c>
      <c r="C986" s="278" t="s">
        <v>10302</v>
      </c>
      <c r="D986" s="279" t="s">
        <v>10303</v>
      </c>
      <c r="E986" s="306" t="s">
        <v>10969</v>
      </c>
      <c r="F986" s="278" t="s">
        <v>4109</v>
      </c>
      <c r="G986" s="278" t="s">
        <v>4108</v>
      </c>
      <c r="H986" s="306" t="s">
        <v>11238</v>
      </c>
      <c r="I986" s="269" t="s">
        <v>11239</v>
      </c>
      <c r="J986" s="306" t="s">
        <v>10969</v>
      </c>
    </row>
    <row r="987" spans="1:10" ht="14.5" customHeight="1" x14ac:dyDescent="0.25">
      <c r="A987" s="278" t="s">
        <v>3705</v>
      </c>
      <c r="B987" s="278" t="s">
        <v>10904</v>
      </c>
      <c r="C987" s="278" t="s">
        <v>10302</v>
      </c>
      <c r="D987" s="279" t="s">
        <v>10303</v>
      </c>
      <c r="E987" s="306" t="s">
        <v>10969</v>
      </c>
      <c r="F987" s="278" t="s">
        <v>4109</v>
      </c>
      <c r="G987" s="278" t="s">
        <v>4108</v>
      </c>
      <c r="H987" s="306" t="s">
        <v>11193</v>
      </c>
      <c r="I987" s="269" t="s">
        <v>11194</v>
      </c>
      <c r="J987" s="306" t="s">
        <v>10969</v>
      </c>
    </row>
    <row r="988" spans="1:10" ht="14.5" customHeight="1" x14ac:dyDescent="0.25">
      <c r="A988" s="278" t="s">
        <v>3705</v>
      </c>
      <c r="B988" s="278" t="s">
        <v>10904</v>
      </c>
      <c r="C988" s="278" t="s">
        <v>10304</v>
      </c>
      <c r="D988" s="279" t="s">
        <v>10305</v>
      </c>
      <c r="E988" s="306" t="s">
        <v>10969</v>
      </c>
      <c r="F988" s="278" t="s">
        <v>4109</v>
      </c>
      <c r="G988" s="278" t="s">
        <v>4108</v>
      </c>
      <c r="H988" s="306" t="s">
        <v>11240</v>
      </c>
      <c r="I988" s="269" t="s">
        <v>11241</v>
      </c>
      <c r="J988" s="306" t="s">
        <v>10969</v>
      </c>
    </row>
    <row r="989" spans="1:10" ht="14.5" customHeight="1" x14ac:dyDescent="0.25">
      <c r="A989" s="278" t="s">
        <v>3705</v>
      </c>
      <c r="B989" s="278" t="s">
        <v>10904</v>
      </c>
      <c r="C989" s="278" t="s">
        <v>10304</v>
      </c>
      <c r="D989" s="279" t="s">
        <v>10305</v>
      </c>
      <c r="E989" s="306" t="s">
        <v>10969</v>
      </c>
      <c r="F989" s="278" t="s">
        <v>4109</v>
      </c>
      <c r="G989" s="278" t="s">
        <v>4108</v>
      </c>
      <c r="H989" s="306" t="s">
        <v>11203</v>
      </c>
      <c r="I989" s="269" t="s">
        <v>11225</v>
      </c>
      <c r="J989" s="306" t="s">
        <v>10969</v>
      </c>
    </row>
    <row r="990" spans="1:10" ht="14.5" customHeight="1" x14ac:dyDescent="0.25">
      <c r="A990" s="278" t="s">
        <v>3705</v>
      </c>
      <c r="B990" s="278" t="s">
        <v>10904</v>
      </c>
      <c r="C990" s="278" t="s">
        <v>10304</v>
      </c>
      <c r="D990" s="279" t="s">
        <v>10305</v>
      </c>
      <c r="E990" s="306" t="s">
        <v>10969</v>
      </c>
      <c r="F990" s="278" t="s">
        <v>4109</v>
      </c>
      <c r="G990" s="278" t="s">
        <v>4108</v>
      </c>
      <c r="H990" s="306" t="s">
        <v>11187</v>
      </c>
      <c r="I990" s="269" t="s">
        <v>11188</v>
      </c>
      <c r="J990" s="306" t="s">
        <v>10969</v>
      </c>
    </row>
    <row r="991" spans="1:10" ht="14.5" customHeight="1" x14ac:dyDescent="0.25">
      <c r="A991" s="278" t="s">
        <v>3705</v>
      </c>
      <c r="B991" s="278" t="s">
        <v>10904</v>
      </c>
      <c r="C991" s="278" t="s">
        <v>10304</v>
      </c>
      <c r="D991" s="279" t="s">
        <v>10305</v>
      </c>
      <c r="E991" s="306" t="s">
        <v>10969</v>
      </c>
      <c r="F991" s="278" t="s">
        <v>4109</v>
      </c>
      <c r="G991" s="278" t="s">
        <v>4108</v>
      </c>
      <c r="H991" s="306" t="s">
        <v>11205</v>
      </c>
      <c r="I991" s="269" t="s">
        <v>11206</v>
      </c>
      <c r="J991" s="306" t="s">
        <v>10969</v>
      </c>
    </row>
    <row r="992" spans="1:10" ht="14.5" customHeight="1" x14ac:dyDescent="0.25">
      <c r="A992" s="278" t="s">
        <v>3705</v>
      </c>
      <c r="B992" s="278" t="s">
        <v>10904</v>
      </c>
      <c r="C992" s="278" t="s">
        <v>10304</v>
      </c>
      <c r="D992" s="279" t="s">
        <v>10305</v>
      </c>
      <c r="E992" s="306" t="s">
        <v>10969</v>
      </c>
      <c r="F992" s="278" t="s">
        <v>4109</v>
      </c>
      <c r="G992" s="278" t="s">
        <v>4108</v>
      </c>
      <c r="H992" s="306" t="s">
        <v>11238</v>
      </c>
      <c r="I992" s="269" t="s">
        <v>11239</v>
      </c>
      <c r="J992" s="306" t="s">
        <v>10969</v>
      </c>
    </row>
    <row r="993" spans="1:10" ht="14.5" customHeight="1" x14ac:dyDescent="0.25">
      <c r="A993" s="278" t="s">
        <v>3705</v>
      </c>
      <c r="B993" s="278" t="s">
        <v>10904</v>
      </c>
      <c r="C993" s="278" t="s">
        <v>10304</v>
      </c>
      <c r="D993" s="279" t="s">
        <v>10305</v>
      </c>
      <c r="E993" s="306" t="s">
        <v>10969</v>
      </c>
      <c r="F993" s="278" t="s">
        <v>4109</v>
      </c>
      <c r="G993" s="278" t="s">
        <v>4108</v>
      </c>
      <c r="H993" s="306" t="s">
        <v>11193</v>
      </c>
      <c r="I993" s="269" t="s">
        <v>11194</v>
      </c>
      <c r="J993" s="306" t="s">
        <v>10969</v>
      </c>
    </row>
    <row r="994" spans="1:10" ht="14.5" customHeight="1" x14ac:dyDescent="0.25">
      <c r="A994" s="278" t="s">
        <v>3705</v>
      </c>
      <c r="B994" s="278" t="s">
        <v>10904</v>
      </c>
      <c r="C994" s="278" t="s">
        <v>10306</v>
      </c>
      <c r="D994" s="279" t="s">
        <v>10307</v>
      </c>
      <c r="E994" s="306" t="s">
        <v>10969</v>
      </c>
      <c r="F994" s="278" t="s">
        <v>4109</v>
      </c>
      <c r="G994" s="278" t="s">
        <v>4108</v>
      </c>
      <c r="H994" s="306" t="s">
        <v>11240</v>
      </c>
      <c r="I994" s="269" t="s">
        <v>11241</v>
      </c>
      <c r="J994" s="306" t="s">
        <v>10969</v>
      </c>
    </row>
    <row r="995" spans="1:10" ht="14.5" customHeight="1" x14ac:dyDescent="0.25">
      <c r="A995" s="278" t="s">
        <v>3705</v>
      </c>
      <c r="B995" s="278" t="s">
        <v>10904</v>
      </c>
      <c r="C995" s="278" t="s">
        <v>10306</v>
      </c>
      <c r="D995" s="279" t="s">
        <v>10307</v>
      </c>
      <c r="E995" s="306" t="s">
        <v>10969</v>
      </c>
      <c r="F995" s="278" t="s">
        <v>4109</v>
      </c>
      <c r="G995" s="278" t="s">
        <v>4108</v>
      </c>
      <c r="H995" s="306" t="s">
        <v>11236</v>
      </c>
      <c r="I995" s="269" t="s">
        <v>11237</v>
      </c>
      <c r="J995" s="306" t="s">
        <v>10969</v>
      </c>
    </row>
    <row r="996" spans="1:10" ht="14.5" customHeight="1" x14ac:dyDescent="0.25">
      <c r="A996" s="278" t="s">
        <v>3705</v>
      </c>
      <c r="B996" s="278" t="s">
        <v>10904</v>
      </c>
      <c r="C996" s="278" t="s">
        <v>10306</v>
      </c>
      <c r="D996" s="279" t="s">
        <v>10307</v>
      </c>
      <c r="E996" s="306" t="s">
        <v>10969</v>
      </c>
      <c r="F996" s="278" t="s">
        <v>4109</v>
      </c>
      <c r="G996" s="278" t="s">
        <v>4108</v>
      </c>
      <c r="H996" s="306" t="s">
        <v>11187</v>
      </c>
      <c r="I996" s="269" t="s">
        <v>11188</v>
      </c>
      <c r="J996" s="306" t="s">
        <v>10969</v>
      </c>
    </row>
    <row r="997" spans="1:10" ht="14.5" customHeight="1" x14ac:dyDescent="0.25">
      <c r="A997" s="352" t="s">
        <v>3705</v>
      </c>
      <c r="B997" s="284" t="s">
        <v>10904</v>
      </c>
      <c r="C997" s="284" t="s">
        <v>10306</v>
      </c>
      <c r="D997" s="285" t="s">
        <v>10307</v>
      </c>
      <c r="E997" s="342" t="s">
        <v>10969</v>
      </c>
      <c r="F997" s="284" t="s">
        <v>4109</v>
      </c>
      <c r="G997" s="284" t="s">
        <v>4108</v>
      </c>
      <c r="H997" s="342" t="s">
        <v>11205</v>
      </c>
      <c r="I997" s="271" t="s">
        <v>11206</v>
      </c>
      <c r="J997" s="342" t="s">
        <v>10969</v>
      </c>
    </row>
    <row r="998" spans="1:10" ht="14.5" customHeight="1" x14ac:dyDescent="0.25">
      <c r="A998" s="278" t="s">
        <v>3705</v>
      </c>
      <c r="B998" s="278" t="s">
        <v>10904</v>
      </c>
      <c r="C998" s="278" t="s">
        <v>10306</v>
      </c>
      <c r="D998" s="279" t="s">
        <v>10307</v>
      </c>
      <c r="E998" s="306" t="s">
        <v>10969</v>
      </c>
      <c r="F998" s="278" t="s">
        <v>4109</v>
      </c>
      <c r="G998" s="278" t="s">
        <v>4108</v>
      </c>
      <c r="H998" s="306" t="s">
        <v>11238</v>
      </c>
      <c r="I998" s="269" t="s">
        <v>11239</v>
      </c>
      <c r="J998" s="306" t="s">
        <v>10969</v>
      </c>
    </row>
    <row r="999" spans="1:10" ht="14.5" customHeight="1" x14ac:dyDescent="0.25">
      <c r="A999" s="278" t="s">
        <v>3705</v>
      </c>
      <c r="B999" s="278" t="s">
        <v>10904</v>
      </c>
      <c r="C999" s="278" t="s">
        <v>10306</v>
      </c>
      <c r="D999" s="279" t="s">
        <v>10307</v>
      </c>
      <c r="E999" s="306" t="s">
        <v>10969</v>
      </c>
      <c r="F999" s="278" t="s">
        <v>4109</v>
      </c>
      <c r="G999" s="278" t="s">
        <v>4108</v>
      </c>
      <c r="H999" s="306" t="s">
        <v>11193</v>
      </c>
      <c r="I999" s="269" t="s">
        <v>11194</v>
      </c>
      <c r="J999" s="306" t="s">
        <v>10969</v>
      </c>
    </row>
    <row r="1000" spans="1:10" ht="14.5" customHeight="1" x14ac:dyDescent="0.25">
      <c r="A1000" s="278" t="s">
        <v>3705</v>
      </c>
      <c r="B1000" s="278" t="s">
        <v>10904</v>
      </c>
      <c r="C1000" s="278" t="s">
        <v>10308</v>
      </c>
      <c r="D1000" s="279" t="s">
        <v>10309</v>
      </c>
      <c r="E1000" s="306" t="s">
        <v>10969</v>
      </c>
      <c r="F1000" s="278" t="s">
        <v>4109</v>
      </c>
      <c r="G1000" s="278" t="s">
        <v>4108</v>
      </c>
      <c r="H1000" s="306" t="s">
        <v>11240</v>
      </c>
      <c r="I1000" s="269" t="s">
        <v>11241</v>
      </c>
      <c r="J1000" s="306" t="s">
        <v>10969</v>
      </c>
    </row>
    <row r="1001" spans="1:10" ht="14.5" customHeight="1" x14ac:dyDescent="0.25">
      <c r="A1001" s="278" t="s">
        <v>3705</v>
      </c>
      <c r="B1001" s="278" t="s">
        <v>10904</v>
      </c>
      <c r="C1001" s="278" t="s">
        <v>10308</v>
      </c>
      <c r="D1001" s="279" t="s">
        <v>10309</v>
      </c>
      <c r="E1001" s="306" t="s">
        <v>10969</v>
      </c>
      <c r="F1001" s="278" t="s">
        <v>4109</v>
      </c>
      <c r="G1001" s="278" t="s">
        <v>4108</v>
      </c>
      <c r="H1001" s="306" t="s">
        <v>11187</v>
      </c>
      <c r="I1001" s="269" t="s">
        <v>11188</v>
      </c>
      <c r="J1001" s="306" t="s">
        <v>10969</v>
      </c>
    </row>
    <row r="1002" spans="1:10" ht="14.5" customHeight="1" x14ac:dyDescent="0.25">
      <c r="A1002" s="278" t="s">
        <v>3705</v>
      </c>
      <c r="B1002" s="278" t="s">
        <v>10904</v>
      </c>
      <c r="C1002" s="278" t="s">
        <v>10308</v>
      </c>
      <c r="D1002" s="279" t="s">
        <v>10309</v>
      </c>
      <c r="E1002" s="306" t="s">
        <v>10969</v>
      </c>
      <c r="F1002" s="278" t="s">
        <v>4109</v>
      </c>
      <c r="G1002" s="278" t="s">
        <v>4108</v>
      </c>
      <c r="H1002" s="306" t="s">
        <v>11238</v>
      </c>
      <c r="I1002" s="269" t="s">
        <v>11239</v>
      </c>
      <c r="J1002" s="306" t="s">
        <v>10969</v>
      </c>
    </row>
    <row r="1003" spans="1:10" ht="14.5" customHeight="1" x14ac:dyDescent="0.25">
      <c r="A1003" s="278" t="s">
        <v>3705</v>
      </c>
      <c r="B1003" s="278" t="s">
        <v>10904</v>
      </c>
      <c r="C1003" s="278" t="s">
        <v>10308</v>
      </c>
      <c r="D1003" s="279" t="s">
        <v>10309</v>
      </c>
      <c r="E1003" s="306" t="s">
        <v>10969</v>
      </c>
      <c r="F1003" s="278" t="s">
        <v>4109</v>
      </c>
      <c r="G1003" s="278" t="s">
        <v>4108</v>
      </c>
      <c r="H1003" s="306" t="s">
        <v>11193</v>
      </c>
      <c r="I1003" s="269" t="s">
        <v>11194</v>
      </c>
      <c r="J1003" s="306" t="s">
        <v>10969</v>
      </c>
    </row>
    <row r="1004" spans="1:10" ht="14.5" customHeight="1" x14ac:dyDescent="0.25">
      <c r="A1004" s="278" t="s">
        <v>3705</v>
      </c>
      <c r="B1004" s="278" t="s">
        <v>10904</v>
      </c>
      <c r="C1004" s="278" t="s">
        <v>10310</v>
      </c>
      <c r="D1004" s="279" t="s">
        <v>10311</v>
      </c>
      <c r="E1004" s="306" t="s">
        <v>10969</v>
      </c>
      <c r="F1004" s="278" t="s">
        <v>4109</v>
      </c>
      <c r="G1004" s="278" t="s">
        <v>4108</v>
      </c>
      <c r="H1004" s="306" t="s">
        <v>11219</v>
      </c>
      <c r="I1004" s="269" t="s">
        <v>11220</v>
      </c>
      <c r="J1004" s="306" t="s">
        <v>10969</v>
      </c>
    </row>
    <row r="1005" spans="1:10" ht="14.5" customHeight="1" x14ac:dyDescent="0.25">
      <c r="A1005" s="278" t="s">
        <v>3705</v>
      </c>
      <c r="B1005" s="278" t="s">
        <v>10904</v>
      </c>
      <c r="C1005" s="278" t="s">
        <v>10310</v>
      </c>
      <c r="D1005" s="279" t="s">
        <v>10311</v>
      </c>
      <c r="E1005" s="306" t="s">
        <v>10969</v>
      </c>
      <c r="F1005" s="278" t="s">
        <v>4109</v>
      </c>
      <c r="G1005" s="278" t="s">
        <v>4108</v>
      </c>
      <c r="H1005" s="306" t="s">
        <v>11240</v>
      </c>
      <c r="I1005" s="269" t="s">
        <v>11241</v>
      </c>
      <c r="J1005" s="306" t="s">
        <v>10969</v>
      </c>
    </row>
    <row r="1006" spans="1:10" ht="14.5" customHeight="1" x14ac:dyDescent="0.25">
      <c r="A1006" s="278" t="s">
        <v>3705</v>
      </c>
      <c r="B1006" s="278" t="s">
        <v>10904</v>
      </c>
      <c r="C1006" s="278" t="s">
        <v>10310</v>
      </c>
      <c r="D1006" s="279" t="s">
        <v>10311</v>
      </c>
      <c r="E1006" s="306" t="s">
        <v>10969</v>
      </c>
      <c r="F1006" s="278" t="s">
        <v>4109</v>
      </c>
      <c r="G1006" s="278" t="s">
        <v>4108</v>
      </c>
      <c r="H1006" s="306" t="s">
        <v>11187</v>
      </c>
      <c r="I1006" s="269" t="s">
        <v>11188</v>
      </c>
      <c r="J1006" s="306" t="s">
        <v>10969</v>
      </c>
    </row>
    <row r="1007" spans="1:10" ht="14.5" customHeight="1" x14ac:dyDescent="0.25">
      <c r="A1007" s="278" t="s">
        <v>3705</v>
      </c>
      <c r="B1007" s="278" t="s">
        <v>10904</v>
      </c>
      <c r="C1007" s="278" t="s">
        <v>10310</v>
      </c>
      <c r="D1007" s="279" t="s">
        <v>10311</v>
      </c>
      <c r="E1007" s="306" t="s">
        <v>10969</v>
      </c>
      <c r="F1007" s="278" t="s">
        <v>4109</v>
      </c>
      <c r="G1007" s="278" t="s">
        <v>4108</v>
      </c>
      <c r="H1007" s="306" t="s">
        <v>11221</v>
      </c>
      <c r="I1007" s="269" t="s">
        <v>11222</v>
      </c>
      <c r="J1007" s="306" t="s">
        <v>10969</v>
      </c>
    </row>
    <row r="1008" spans="1:10" ht="14.5" customHeight="1" x14ac:dyDescent="0.25">
      <c r="A1008" s="278" t="s">
        <v>3705</v>
      </c>
      <c r="B1008" s="278" t="s">
        <v>10904</v>
      </c>
      <c r="C1008" s="278" t="s">
        <v>10310</v>
      </c>
      <c r="D1008" s="279" t="s">
        <v>10311</v>
      </c>
      <c r="E1008" s="306" t="s">
        <v>10969</v>
      </c>
      <c r="F1008" s="278" t="s">
        <v>4109</v>
      </c>
      <c r="G1008" s="278" t="s">
        <v>4108</v>
      </c>
      <c r="H1008" s="306" t="s">
        <v>11238</v>
      </c>
      <c r="I1008" s="269" t="s">
        <v>11239</v>
      </c>
      <c r="J1008" s="306" t="s">
        <v>10969</v>
      </c>
    </row>
    <row r="1009" spans="1:10" ht="14.5" customHeight="1" x14ac:dyDescent="0.25">
      <c r="A1009" s="278" t="s">
        <v>3705</v>
      </c>
      <c r="B1009" s="278" t="s">
        <v>10904</v>
      </c>
      <c r="C1009" s="278" t="s">
        <v>10310</v>
      </c>
      <c r="D1009" s="279" t="s">
        <v>10311</v>
      </c>
      <c r="E1009" s="306" t="s">
        <v>10969</v>
      </c>
      <c r="F1009" s="278" t="s">
        <v>4109</v>
      </c>
      <c r="G1009" s="278" t="s">
        <v>4108</v>
      </c>
      <c r="H1009" s="306" t="s">
        <v>11193</v>
      </c>
      <c r="I1009" s="269" t="s">
        <v>11194</v>
      </c>
      <c r="J1009" s="306" t="s">
        <v>10969</v>
      </c>
    </row>
    <row r="1010" spans="1:10" ht="14.5" customHeight="1" x14ac:dyDescent="0.25">
      <c r="A1010" s="278" t="s">
        <v>3705</v>
      </c>
      <c r="B1010" s="278" t="s">
        <v>10904</v>
      </c>
      <c r="C1010" s="278" t="s">
        <v>10312</v>
      </c>
      <c r="D1010" s="279" t="s">
        <v>10313</v>
      </c>
      <c r="E1010" s="306" t="s">
        <v>10969</v>
      </c>
      <c r="F1010" s="278" t="s">
        <v>4109</v>
      </c>
      <c r="G1010" s="278" t="s">
        <v>4108</v>
      </c>
      <c r="H1010" s="306" t="s">
        <v>11240</v>
      </c>
      <c r="I1010" s="269" t="s">
        <v>11241</v>
      </c>
      <c r="J1010" s="306" t="s">
        <v>10969</v>
      </c>
    </row>
    <row r="1011" spans="1:10" ht="14.5" customHeight="1" x14ac:dyDescent="0.25">
      <c r="A1011" s="278" t="s">
        <v>3705</v>
      </c>
      <c r="B1011" s="278" t="s">
        <v>10904</v>
      </c>
      <c r="C1011" s="278" t="s">
        <v>10312</v>
      </c>
      <c r="D1011" s="279" t="s">
        <v>10313</v>
      </c>
      <c r="E1011" s="306" t="s">
        <v>10969</v>
      </c>
      <c r="F1011" s="278" t="s">
        <v>4109</v>
      </c>
      <c r="G1011" s="278" t="s">
        <v>4108</v>
      </c>
      <c r="H1011" s="306" t="s">
        <v>11238</v>
      </c>
      <c r="I1011" s="269" t="s">
        <v>11239</v>
      </c>
      <c r="J1011" s="306" t="s">
        <v>10969</v>
      </c>
    </row>
    <row r="1012" spans="1:10" ht="14.5" customHeight="1" x14ac:dyDescent="0.25">
      <c r="A1012" s="278" t="s">
        <v>3705</v>
      </c>
      <c r="B1012" s="278" t="s">
        <v>10904</v>
      </c>
      <c r="C1012" s="278" t="s">
        <v>10312</v>
      </c>
      <c r="D1012" s="279" t="s">
        <v>10313</v>
      </c>
      <c r="E1012" s="306" t="s">
        <v>10969</v>
      </c>
      <c r="F1012" s="278" t="s">
        <v>4109</v>
      </c>
      <c r="G1012" s="278" t="s">
        <v>4108</v>
      </c>
      <c r="H1012" s="306" t="s">
        <v>11193</v>
      </c>
      <c r="I1012" s="269" t="s">
        <v>11194</v>
      </c>
      <c r="J1012" s="306" t="s">
        <v>10969</v>
      </c>
    </row>
    <row r="1013" spans="1:10" ht="14.5" customHeight="1" x14ac:dyDescent="0.25">
      <c r="A1013" s="278" t="s">
        <v>3705</v>
      </c>
      <c r="B1013" s="278" t="s">
        <v>10904</v>
      </c>
      <c r="C1013" s="278" t="s">
        <v>10314</v>
      </c>
      <c r="D1013" s="279" t="s">
        <v>10315</v>
      </c>
      <c r="E1013" s="306" t="s">
        <v>10969</v>
      </c>
      <c r="F1013" s="278" t="s">
        <v>4109</v>
      </c>
      <c r="G1013" s="278" t="s">
        <v>4108</v>
      </c>
      <c r="H1013" s="306" t="s">
        <v>11240</v>
      </c>
      <c r="I1013" s="269" t="s">
        <v>11241</v>
      </c>
      <c r="J1013" s="306" t="s">
        <v>10969</v>
      </c>
    </row>
    <row r="1014" spans="1:10" ht="14.5" customHeight="1" x14ac:dyDescent="0.25">
      <c r="A1014" s="278" t="s">
        <v>3705</v>
      </c>
      <c r="B1014" s="278" t="s">
        <v>10904</v>
      </c>
      <c r="C1014" s="278" t="s">
        <v>10314</v>
      </c>
      <c r="D1014" s="279" t="s">
        <v>10315</v>
      </c>
      <c r="E1014" s="306" t="s">
        <v>10969</v>
      </c>
      <c r="F1014" s="278" t="s">
        <v>4109</v>
      </c>
      <c r="G1014" s="278" t="s">
        <v>4108</v>
      </c>
      <c r="H1014" s="306" t="s">
        <v>11187</v>
      </c>
      <c r="I1014" s="269" t="s">
        <v>11188</v>
      </c>
      <c r="J1014" s="306" t="s">
        <v>10969</v>
      </c>
    </row>
    <row r="1015" spans="1:10" ht="14.5" customHeight="1" x14ac:dyDescent="0.25">
      <c r="A1015" s="278" t="s">
        <v>3705</v>
      </c>
      <c r="B1015" s="278" t="s">
        <v>10904</v>
      </c>
      <c r="C1015" s="278" t="s">
        <v>10314</v>
      </c>
      <c r="D1015" s="279" t="s">
        <v>10315</v>
      </c>
      <c r="E1015" s="306" t="s">
        <v>10969</v>
      </c>
      <c r="F1015" s="278" t="s">
        <v>4109</v>
      </c>
      <c r="G1015" s="278" t="s">
        <v>4108</v>
      </c>
      <c r="H1015" s="306" t="s">
        <v>11238</v>
      </c>
      <c r="I1015" s="269" t="s">
        <v>11239</v>
      </c>
      <c r="J1015" s="306" t="s">
        <v>10969</v>
      </c>
    </row>
    <row r="1016" spans="1:10" ht="14.5" customHeight="1" x14ac:dyDescent="0.25">
      <c r="A1016" s="278" t="s">
        <v>3705</v>
      </c>
      <c r="B1016" s="278" t="s">
        <v>10904</v>
      </c>
      <c r="C1016" s="278" t="s">
        <v>10314</v>
      </c>
      <c r="D1016" s="279" t="s">
        <v>10315</v>
      </c>
      <c r="E1016" s="306" t="s">
        <v>10969</v>
      </c>
      <c r="F1016" s="278" t="s">
        <v>4109</v>
      </c>
      <c r="G1016" s="278" t="s">
        <v>4108</v>
      </c>
      <c r="H1016" s="306" t="s">
        <v>11193</v>
      </c>
      <c r="I1016" s="269" t="s">
        <v>11194</v>
      </c>
      <c r="J1016" s="306" t="s">
        <v>10969</v>
      </c>
    </row>
    <row r="1017" spans="1:10" ht="14.5" customHeight="1" x14ac:dyDescent="0.25">
      <c r="A1017" s="278" t="s">
        <v>3705</v>
      </c>
      <c r="B1017" s="278" t="s">
        <v>10904</v>
      </c>
      <c r="C1017" s="278" t="s">
        <v>10316</v>
      </c>
      <c r="D1017" s="279" t="s">
        <v>10317</v>
      </c>
      <c r="E1017" s="306" t="s">
        <v>10969</v>
      </c>
      <c r="F1017" s="278" t="s">
        <v>4109</v>
      </c>
      <c r="G1017" s="278" t="s">
        <v>4108</v>
      </c>
      <c r="H1017" s="306" t="s">
        <v>11240</v>
      </c>
      <c r="I1017" s="269" t="s">
        <v>11241</v>
      </c>
      <c r="J1017" s="306" t="s">
        <v>10969</v>
      </c>
    </row>
    <row r="1018" spans="1:10" ht="14.5" customHeight="1" x14ac:dyDescent="0.25">
      <c r="A1018" s="278" t="s">
        <v>3705</v>
      </c>
      <c r="B1018" s="278" t="s">
        <v>10904</v>
      </c>
      <c r="C1018" s="278" t="s">
        <v>10316</v>
      </c>
      <c r="D1018" s="279" t="s">
        <v>10317</v>
      </c>
      <c r="E1018" s="306" t="s">
        <v>10969</v>
      </c>
      <c r="F1018" s="278" t="s">
        <v>4109</v>
      </c>
      <c r="G1018" s="278" t="s">
        <v>4108</v>
      </c>
      <c r="H1018" s="306" t="s">
        <v>11187</v>
      </c>
      <c r="I1018" s="269" t="s">
        <v>11188</v>
      </c>
      <c r="J1018" s="306" t="s">
        <v>10969</v>
      </c>
    </row>
    <row r="1019" spans="1:10" ht="14.5" customHeight="1" x14ac:dyDescent="0.25">
      <c r="A1019" s="278" t="s">
        <v>3705</v>
      </c>
      <c r="B1019" s="278" t="s">
        <v>10904</v>
      </c>
      <c r="C1019" s="278" t="s">
        <v>10316</v>
      </c>
      <c r="D1019" s="279" t="s">
        <v>10317</v>
      </c>
      <c r="E1019" s="306" t="s">
        <v>10969</v>
      </c>
      <c r="F1019" s="278" t="s">
        <v>4109</v>
      </c>
      <c r="G1019" s="278" t="s">
        <v>4108</v>
      </c>
      <c r="H1019" s="306" t="s">
        <v>11205</v>
      </c>
      <c r="I1019" s="269" t="s">
        <v>11206</v>
      </c>
      <c r="J1019" s="306" t="s">
        <v>10969</v>
      </c>
    </row>
    <row r="1020" spans="1:10" ht="14.5" customHeight="1" x14ac:dyDescent="0.25">
      <c r="A1020" s="278" t="s">
        <v>3705</v>
      </c>
      <c r="B1020" s="278" t="s">
        <v>10904</v>
      </c>
      <c r="C1020" s="278" t="s">
        <v>10316</v>
      </c>
      <c r="D1020" s="279" t="s">
        <v>10317</v>
      </c>
      <c r="E1020" s="306" t="s">
        <v>10969</v>
      </c>
      <c r="F1020" s="278" t="s">
        <v>4109</v>
      </c>
      <c r="G1020" s="278" t="s">
        <v>4108</v>
      </c>
      <c r="H1020" s="306" t="s">
        <v>11238</v>
      </c>
      <c r="I1020" s="269" t="s">
        <v>11239</v>
      </c>
      <c r="J1020" s="306" t="s">
        <v>10969</v>
      </c>
    </row>
    <row r="1021" spans="1:10" ht="14.5" customHeight="1" x14ac:dyDescent="0.25">
      <c r="A1021" s="278" t="s">
        <v>3705</v>
      </c>
      <c r="B1021" s="278" t="s">
        <v>10904</v>
      </c>
      <c r="C1021" s="278" t="s">
        <v>10316</v>
      </c>
      <c r="D1021" s="279" t="s">
        <v>10317</v>
      </c>
      <c r="E1021" s="306" t="s">
        <v>10969</v>
      </c>
      <c r="F1021" s="278" t="s">
        <v>4109</v>
      </c>
      <c r="G1021" s="278" t="s">
        <v>4108</v>
      </c>
      <c r="H1021" s="306" t="s">
        <v>11193</v>
      </c>
      <c r="I1021" s="269" t="s">
        <v>11194</v>
      </c>
      <c r="J1021" s="306" t="s">
        <v>10969</v>
      </c>
    </row>
    <row r="1022" spans="1:10" ht="14.5" customHeight="1" x14ac:dyDescent="0.25">
      <c r="A1022" s="278" t="s">
        <v>3705</v>
      </c>
      <c r="B1022" s="278" t="s">
        <v>10904</v>
      </c>
      <c r="C1022" s="278" t="s">
        <v>10318</v>
      </c>
      <c r="D1022" s="279" t="s">
        <v>10319</v>
      </c>
      <c r="E1022" s="306" t="s">
        <v>10969</v>
      </c>
      <c r="F1022" s="278" t="s">
        <v>4109</v>
      </c>
      <c r="G1022" s="278" t="s">
        <v>4108</v>
      </c>
      <c r="H1022" s="306" t="s">
        <v>11240</v>
      </c>
      <c r="I1022" s="269" t="s">
        <v>11241</v>
      </c>
      <c r="J1022" s="306" t="s">
        <v>10969</v>
      </c>
    </row>
    <row r="1023" spans="1:10" ht="14.5" customHeight="1" x14ac:dyDescent="0.25">
      <c r="A1023" s="278" t="s">
        <v>3705</v>
      </c>
      <c r="B1023" s="278" t="s">
        <v>10904</v>
      </c>
      <c r="C1023" s="278" t="s">
        <v>10318</v>
      </c>
      <c r="D1023" s="279" t="s">
        <v>10319</v>
      </c>
      <c r="E1023" s="306" t="s">
        <v>10969</v>
      </c>
      <c r="F1023" s="278" t="s">
        <v>4109</v>
      </c>
      <c r="G1023" s="278" t="s">
        <v>4108</v>
      </c>
      <c r="H1023" s="306" t="s">
        <v>11187</v>
      </c>
      <c r="I1023" s="269" t="s">
        <v>11188</v>
      </c>
      <c r="J1023" s="306" t="s">
        <v>10969</v>
      </c>
    </row>
    <row r="1024" spans="1:10" ht="14.5" customHeight="1" x14ac:dyDescent="0.25">
      <c r="A1024" s="278" t="s">
        <v>3705</v>
      </c>
      <c r="B1024" s="278" t="s">
        <v>10904</v>
      </c>
      <c r="C1024" s="278" t="s">
        <v>10318</v>
      </c>
      <c r="D1024" s="279" t="s">
        <v>10319</v>
      </c>
      <c r="E1024" s="306" t="s">
        <v>10969</v>
      </c>
      <c r="F1024" s="278" t="s">
        <v>4109</v>
      </c>
      <c r="G1024" s="278" t="s">
        <v>4108</v>
      </c>
      <c r="H1024" s="306" t="s">
        <v>11205</v>
      </c>
      <c r="I1024" s="269" t="s">
        <v>11206</v>
      </c>
      <c r="J1024" s="306" t="s">
        <v>10969</v>
      </c>
    </row>
    <row r="1025" spans="1:10" ht="14.5" customHeight="1" x14ac:dyDescent="0.25">
      <c r="A1025" s="278" t="s">
        <v>3705</v>
      </c>
      <c r="B1025" s="278" t="s">
        <v>10904</v>
      </c>
      <c r="C1025" s="278" t="s">
        <v>10318</v>
      </c>
      <c r="D1025" s="279" t="s">
        <v>10319</v>
      </c>
      <c r="E1025" s="306" t="s">
        <v>10969</v>
      </c>
      <c r="F1025" s="278" t="s">
        <v>4109</v>
      </c>
      <c r="G1025" s="278" t="s">
        <v>4108</v>
      </c>
      <c r="H1025" s="306" t="s">
        <v>11238</v>
      </c>
      <c r="I1025" s="269" t="s">
        <v>11239</v>
      </c>
      <c r="J1025" s="306" t="s">
        <v>10969</v>
      </c>
    </row>
    <row r="1026" spans="1:10" ht="14.5" customHeight="1" x14ac:dyDescent="0.25">
      <c r="A1026" s="278" t="s">
        <v>3705</v>
      </c>
      <c r="B1026" s="278" t="s">
        <v>10904</v>
      </c>
      <c r="C1026" s="278" t="s">
        <v>10318</v>
      </c>
      <c r="D1026" s="279" t="s">
        <v>10319</v>
      </c>
      <c r="E1026" s="306" t="s">
        <v>10969</v>
      </c>
      <c r="F1026" s="278" t="s">
        <v>4109</v>
      </c>
      <c r="G1026" s="278" t="s">
        <v>4108</v>
      </c>
      <c r="H1026" s="306" t="s">
        <v>11193</v>
      </c>
      <c r="I1026" s="269" t="s">
        <v>11194</v>
      </c>
      <c r="J1026" s="306" t="s">
        <v>10969</v>
      </c>
    </row>
    <row r="1027" spans="1:10" ht="14.5" customHeight="1" x14ac:dyDescent="0.25">
      <c r="A1027" s="278" t="s">
        <v>3705</v>
      </c>
      <c r="B1027" s="278" t="s">
        <v>10904</v>
      </c>
      <c r="C1027" s="278" t="s">
        <v>10320</v>
      </c>
      <c r="D1027" s="279" t="s">
        <v>10321</v>
      </c>
      <c r="E1027" s="306" t="s">
        <v>10969</v>
      </c>
      <c r="F1027" s="278" t="s">
        <v>4109</v>
      </c>
      <c r="G1027" s="278" t="s">
        <v>4108</v>
      </c>
      <c r="H1027" s="306" t="s">
        <v>11240</v>
      </c>
      <c r="I1027" s="269" t="s">
        <v>11241</v>
      </c>
      <c r="J1027" s="306" t="s">
        <v>10969</v>
      </c>
    </row>
    <row r="1028" spans="1:10" ht="14.5" customHeight="1" x14ac:dyDescent="0.25">
      <c r="A1028" s="278" t="s">
        <v>3705</v>
      </c>
      <c r="B1028" s="278" t="s">
        <v>10904</v>
      </c>
      <c r="C1028" s="278" t="s">
        <v>10320</v>
      </c>
      <c r="D1028" s="279" t="s">
        <v>10321</v>
      </c>
      <c r="E1028" s="306" t="s">
        <v>10969</v>
      </c>
      <c r="F1028" s="278" t="s">
        <v>4109</v>
      </c>
      <c r="G1028" s="278" t="s">
        <v>4108</v>
      </c>
      <c r="H1028" s="306" t="s">
        <v>11187</v>
      </c>
      <c r="I1028" s="269" t="s">
        <v>11188</v>
      </c>
      <c r="J1028" s="306" t="s">
        <v>10969</v>
      </c>
    </row>
    <row r="1029" spans="1:10" ht="14.5" customHeight="1" x14ac:dyDescent="0.25">
      <c r="A1029" s="278" t="s">
        <v>3705</v>
      </c>
      <c r="B1029" s="278" t="s">
        <v>10904</v>
      </c>
      <c r="C1029" s="278" t="s">
        <v>10320</v>
      </c>
      <c r="D1029" s="279" t="s">
        <v>10321</v>
      </c>
      <c r="E1029" s="306" t="s">
        <v>10969</v>
      </c>
      <c r="F1029" s="278" t="s">
        <v>4109</v>
      </c>
      <c r="G1029" s="278" t="s">
        <v>4108</v>
      </c>
      <c r="H1029" s="306" t="s">
        <v>11205</v>
      </c>
      <c r="I1029" s="269" t="s">
        <v>11206</v>
      </c>
      <c r="J1029" s="306" t="s">
        <v>10969</v>
      </c>
    </row>
    <row r="1030" spans="1:10" ht="14.5" customHeight="1" x14ac:dyDescent="0.25">
      <c r="A1030" s="278" t="s">
        <v>3705</v>
      </c>
      <c r="B1030" s="278" t="s">
        <v>10904</v>
      </c>
      <c r="C1030" s="278" t="s">
        <v>10320</v>
      </c>
      <c r="D1030" s="279" t="s">
        <v>10321</v>
      </c>
      <c r="E1030" s="306" t="s">
        <v>10969</v>
      </c>
      <c r="F1030" s="278" t="s">
        <v>4109</v>
      </c>
      <c r="G1030" s="278" t="s">
        <v>4108</v>
      </c>
      <c r="H1030" s="306" t="s">
        <v>11238</v>
      </c>
      <c r="I1030" s="269" t="s">
        <v>11239</v>
      </c>
      <c r="J1030" s="306" t="s">
        <v>10969</v>
      </c>
    </row>
    <row r="1031" spans="1:10" ht="14.5" customHeight="1" x14ac:dyDescent="0.25">
      <c r="A1031" s="278" t="s">
        <v>3705</v>
      </c>
      <c r="B1031" s="278" t="s">
        <v>10904</v>
      </c>
      <c r="C1031" s="278" t="s">
        <v>10320</v>
      </c>
      <c r="D1031" s="279" t="s">
        <v>10321</v>
      </c>
      <c r="E1031" s="306" t="s">
        <v>10969</v>
      </c>
      <c r="F1031" s="278" t="s">
        <v>4109</v>
      </c>
      <c r="G1031" s="278" t="s">
        <v>4108</v>
      </c>
      <c r="H1031" s="306" t="s">
        <v>11193</v>
      </c>
      <c r="I1031" s="269" t="s">
        <v>11194</v>
      </c>
      <c r="J1031" s="306" t="s">
        <v>10969</v>
      </c>
    </row>
    <row r="1032" spans="1:10" ht="14.5" customHeight="1" x14ac:dyDescent="0.25">
      <c r="A1032" s="278" t="s">
        <v>3705</v>
      </c>
      <c r="B1032" s="278" t="s">
        <v>10904</v>
      </c>
      <c r="C1032" s="278" t="s">
        <v>10322</v>
      </c>
      <c r="D1032" s="279" t="s">
        <v>10323</v>
      </c>
      <c r="E1032" s="306" t="s">
        <v>10969</v>
      </c>
      <c r="F1032" s="278" t="s">
        <v>4109</v>
      </c>
      <c r="G1032" s="278" t="s">
        <v>4108</v>
      </c>
      <c r="H1032" s="306" t="s">
        <v>11240</v>
      </c>
      <c r="I1032" s="269" t="s">
        <v>11241</v>
      </c>
      <c r="J1032" s="306" t="s">
        <v>10969</v>
      </c>
    </row>
    <row r="1033" spans="1:10" ht="14.5" customHeight="1" x14ac:dyDescent="0.25">
      <c r="A1033" s="278" t="s">
        <v>3705</v>
      </c>
      <c r="B1033" s="278" t="s">
        <v>10904</v>
      </c>
      <c r="C1033" s="278" t="s">
        <v>10322</v>
      </c>
      <c r="D1033" s="279" t="s">
        <v>10323</v>
      </c>
      <c r="E1033" s="306" t="s">
        <v>10969</v>
      </c>
      <c r="F1033" s="278" t="s">
        <v>4109</v>
      </c>
      <c r="G1033" s="278" t="s">
        <v>4108</v>
      </c>
      <c r="H1033" s="306" t="s">
        <v>11187</v>
      </c>
      <c r="I1033" s="269" t="s">
        <v>11188</v>
      </c>
      <c r="J1033" s="306" t="s">
        <v>10969</v>
      </c>
    </row>
    <row r="1034" spans="1:10" ht="14.5" customHeight="1" x14ac:dyDescent="0.25">
      <c r="A1034" s="278" t="s">
        <v>3705</v>
      </c>
      <c r="B1034" s="278" t="s">
        <v>10904</v>
      </c>
      <c r="C1034" s="278" t="s">
        <v>10322</v>
      </c>
      <c r="D1034" s="279" t="s">
        <v>10323</v>
      </c>
      <c r="E1034" s="306" t="s">
        <v>10969</v>
      </c>
      <c r="F1034" s="278" t="s">
        <v>4109</v>
      </c>
      <c r="G1034" s="278" t="s">
        <v>4108</v>
      </c>
      <c r="H1034" s="306" t="s">
        <v>11205</v>
      </c>
      <c r="I1034" s="269" t="s">
        <v>11206</v>
      </c>
      <c r="J1034" s="306" t="s">
        <v>10969</v>
      </c>
    </row>
    <row r="1035" spans="1:10" ht="14.5" customHeight="1" x14ac:dyDescent="0.25">
      <c r="A1035" s="278" t="s">
        <v>3705</v>
      </c>
      <c r="B1035" s="278" t="s">
        <v>10904</v>
      </c>
      <c r="C1035" s="278" t="s">
        <v>10322</v>
      </c>
      <c r="D1035" s="279" t="s">
        <v>10323</v>
      </c>
      <c r="E1035" s="306" t="s">
        <v>10969</v>
      </c>
      <c r="F1035" s="278" t="s">
        <v>4109</v>
      </c>
      <c r="G1035" s="278" t="s">
        <v>4108</v>
      </c>
      <c r="H1035" s="306" t="s">
        <v>11238</v>
      </c>
      <c r="I1035" s="269" t="s">
        <v>11239</v>
      </c>
      <c r="J1035" s="306" t="s">
        <v>10969</v>
      </c>
    </row>
    <row r="1036" spans="1:10" ht="14.5" customHeight="1" x14ac:dyDescent="0.25">
      <c r="A1036" s="278" t="s">
        <v>3705</v>
      </c>
      <c r="B1036" s="278" t="s">
        <v>10904</v>
      </c>
      <c r="C1036" s="278" t="s">
        <v>10322</v>
      </c>
      <c r="D1036" s="279" t="s">
        <v>10323</v>
      </c>
      <c r="E1036" s="306" t="s">
        <v>10969</v>
      </c>
      <c r="F1036" s="278" t="s">
        <v>4109</v>
      </c>
      <c r="G1036" s="278" t="s">
        <v>4108</v>
      </c>
      <c r="H1036" s="306" t="s">
        <v>11193</v>
      </c>
      <c r="I1036" s="269" t="s">
        <v>11194</v>
      </c>
      <c r="J1036" s="306" t="s">
        <v>10969</v>
      </c>
    </row>
    <row r="1037" spans="1:10" ht="14.5" customHeight="1" x14ac:dyDescent="0.25">
      <c r="A1037" s="278" t="s">
        <v>3705</v>
      </c>
      <c r="B1037" s="278" t="s">
        <v>10904</v>
      </c>
      <c r="C1037" s="278" t="s">
        <v>10324</v>
      </c>
      <c r="D1037" s="279" t="s">
        <v>10325</v>
      </c>
      <c r="E1037" s="306" t="s">
        <v>10969</v>
      </c>
      <c r="F1037" s="278" t="s">
        <v>4109</v>
      </c>
      <c r="G1037" s="278" t="s">
        <v>4108</v>
      </c>
      <c r="H1037" s="306" t="s">
        <v>11240</v>
      </c>
      <c r="I1037" s="269" t="s">
        <v>11241</v>
      </c>
      <c r="J1037" s="306" t="s">
        <v>10969</v>
      </c>
    </row>
    <row r="1038" spans="1:10" ht="14.5" customHeight="1" x14ac:dyDescent="0.25">
      <c r="A1038" s="278" t="s">
        <v>3705</v>
      </c>
      <c r="B1038" s="278" t="s">
        <v>10904</v>
      </c>
      <c r="C1038" s="278" t="s">
        <v>10324</v>
      </c>
      <c r="D1038" s="279" t="s">
        <v>10325</v>
      </c>
      <c r="E1038" s="306" t="s">
        <v>10969</v>
      </c>
      <c r="F1038" s="278" t="s">
        <v>4109</v>
      </c>
      <c r="G1038" s="278" t="s">
        <v>4108</v>
      </c>
      <c r="H1038" s="306" t="s">
        <v>11187</v>
      </c>
      <c r="I1038" s="269" t="s">
        <v>11188</v>
      </c>
      <c r="J1038" s="306" t="s">
        <v>10969</v>
      </c>
    </row>
    <row r="1039" spans="1:10" ht="14.5" customHeight="1" x14ac:dyDescent="0.25">
      <c r="A1039" s="278" t="s">
        <v>3705</v>
      </c>
      <c r="B1039" s="278" t="s">
        <v>10904</v>
      </c>
      <c r="C1039" s="278" t="s">
        <v>10324</v>
      </c>
      <c r="D1039" s="279" t="s">
        <v>10325</v>
      </c>
      <c r="E1039" s="306" t="s">
        <v>10969</v>
      </c>
      <c r="F1039" s="278" t="s">
        <v>4109</v>
      </c>
      <c r="G1039" s="278" t="s">
        <v>4108</v>
      </c>
      <c r="H1039" s="306" t="s">
        <v>11205</v>
      </c>
      <c r="I1039" s="269" t="s">
        <v>11206</v>
      </c>
      <c r="J1039" s="306" t="s">
        <v>10969</v>
      </c>
    </row>
    <row r="1040" spans="1:10" ht="14.5" customHeight="1" x14ac:dyDescent="0.25">
      <c r="A1040" s="278" t="s">
        <v>3705</v>
      </c>
      <c r="B1040" s="278" t="s">
        <v>10904</v>
      </c>
      <c r="C1040" s="278" t="s">
        <v>10324</v>
      </c>
      <c r="D1040" s="279" t="s">
        <v>10325</v>
      </c>
      <c r="E1040" s="306" t="s">
        <v>10969</v>
      </c>
      <c r="F1040" s="278" t="s">
        <v>4109</v>
      </c>
      <c r="G1040" s="278" t="s">
        <v>4108</v>
      </c>
      <c r="H1040" s="306" t="s">
        <v>11238</v>
      </c>
      <c r="I1040" s="269" t="s">
        <v>11239</v>
      </c>
      <c r="J1040" s="306" t="s">
        <v>10969</v>
      </c>
    </row>
    <row r="1041" spans="1:10" ht="14.5" customHeight="1" x14ac:dyDescent="0.25">
      <c r="A1041" s="278" t="s">
        <v>3705</v>
      </c>
      <c r="B1041" s="278" t="s">
        <v>10904</v>
      </c>
      <c r="C1041" s="278" t="s">
        <v>10324</v>
      </c>
      <c r="D1041" s="279" t="s">
        <v>10325</v>
      </c>
      <c r="E1041" s="306" t="s">
        <v>10969</v>
      </c>
      <c r="F1041" s="278" t="s">
        <v>4109</v>
      </c>
      <c r="G1041" s="278" t="s">
        <v>4108</v>
      </c>
      <c r="H1041" s="306" t="s">
        <v>11193</v>
      </c>
      <c r="I1041" s="269" t="s">
        <v>11194</v>
      </c>
      <c r="J1041" s="306" t="s">
        <v>10969</v>
      </c>
    </row>
    <row r="1042" spans="1:10" ht="14.5" customHeight="1" x14ac:dyDescent="0.25">
      <c r="A1042" s="278" t="s">
        <v>3705</v>
      </c>
      <c r="B1042" s="278" t="s">
        <v>10904</v>
      </c>
      <c r="C1042" s="278" t="s">
        <v>10326</v>
      </c>
      <c r="D1042" s="279" t="s">
        <v>10327</v>
      </c>
      <c r="E1042" s="306" t="s">
        <v>10969</v>
      </c>
      <c r="F1042" s="278" t="s">
        <v>4109</v>
      </c>
      <c r="G1042" s="278" t="s">
        <v>4108</v>
      </c>
      <c r="H1042" s="306" t="s">
        <v>11240</v>
      </c>
      <c r="I1042" s="269" t="s">
        <v>11241</v>
      </c>
      <c r="J1042" s="306" t="s">
        <v>10969</v>
      </c>
    </row>
    <row r="1043" spans="1:10" ht="14.5" customHeight="1" x14ac:dyDescent="0.25">
      <c r="A1043" s="278" t="s">
        <v>3705</v>
      </c>
      <c r="B1043" s="278" t="s">
        <v>10904</v>
      </c>
      <c r="C1043" s="278" t="s">
        <v>10326</v>
      </c>
      <c r="D1043" s="279" t="s">
        <v>10327</v>
      </c>
      <c r="E1043" s="306" t="s">
        <v>10969</v>
      </c>
      <c r="F1043" s="278" t="s">
        <v>4109</v>
      </c>
      <c r="G1043" s="278" t="s">
        <v>4108</v>
      </c>
      <c r="H1043" s="306" t="s">
        <v>11187</v>
      </c>
      <c r="I1043" s="269" t="s">
        <v>11188</v>
      </c>
      <c r="J1043" s="306" t="s">
        <v>10969</v>
      </c>
    </row>
    <row r="1044" spans="1:10" ht="14.5" customHeight="1" x14ac:dyDescent="0.25">
      <c r="A1044" s="278" t="s">
        <v>3705</v>
      </c>
      <c r="B1044" s="278" t="s">
        <v>10904</v>
      </c>
      <c r="C1044" s="278" t="s">
        <v>10326</v>
      </c>
      <c r="D1044" s="279" t="s">
        <v>10327</v>
      </c>
      <c r="E1044" s="306" t="s">
        <v>10969</v>
      </c>
      <c r="F1044" s="278" t="s">
        <v>4109</v>
      </c>
      <c r="G1044" s="278" t="s">
        <v>4108</v>
      </c>
      <c r="H1044" s="306" t="s">
        <v>11205</v>
      </c>
      <c r="I1044" s="269" t="s">
        <v>11206</v>
      </c>
      <c r="J1044" s="306" t="s">
        <v>10969</v>
      </c>
    </row>
    <row r="1045" spans="1:10" ht="14.5" customHeight="1" x14ac:dyDescent="0.25">
      <c r="A1045" s="278" t="s">
        <v>3705</v>
      </c>
      <c r="B1045" s="278" t="s">
        <v>10904</v>
      </c>
      <c r="C1045" s="278" t="s">
        <v>10326</v>
      </c>
      <c r="D1045" s="279" t="s">
        <v>10327</v>
      </c>
      <c r="E1045" s="306" t="s">
        <v>10969</v>
      </c>
      <c r="F1045" s="278" t="s">
        <v>4109</v>
      </c>
      <c r="G1045" s="278" t="s">
        <v>4108</v>
      </c>
      <c r="H1045" s="306" t="s">
        <v>11238</v>
      </c>
      <c r="I1045" s="269" t="s">
        <v>11239</v>
      </c>
      <c r="J1045" s="306" t="s">
        <v>10969</v>
      </c>
    </row>
    <row r="1046" spans="1:10" ht="14.5" customHeight="1" x14ac:dyDescent="0.25">
      <c r="A1046" s="278" t="s">
        <v>3705</v>
      </c>
      <c r="B1046" s="278" t="s">
        <v>10904</v>
      </c>
      <c r="C1046" s="278" t="s">
        <v>10326</v>
      </c>
      <c r="D1046" s="279" t="s">
        <v>10327</v>
      </c>
      <c r="E1046" s="306" t="s">
        <v>10969</v>
      </c>
      <c r="F1046" s="278" t="s">
        <v>4109</v>
      </c>
      <c r="G1046" s="278" t="s">
        <v>4108</v>
      </c>
      <c r="H1046" s="306" t="s">
        <v>11193</v>
      </c>
      <c r="I1046" s="269" t="s">
        <v>11194</v>
      </c>
      <c r="J1046" s="306" t="s">
        <v>10969</v>
      </c>
    </row>
    <row r="1047" spans="1:10" ht="14.5" customHeight="1" x14ac:dyDescent="0.25">
      <c r="A1047" s="278" t="s">
        <v>3705</v>
      </c>
      <c r="B1047" s="278" t="s">
        <v>10904</v>
      </c>
      <c r="C1047" s="278" t="s">
        <v>10328</v>
      </c>
      <c r="D1047" s="279" t="s">
        <v>10329</v>
      </c>
      <c r="E1047" s="306" t="s">
        <v>10969</v>
      </c>
      <c r="F1047" s="278" t="s">
        <v>4109</v>
      </c>
      <c r="G1047" s="278" t="s">
        <v>4108</v>
      </c>
      <c r="H1047" s="306" t="s">
        <v>11240</v>
      </c>
      <c r="I1047" s="269" t="s">
        <v>11241</v>
      </c>
      <c r="J1047" s="306" t="s">
        <v>10969</v>
      </c>
    </row>
    <row r="1048" spans="1:10" ht="14.5" customHeight="1" x14ac:dyDescent="0.25">
      <c r="A1048" s="278" t="s">
        <v>3705</v>
      </c>
      <c r="B1048" s="278" t="s">
        <v>10904</v>
      </c>
      <c r="C1048" s="278" t="s">
        <v>10328</v>
      </c>
      <c r="D1048" s="279" t="s">
        <v>10329</v>
      </c>
      <c r="E1048" s="306" t="s">
        <v>10969</v>
      </c>
      <c r="F1048" s="278" t="s">
        <v>4109</v>
      </c>
      <c r="G1048" s="278" t="s">
        <v>4108</v>
      </c>
      <c r="H1048" s="306" t="s">
        <v>11187</v>
      </c>
      <c r="I1048" s="269" t="s">
        <v>11188</v>
      </c>
      <c r="J1048" s="306" t="s">
        <v>10969</v>
      </c>
    </row>
    <row r="1049" spans="1:10" ht="14.5" customHeight="1" x14ac:dyDescent="0.25">
      <c r="A1049" s="278" t="s">
        <v>3705</v>
      </c>
      <c r="B1049" s="278" t="s">
        <v>10904</v>
      </c>
      <c r="C1049" s="278" t="s">
        <v>10328</v>
      </c>
      <c r="D1049" s="279" t="s">
        <v>10329</v>
      </c>
      <c r="E1049" s="306" t="s">
        <v>10969</v>
      </c>
      <c r="F1049" s="278" t="s">
        <v>4109</v>
      </c>
      <c r="G1049" s="278" t="s">
        <v>4108</v>
      </c>
      <c r="H1049" s="306" t="s">
        <v>11205</v>
      </c>
      <c r="I1049" s="269" t="s">
        <v>11206</v>
      </c>
      <c r="J1049" s="306" t="s">
        <v>10969</v>
      </c>
    </row>
    <row r="1050" spans="1:10" ht="14.5" customHeight="1" x14ac:dyDescent="0.25">
      <c r="A1050" s="278" t="s">
        <v>3705</v>
      </c>
      <c r="B1050" s="278" t="s">
        <v>10904</v>
      </c>
      <c r="C1050" s="278" t="s">
        <v>10328</v>
      </c>
      <c r="D1050" s="279" t="s">
        <v>10329</v>
      </c>
      <c r="E1050" s="306" t="s">
        <v>10969</v>
      </c>
      <c r="F1050" s="278" t="s">
        <v>4109</v>
      </c>
      <c r="G1050" s="278" t="s">
        <v>4108</v>
      </c>
      <c r="H1050" s="306" t="s">
        <v>11238</v>
      </c>
      <c r="I1050" s="269" t="s">
        <v>11239</v>
      </c>
      <c r="J1050" s="306" t="s">
        <v>10969</v>
      </c>
    </row>
    <row r="1051" spans="1:10" ht="14.5" customHeight="1" x14ac:dyDescent="0.25">
      <c r="A1051" s="278" t="s">
        <v>3705</v>
      </c>
      <c r="B1051" s="278" t="s">
        <v>10904</v>
      </c>
      <c r="C1051" s="278" t="s">
        <v>10328</v>
      </c>
      <c r="D1051" s="279" t="s">
        <v>10329</v>
      </c>
      <c r="E1051" s="306" t="s">
        <v>10969</v>
      </c>
      <c r="F1051" s="278" t="s">
        <v>4109</v>
      </c>
      <c r="G1051" s="278" t="s">
        <v>4108</v>
      </c>
      <c r="H1051" s="306" t="s">
        <v>11193</v>
      </c>
      <c r="I1051" s="269" t="s">
        <v>11194</v>
      </c>
      <c r="J1051" s="306" t="s">
        <v>10969</v>
      </c>
    </row>
    <row r="1052" spans="1:10" ht="14.5" customHeight="1" x14ac:dyDescent="0.25">
      <c r="A1052" s="278" t="s">
        <v>3705</v>
      </c>
      <c r="B1052" s="278" t="s">
        <v>10904</v>
      </c>
      <c r="C1052" s="278" t="s">
        <v>10330</v>
      </c>
      <c r="D1052" s="279" t="s">
        <v>10331</v>
      </c>
      <c r="E1052" s="306" t="s">
        <v>10969</v>
      </c>
      <c r="F1052" s="278" t="s">
        <v>4109</v>
      </c>
      <c r="G1052" s="278" t="s">
        <v>4109</v>
      </c>
      <c r="H1052" s="306" t="s">
        <v>11240</v>
      </c>
      <c r="I1052" s="269" t="s">
        <v>11241</v>
      </c>
      <c r="J1052" s="306" t="s">
        <v>10969</v>
      </c>
    </row>
    <row r="1053" spans="1:10" ht="14.5" customHeight="1" x14ac:dyDescent="0.25">
      <c r="A1053" s="278" t="s">
        <v>3705</v>
      </c>
      <c r="B1053" s="278" t="s">
        <v>10904</v>
      </c>
      <c r="C1053" s="278" t="s">
        <v>10330</v>
      </c>
      <c r="D1053" s="279" t="s">
        <v>10331</v>
      </c>
      <c r="E1053" s="306" t="s">
        <v>10969</v>
      </c>
      <c r="F1053" s="278" t="s">
        <v>4109</v>
      </c>
      <c r="G1053" s="278" t="s">
        <v>4109</v>
      </c>
      <c r="H1053" s="306" t="s">
        <v>11187</v>
      </c>
      <c r="I1053" s="269" t="s">
        <v>11188</v>
      </c>
      <c r="J1053" s="306" t="s">
        <v>10969</v>
      </c>
    </row>
    <row r="1054" spans="1:10" ht="14.5" customHeight="1" x14ac:dyDescent="0.25">
      <c r="A1054" s="278" t="s">
        <v>3705</v>
      </c>
      <c r="B1054" s="278" t="s">
        <v>10904</v>
      </c>
      <c r="C1054" s="278" t="s">
        <v>10330</v>
      </c>
      <c r="D1054" s="279" t="s">
        <v>10331</v>
      </c>
      <c r="E1054" s="306" t="s">
        <v>10969</v>
      </c>
      <c r="F1054" s="278" t="s">
        <v>4109</v>
      </c>
      <c r="G1054" s="278" t="s">
        <v>4109</v>
      </c>
      <c r="H1054" s="306" t="s">
        <v>11205</v>
      </c>
      <c r="I1054" s="269" t="s">
        <v>11206</v>
      </c>
      <c r="J1054" s="306" t="s">
        <v>10969</v>
      </c>
    </row>
    <row r="1055" spans="1:10" ht="14.5" customHeight="1" x14ac:dyDescent="0.25">
      <c r="A1055" s="278" t="s">
        <v>3705</v>
      </c>
      <c r="B1055" s="278" t="s">
        <v>10904</v>
      </c>
      <c r="C1055" s="278" t="s">
        <v>10330</v>
      </c>
      <c r="D1055" s="279" t="s">
        <v>10331</v>
      </c>
      <c r="E1055" s="306" t="s">
        <v>10969</v>
      </c>
      <c r="F1055" s="278" t="s">
        <v>4109</v>
      </c>
      <c r="G1055" s="278" t="s">
        <v>4109</v>
      </c>
      <c r="H1055" s="306" t="s">
        <v>11238</v>
      </c>
      <c r="I1055" s="269" t="s">
        <v>11239</v>
      </c>
      <c r="J1055" s="306" t="s">
        <v>10969</v>
      </c>
    </row>
    <row r="1056" spans="1:10" ht="14.5" customHeight="1" x14ac:dyDescent="0.25">
      <c r="A1056" s="278" t="s">
        <v>3705</v>
      </c>
      <c r="B1056" s="278" t="s">
        <v>10904</v>
      </c>
      <c r="C1056" s="278" t="s">
        <v>10330</v>
      </c>
      <c r="D1056" s="279" t="s">
        <v>10331</v>
      </c>
      <c r="E1056" s="306" t="s">
        <v>10969</v>
      </c>
      <c r="F1056" s="278" t="s">
        <v>4109</v>
      </c>
      <c r="G1056" s="278" t="s">
        <v>4109</v>
      </c>
      <c r="H1056" s="306" t="s">
        <v>11193</v>
      </c>
      <c r="I1056" s="269" t="s">
        <v>11194</v>
      </c>
      <c r="J1056" s="306" t="s">
        <v>10969</v>
      </c>
    </row>
    <row r="1057" spans="1:10" ht="14.5" customHeight="1" x14ac:dyDescent="0.25">
      <c r="A1057" s="278" t="s">
        <v>3705</v>
      </c>
      <c r="B1057" s="278" t="s">
        <v>10904</v>
      </c>
      <c r="C1057" s="278" t="s">
        <v>10332</v>
      </c>
      <c r="D1057" s="279" t="s">
        <v>10333</v>
      </c>
      <c r="E1057" s="306" t="s">
        <v>10969</v>
      </c>
      <c r="F1057" s="278" t="s">
        <v>4109</v>
      </c>
      <c r="G1057" s="278" t="s">
        <v>4108</v>
      </c>
      <c r="H1057" s="306" t="s">
        <v>11236</v>
      </c>
      <c r="I1057" s="269" t="s">
        <v>11237</v>
      </c>
      <c r="J1057" s="306" t="s">
        <v>10969</v>
      </c>
    </row>
    <row r="1058" spans="1:10" ht="14.5" customHeight="1" x14ac:dyDescent="0.25">
      <c r="A1058" s="278" t="s">
        <v>3705</v>
      </c>
      <c r="B1058" s="278" t="s">
        <v>10904</v>
      </c>
      <c r="C1058" s="278" t="s">
        <v>10332</v>
      </c>
      <c r="D1058" s="279" t="s">
        <v>10333</v>
      </c>
      <c r="E1058" s="306" t="s">
        <v>10969</v>
      </c>
      <c r="F1058" s="278" t="s">
        <v>4109</v>
      </c>
      <c r="G1058" s="278" t="s">
        <v>4108</v>
      </c>
      <c r="H1058" s="306" t="s">
        <v>11209</v>
      </c>
      <c r="I1058" s="269" t="s">
        <v>11210</v>
      </c>
      <c r="J1058" s="306" t="s">
        <v>10969</v>
      </c>
    </row>
    <row r="1059" spans="1:10" ht="14.5" customHeight="1" x14ac:dyDescent="0.25">
      <c r="A1059" s="278" t="s">
        <v>3705</v>
      </c>
      <c r="B1059" s="278" t="s">
        <v>10904</v>
      </c>
      <c r="C1059" s="278" t="s">
        <v>10332</v>
      </c>
      <c r="D1059" s="279" t="s">
        <v>10333</v>
      </c>
      <c r="E1059" s="306" t="s">
        <v>10969</v>
      </c>
      <c r="F1059" s="278" t="s">
        <v>4109</v>
      </c>
      <c r="G1059" s="278" t="s">
        <v>4108</v>
      </c>
      <c r="H1059" s="306" t="s">
        <v>11238</v>
      </c>
      <c r="I1059" s="269" t="s">
        <v>11239</v>
      </c>
      <c r="J1059" s="306" t="s">
        <v>10969</v>
      </c>
    </row>
    <row r="1060" spans="1:10" ht="14.5" customHeight="1" x14ac:dyDescent="0.25">
      <c r="A1060" s="278" t="s">
        <v>3705</v>
      </c>
      <c r="B1060" s="278" t="s">
        <v>10904</v>
      </c>
      <c r="C1060" s="278" t="s">
        <v>10332</v>
      </c>
      <c r="D1060" s="279" t="s">
        <v>10333</v>
      </c>
      <c r="E1060" s="306" t="s">
        <v>10969</v>
      </c>
      <c r="F1060" s="278" t="s">
        <v>4109</v>
      </c>
      <c r="G1060" s="278" t="s">
        <v>4108</v>
      </c>
      <c r="H1060" s="306" t="s">
        <v>11193</v>
      </c>
      <c r="I1060" s="269" t="s">
        <v>11194</v>
      </c>
      <c r="J1060" s="306" t="s">
        <v>10969</v>
      </c>
    </row>
    <row r="1061" spans="1:10" ht="14.5" customHeight="1" x14ac:dyDescent="0.25">
      <c r="A1061" s="278" t="s">
        <v>3705</v>
      </c>
      <c r="B1061" s="278" t="s">
        <v>10904</v>
      </c>
      <c r="C1061" s="278" t="s">
        <v>10334</v>
      </c>
      <c r="D1061" s="279" t="s">
        <v>10335</v>
      </c>
      <c r="E1061" s="306" t="s">
        <v>10969</v>
      </c>
      <c r="F1061" s="278" t="s">
        <v>4109</v>
      </c>
      <c r="G1061" s="278" t="s">
        <v>4108</v>
      </c>
      <c r="H1061" s="306" t="s">
        <v>11226</v>
      </c>
      <c r="I1061" s="269" t="s">
        <v>11227</v>
      </c>
      <c r="J1061" s="306" t="s">
        <v>10969</v>
      </c>
    </row>
    <row r="1062" spans="1:10" ht="14.5" customHeight="1" x14ac:dyDescent="0.25">
      <c r="A1062" s="278" t="s">
        <v>3705</v>
      </c>
      <c r="B1062" s="278" t="s">
        <v>10904</v>
      </c>
      <c r="C1062" s="278" t="s">
        <v>10336</v>
      </c>
      <c r="D1062" s="279" t="s">
        <v>10337</v>
      </c>
      <c r="E1062" s="306" t="s">
        <v>10969</v>
      </c>
      <c r="F1062" s="278" t="s">
        <v>4109</v>
      </c>
      <c r="G1062" s="278" t="s">
        <v>4108</v>
      </c>
      <c r="H1062" s="306" t="s">
        <v>11226</v>
      </c>
      <c r="I1062" s="269" t="s">
        <v>11227</v>
      </c>
      <c r="J1062" s="306" t="s">
        <v>10969</v>
      </c>
    </row>
    <row r="1063" spans="1:10" ht="14.5" customHeight="1" x14ac:dyDescent="0.25">
      <c r="A1063" s="278" t="s">
        <v>3705</v>
      </c>
      <c r="B1063" s="278" t="s">
        <v>10904</v>
      </c>
      <c r="C1063" s="278" t="s">
        <v>10338</v>
      </c>
      <c r="D1063" s="279" t="s">
        <v>10339</v>
      </c>
      <c r="E1063" s="306" t="s">
        <v>10969</v>
      </c>
      <c r="F1063" s="278" t="s">
        <v>4109</v>
      </c>
      <c r="G1063" s="278" t="s">
        <v>4108</v>
      </c>
      <c r="H1063" s="306" t="s">
        <v>11244</v>
      </c>
      <c r="I1063" s="269" t="s">
        <v>11245</v>
      </c>
      <c r="J1063" s="306" t="s">
        <v>10969</v>
      </c>
    </row>
    <row r="1064" spans="1:10" ht="14.5" customHeight="1" x14ac:dyDescent="0.25">
      <c r="A1064" s="278" t="s">
        <v>3705</v>
      </c>
      <c r="B1064" s="278" t="s">
        <v>10904</v>
      </c>
      <c r="C1064" s="278" t="s">
        <v>10340</v>
      </c>
      <c r="D1064" s="279" t="s">
        <v>10341</v>
      </c>
      <c r="E1064" s="306" t="s">
        <v>10969</v>
      </c>
      <c r="F1064" s="278" t="s">
        <v>4109</v>
      </c>
      <c r="G1064" s="278" t="s">
        <v>4108</v>
      </c>
      <c r="H1064" s="306" t="s">
        <v>11244</v>
      </c>
      <c r="I1064" s="269" t="s">
        <v>11245</v>
      </c>
      <c r="J1064" s="306" t="s">
        <v>10969</v>
      </c>
    </row>
    <row r="1065" spans="1:10" ht="14.5" customHeight="1" x14ac:dyDescent="0.25">
      <c r="A1065" s="278" t="s">
        <v>3705</v>
      </c>
      <c r="B1065" s="278" t="s">
        <v>10904</v>
      </c>
      <c r="C1065" s="278" t="s">
        <v>10342</v>
      </c>
      <c r="D1065" s="279" t="s">
        <v>10343</v>
      </c>
      <c r="E1065" s="306" t="s">
        <v>10969</v>
      </c>
      <c r="F1065" s="278" t="s">
        <v>4109</v>
      </c>
      <c r="G1065" s="278" t="s">
        <v>4109</v>
      </c>
      <c r="H1065" s="306" t="s">
        <v>11244</v>
      </c>
      <c r="I1065" s="269" t="s">
        <v>11245</v>
      </c>
      <c r="J1065" s="306" t="s">
        <v>10969</v>
      </c>
    </row>
    <row r="1066" spans="1:10" ht="14.5" customHeight="1" x14ac:dyDescent="0.25">
      <c r="A1066" s="278" t="s">
        <v>3705</v>
      </c>
      <c r="B1066" s="278" t="s">
        <v>10904</v>
      </c>
      <c r="C1066" s="278" t="s">
        <v>10344</v>
      </c>
      <c r="D1066" s="279" t="s">
        <v>10345</v>
      </c>
      <c r="E1066" s="306" t="s">
        <v>10969</v>
      </c>
      <c r="F1066" s="278" t="s">
        <v>4109</v>
      </c>
      <c r="G1066" s="278" t="s">
        <v>4108</v>
      </c>
      <c r="H1066" s="306" t="s">
        <v>11246</v>
      </c>
      <c r="I1066" s="269" t="s">
        <v>11247</v>
      </c>
      <c r="J1066" s="306" t="s">
        <v>10969</v>
      </c>
    </row>
    <row r="1067" spans="1:10" ht="14.5" customHeight="1" x14ac:dyDescent="0.25">
      <c r="A1067" s="278" t="s">
        <v>3705</v>
      </c>
      <c r="B1067" s="278" t="s">
        <v>10904</v>
      </c>
      <c r="C1067" s="278" t="s">
        <v>10346</v>
      </c>
      <c r="D1067" s="279" t="s">
        <v>10347</v>
      </c>
      <c r="E1067" s="306" t="s">
        <v>10969</v>
      </c>
      <c r="F1067" s="278" t="s">
        <v>4109</v>
      </c>
      <c r="G1067" s="278" t="s">
        <v>4108</v>
      </c>
      <c r="H1067" s="306" t="s">
        <v>11246</v>
      </c>
      <c r="I1067" s="269" t="s">
        <v>11247</v>
      </c>
      <c r="J1067" s="306" t="s">
        <v>10969</v>
      </c>
    </row>
    <row r="1068" spans="1:10" ht="14.5" customHeight="1" x14ac:dyDescent="0.25">
      <c r="A1068" s="278" t="s">
        <v>3705</v>
      </c>
      <c r="B1068" s="278" t="s">
        <v>10904</v>
      </c>
      <c r="C1068" s="278" t="s">
        <v>10348</v>
      </c>
      <c r="D1068" s="279" t="s">
        <v>10349</v>
      </c>
      <c r="E1068" s="306" t="s">
        <v>10969</v>
      </c>
      <c r="F1068" s="278" t="s">
        <v>4109</v>
      </c>
      <c r="G1068" s="278" t="s">
        <v>4109</v>
      </c>
      <c r="H1068" s="306" t="s">
        <v>11246</v>
      </c>
      <c r="I1068" s="269" t="s">
        <v>11247</v>
      </c>
      <c r="J1068" s="306" t="s">
        <v>10969</v>
      </c>
    </row>
    <row r="1069" spans="1:10" ht="14.5" customHeight="1" x14ac:dyDescent="0.25">
      <c r="A1069" s="278" t="s">
        <v>3705</v>
      </c>
      <c r="B1069" s="278" t="s">
        <v>10904</v>
      </c>
      <c r="C1069" s="278" t="s">
        <v>10350</v>
      </c>
      <c r="D1069" s="279" t="s">
        <v>10351</v>
      </c>
      <c r="E1069" s="306" t="s">
        <v>10969</v>
      </c>
      <c r="F1069" s="278" t="s">
        <v>4109</v>
      </c>
      <c r="G1069" s="278" t="s">
        <v>4108</v>
      </c>
      <c r="H1069" s="306" t="s">
        <v>11219</v>
      </c>
      <c r="I1069" s="269" t="s">
        <v>11220</v>
      </c>
      <c r="J1069" s="306" t="s">
        <v>10969</v>
      </c>
    </row>
    <row r="1070" spans="1:10" ht="14.5" customHeight="1" x14ac:dyDescent="0.25">
      <c r="A1070" s="278" t="s">
        <v>3705</v>
      </c>
      <c r="B1070" s="278" t="s">
        <v>10904</v>
      </c>
      <c r="C1070" s="278" t="s">
        <v>10350</v>
      </c>
      <c r="D1070" s="279" t="s">
        <v>10351</v>
      </c>
      <c r="E1070" s="306" t="s">
        <v>10969</v>
      </c>
      <c r="F1070" s="278" t="s">
        <v>4109</v>
      </c>
      <c r="G1070" s="278" t="s">
        <v>4108</v>
      </c>
      <c r="H1070" s="306" t="s">
        <v>11246</v>
      </c>
      <c r="I1070" s="269" t="s">
        <v>11247</v>
      </c>
      <c r="J1070" s="306" t="s">
        <v>10969</v>
      </c>
    </row>
    <row r="1071" spans="1:10" ht="14.5" customHeight="1" x14ac:dyDescent="0.25">
      <c r="A1071" s="278" t="s">
        <v>3705</v>
      </c>
      <c r="B1071" s="278" t="s">
        <v>10904</v>
      </c>
      <c r="C1071" s="278" t="s">
        <v>10350</v>
      </c>
      <c r="D1071" s="279" t="s">
        <v>10351</v>
      </c>
      <c r="E1071" s="306" t="s">
        <v>10969</v>
      </c>
      <c r="F1071" s="278" t="s">
        <v>4109</v>
      </c>
      <c r="G1071" s="278" t="s">
        <v>4108</v>
      </c>
      <c r="H1071" s="306" t="s">
        <v>11221</v>
      </c>
      <c r="I1071" s="269" t="s">
        <v>11222</v>
      </c>
      <c r="J1071" s="306" t="s">
        <v>10969</v>
      </c>
    </row>
    <row r="1072" spans="1:10" ht="14.5" customHeight="1" x14ac:dyDescent="0.25">
      <c r="A1072" s="278" t="s">
        <v>3705</v>
      </c>
      <c r="B1072" s="278" t="s">
        <v>10904</v>
      </c>
      <c r="C1072" s="278" t="s">
        <v>10352</v>
      </c>
      <c r="D1072" s="279" t="s">
        <v>10353</v>
      </c>
      <c r="E1072" s="306" t="s">
        <v>10969</v>
      </c>
      <c r="F1072" s="278" t="s">
        <v>4109</v>
      </c>
      <c r="G1072" s="278" t="s">
        <v>4108</v>
      </c>
      <c r="H1072" s="306" t="s">
        <v>11219</v>
      </c>
      <c r="I1072" s="269" t="s">
        <v>11220</v>
      </c>
      <c r="J1072" s="306" t="s">
        <v>10969</v>
      </c>
    </row>
    <row r="1073" spans="1:10" ht="14.5" customHeight="1" x14ac:dyDescent="0.25">
      <c r="A1073" s="278" t="s">
        <v>3705</v>
      </c>
      <c r="B1073" s="278" t="s">
        <v>10904</v>
      </c>
      <c r="C1073" s="278" t="s">
        <v>10352</v>
      </c>
      <c r="D1073" s="279" t="s">
        <v>10353</v>
      </c>
      <c r="E1073" s="306" t="s">
        <v>10969</v>
      </c>
      <c r="F1073" s="278" t="s">
        <v>4109</v>
      </c>
      <c r="G1073" s="278" t="s">
        <v>4108</v>
      </c>
      <c r="H1073" s="306" t="s">
        <v>11244</v>
      </c>
      <c r="I1073" s="269" t="s">
        <v>11245</v>
      </c>
      <c r="J1073" s="306" t="s">
        <v>10969</v>
      </c>
    </row>
    <row r="1074" spans="1:10" ht="14.5" customHeight="1" x14ac:dyDescent="0.25">
      <c r="A1074" s="278" t="s">
        <v>3705</v>
      </c>
      <c r="B1074" s="278" t="s">
        <v>10904</v>
      </c>
      <c r="C1074" s="278" t="s">
        <v>10352</v>
      </c>
      <c r="D1074" s="279" t="s">
        <v>10353</v>
      </c>
      <c r="E1074" s="306" t="s">
        <v>10969</v>
      </c>
      <c r="F1074" s="278" t="s">
        <v>4109</v>
      </c>
      <c r="G1074" s="278" t="s">
        <v>4108</v>
      </c>
      <c r="H1074" s="306" t="s">
        <v>11221</v>
      </c>
      <c r="I1074" s="269" t="s">
        <v>11222</v>
      </c>
      <c r="J1074" s="306" t="s">
        <v>10969</v>
      </c>
    </row>
    <row r="1075" spans="1:10" ht="14.5" customHeight="1" x14ac:dyDescent="0.25">
      <c r="A1075" s="278" t="s">
        <v>3705</v>
      </c>
      <c r="B1075" s="278" t="s">
        <v>10904</v>
      </c>
      <c r="C1075" s="278" t="s">
        <v>10354</v>
      </c>
      <c r="D1075" s="279" t="s">
        <v>10355</v>
      </c>
      <c r="E1075" s="306" t="s">
        <v>10969</v>
      </c>
      <c r="F1075" s="278" t="s">
        <v>4109</v>
      </c>
      <c r="G1075" s="278" t="s">
        <v>4108</v>
      </c>
      <c r="H1075" s="306" t="s">
        <v>11219</v>
      </c>
      <c r="I1075" s="269" t="s">
        <v>11220</v>
      </c>
      <c r="J1075" s="306" t="s">
        <v>10969</v>
      </c>
    </row>
    <row r="1076" spans="1:10" ht="14.5" customHeight="1" x14ac:dyDescent="0.25">
      <c r="A1076" s="278" t="s">
        <v>3705</v>
      </c>
      <c r="B1076" s="278" t="s">
        <v>10904</v>
      </c>
      <c r="C1076" s="278" t="s">
        <v>10354</v>
      </c>
      <c r="D1076" s="279" t="s">
        <v>10355</v>
      </c>
      <c r="E1076" s="306" t="s">
        <v>10969</v>
      </c>
      <c r="F1076" s="278" t="s">
        <v>4109</v>
      </c>
      <c r="G1076" s="278" t="s">
        <v>4108</v>
      </c>
      <c r="H1076" s="306" t="s">
        <v>11248</v>
      </c>
      <c r="I1076" s="269" t="s">
        <v>11249</v>
      </c>
      <c r="J1076" s="306" t="s">
        <v>10969</v>
      </c>
    </row>
    <row r="1077" spans="1:10" ht="14.5" customHeight="1" x14ac:dyDescent="0.25">
      <c r="A1077" s="278" t="s">
        <v>3705</v>
      </c>
      <c r="B1077" s="278" t="s">
        <v>10904</v>
      </c>
      <c r="C1077" s="278" t="s">
        <v>10354</v>
      </c>
      <c r="D1077" s="279" t="s">
        <v>10355</v>
      </c>
      <c r="E1077" s="306" t="s">
        <v>10969</v>
      </c>
      <c r="F1077" s="278" t="s">
        <v>4109</v>
      </c>
      <c r="G1077" s="278" t="s">
        <v>4108</v>
      </c>
      <c r="H1077" s="306" t="s">
        <v>11221</v>
      </c>
      <c r="I1077" s="269" t="s">
        <v>11222</v>
      </c>
      <c r="J1077" s="306" t="s">
        <v>10969</v>
      </c>
    </row>
    <row r="1078" spans="1:10" ht="14.5" customHeight="1" x14ac:dyDescent="0.25">
      <c r="A1078" s="278" t="s">
        <v>3705</v>
      </c>
      <c r="B1078" s="278" t="s">
        <v>10904</v>
      </c>
      <c r="C1078" s="278" t="s">
        <v>10356</v>
      </c>
      <c r="D1078" s="279" t="s">
        <v>10357</v>
      </c>
      <c r="E1078" s="306" t="s">
        <v>10969</v>
      </c>
      <c r="F1078" s="278" t="s">
        <v>4109</v>
      </c>
      <c r="G1078" s="278" t="s">
        <v>4108</v>
      </c>
      <c r="H1078" s="306" t="s">
        <v>11248</v>
      </c>
      <c r="I1078" s="269" t="s">
        <v>11249</v>
      </c>
      <c r="J1078" s="306" t="s">
        <v>10969</v>
      </c>
    </row>
    <row r="1079" spans="1:10" ht="14.5" customHeight="1" x14ac:dyDescent="0.25">
      <c r="A1079" s="278" t="s">
        <v>3705</v>
      </c>
      <c r="B1079" s="278" t="s">
        <v>10904</v>
      </c>
      <c r="C1079" s="278" t="s">
        <v>10358</v>
      </c>
      <c r="D1079" s="279" t="s">
        <v>10359</v>
      </c>
      <c r="E1079" s="306" t="s">
        <v>10969</v>
      </c>
      <c r="F1079" s="278" t="s">
        <v>4109</v>
      </c>
      <c r="G1079" s="278" t="s">
        <v>4108</v>
      </c>
      <c r="H1079" s="306" t="s">
        <v>11248</v>
      </c>
      <c r="I1079" s="269" t="s">
        <v>11249</v>
      </c>
      <c r="J1079" s="306" t="s">
        <v>10969</v>
      </c>
    </row>
    <row r="1080" spans="1:10" ht="14.5" customHeight="1" x14ac:dyDescent="0.25">
      <c r="A1080" s="278" t="s">
        <v>3705</v>
      </c>
      <c r="B1080" s="278" t="s">
        <v>10904</v>
      </c>
      <c r="C1080" s="278" t="s">
        <v>10360</v>
      </c>
      <c r="D1080" s="279" t="s">
        <v>10361</v>
      </c>
      <c r="E1080" s="306" t="s">
        <v>10969</v>
      </c>
      <c r="F1080" s="278" t="s">
        <v>4109</v>
      </c>
      <c r="G1080" s="278" t="s">
        <v>4109</v>
      </c>
      <c r="H1080" s="306" t="s">
        <v>11248</v>
      </c>
      <c r="I1080" s="269" t="s">
        <v>11249</v>
      </c>
      <c r="J1080" s="306" t="s">
        <v>10969</v>
      </c>
    </row>
    <row r="1081" spans="1:10" ht="14.5" customHeight="1" x14ac:dyDescent="0.25">
      <c r="A1081" s="278" t="s">
        <v>3705</v>
      </c>
      <c r="B1081" s="278" t="s">
        <v>10904</v>
      </c>
      <c r="C1081" s="278" t="s">
        <v>10362</v>
      </c>
      <c r="D1081" s="279" t="s">
        <v>10363</v>
      </c>
      <c r="E1081" s="306" t="s">
        <v>10969</v>
      </c>
      <c r="F1081" s="278" t="s">
        <v>4109</v>
      </c>
      <c r="G1081" s="278" t="s">
        <v>4108</v>
      </c>
      <c r="H1081" s="306" t="s">
        <v>11250</v>
      </c>
      <c r="I1081" s="269" t="s">
        <v>11251</v>
      </c>
      <c r="J1081" s="306" t="s">
        <v>10969</v>
      </c>
    </row>
    <row r="1082" spans="1:10" ht="14.5" customHeight="1" x14ac:dyDescent="0.25">
      <c r="A1082" s="278" t="s">
        <v>3705</v>
      </c>
      <c r="B1082" s="278" t="s">
        <v>10904</v>
      </c>
      <c r="C1082" s="278" t="s">
        <v>10364</v>
      </c>
      <c r="D1082" s="279" t="s">
        <v>10365</v>
      </c>
      <c r="E1082" s="306" t="s">
        <v>10969</v>
      </c>
      <c r="F1082" s="278" t="s">
        <v>4109</v>
      </c>
      <c r="G1082" s="278" t="s">
        <v>4108</v>
      </c>
      <c r="H1082" s="306" t="s">
        <v>11250</v>
      </c>
      <c r="I1082" s="269" t="s">
        <v>11251</v>
      </c>
      <c r="J1082" s="306" t="s">
        <v>10969</v>
      </c>
    </row>
    <row r="1083" spans="1:10" ht="14.5" customHeight="1" x14ac:dyDescent="0.25">
      <c r="A1083" s="278" t="s">
        <v>3705</v>
      </c>
      <c r="B1083" s="278" t="s">
        <v>10904</v>
      </c>
      <c r="C1083" s="278" t="s">
        <v>10366</v>
      </c>
      <c r="D1083" s="279" t="s">
        <v>10367</v>
      </c>
      <c r="E1083" s="306" t="s">
        <v>10969</v>
      </c>
      <c r="F1083" s="278" t="s">
        <v>4109</v>
      </c>
      <c r="G1083" s="278" t="s">
        <v>4109</v>
      </c>
      <c r="H1083" s="306" t="s">
        <v>11250</v>
      </c>
      <c r="I1083" s="269" t="s">
        <v>11251</v>
      </c>
      <c r="J1083" s="306" t="s">
        <v>10969</v>
      </c>
    </row>
    <row r="1084" spans="1:10" ht="14.5" customHeight="1" x14ac:dyDescent="0.25">
      <c r="A1084" s="278" t="s">
        <v>3705</v>
      </c>
      <c r="B1084" s="278" t="s">
        <v>10904</v>
      </c>
      <c r="C1084" s="278" t="s">
        <v>10368</v>
      </c>
      <c r="D1084" s="279" t="s">
        <v>10369</v>
      </c>
      <c r="E1084" s="306" t="s">
        <v>10969</v>
      </c>
      <c r="F1084" s="278" t="s">
        <v>4109</v>
      </c>
      <c r="G1084" s="278" t="s">
        <v>4108</v>
      </c>
      <c r="H1084" s="306" t="s">
        <v>11219</v>
      </c>
      <c r="I1084" s="269" t="s">
        <v>11220</v>
      </c>
      <c r="J1084" s="306" t="s">
        <v>10969</v>
      </c>
    </row>
    <row r="1085" spans="1:10" ht="14.5" customHeight="1" x14ac:dyDescent="0.25">
      <c r="A1085" s="278" t="s">
        <v>3705</v>
      </c>
      <c r="B1085" s="278" t="s">
        <v>10904</v>
      </c>
      <c r="C1085" s="278" t="s">
        <v>10368</v>
      </c>
      <c r="D1085" s="279" t="s">
        <v>10369</v>
      </c>
      <c r="E1085" s="306" t="s">
        <v>10969</v>
      </c>
      <c r="F1085" s="278" t="s">
        <v>4109</v>
      </c>
      <c r="G1085" s="278" t="s">
        <v>4108</v>
      </c>
      <c r="H1085" s="306" t="s">
        <v>11250</v>
      </c>
      <c r="I1085" s="269" t="s">
        <v>11251</v>
      </c>
      <c r="J1085" s="306" t="s">
        <v>10969</v>
      </c>
    </row>
    <row r="1086" spans="1:10" ht="14.5" customHeight="1" x14ac:dyDescent="0.25">
      <c r="A1086" s="278" t="s">
        <v>3705</v>
      </c>
      <c r="B1086" s="278" t="s">
        <v>10904</v>
      </c>
      <c r="C1086" s="278" t="s">
        <v>10368</v>
      </c>
      <c r="D1086" s="279" t="s">
        <v>10369</v>
      </c>
      <c r="E1086" s="306" t="s">
        <v>10969</v>
      </c>
      <c r="F1086" s="278" t="s">
        <v>4109</v>
      </c>
      <c r="G1086" s="278" t="s">
        <v>4108</v>
      </c>
      <c r="H1086" s="306" t="s">
        <v>11221</v>
      </c>
      <c r="I1086" s="269" t="s">
        <v>11222</v>
      </c>
      <c r="J1086" s="306" t="s">
        <v>10969</v>
      </c>
    </row>
    <row r="1087" spans="1:10" ht="14.5" customHeight="1" x14ac:dyDescent="0.25">
      <c r="A1087" s="278" t="s">
        <v>3705</v>
      </c>
      <c r="B1087" s="278" t="s">
        <v>10904</v>
      </c>
      <c r="C1087" s="278" t="s">
        <v>10370</v>
      </c>
      <c r="D1087" s="279" t="s">
        <v>10371</v>
      </c>
      <c r="E1087" s="306" t="s">
        <v>10969</v>
      </c>
      <c r="F1087" s="278" t="s">
        <v>4109</v>
      </c>
      <c r="G1087" s="278" t="s">
        <v>4108</v>
      </c>
      <c r="H1087" s="306" t="s">
        <v>11252</v>
      </c>
      <c r="I1087" s="269" t="s">
        <v>11253</v>
      </c>
      <c r="J1087" s="306" t="s">
        <v>10969</v>
      </c>
    </row>
    <row r="1088" spans="1:10" ht="14.5" customHeight="1" x14ac:dyDescent="0.25">
      <c r="A1088" s="278" t="s">
        <v>3705</v>
      </c>
      <c r="B1088" s="278" t="s">
        <v>10904</v>
      </c>
      <c r="C1088" s="278" t="s">
        <v>10370</v>
      </c>
      <c r="D1088" s="279" t="s">
        <v>10371</v>
      </c>
      <c r="E1088" s="306" t="s">
        <v>10969</v>
      </c>
      <c r="F1088" s="278" t="s">
        <v>4109</v>
      </c>
      <c r="G1088" s="278" t="s">
        <v>4108</v>
      </c>
      <c r="H1088" s="306" t="s">
        <v>11254</v>
      </c>
      <c r="I1088" s="269" t="s">
        <v>11255</v>
      </c>
      <c r="J1088" s="306" t="s">
        <v>10969</v>
      </c>
    </row>
    <row r="1089" spans="1:10" ht="14.5" customHeight="1" x14ac:dyDescent="0.25">
      <c r="A1089" s="278" t="s">
        <v>3705</v>
      </c>
      <c r="B1089" s="278" t="s">
        <v>10904</v>
      </c>
      <c r="C1089" s="278" t="s">
        <v>10370</v>
      </c>
      <c r="D1089" s="279" t="s">
        <v>10371</v>
      </c>
      <c r="E1089" s="306" t="s">
        <v>10969</v>
      </c>
      <c r="F1089" s="278" t="s">
        <v>4109</v>
      </c>
      <c r="G1089" s="278" t="s">
        <v>4108</v>
      </c>
      <c r="H1089" s="306" t="s">
        <v>11256</v>
      </c>
      <c r="I1089" s="269" t="s">
        <v>11257</v>
      </c>
      <c r="J1089" s="306" t="s">
        <v>10969</v>
      </c>
    </row>
    <row r="1090" spans="1:10" ht="14.5" customHeight="1" x14ac:dyDescent="0.25">
      <c r="A1090" s="278" t="s">
        <v>3705</v>
      </c>
      <c r="B1090" s="278" t="s">
        <v>10904</v>
      </c>
      <c r="C1090" s="278" t="s">
        <v>10370</v>
      </c>
      <c r="D1090" s="279" t="s">
        <v>10371</v>
      </c>
      <c r="E1090" s="306" t="s">
        <v>10969</v>
      </c>
      <c r="F1090" s="278" t="s">
        <v>4109</v>
      </c>
      <c r="G1090" s="278" t="s">
        <v>4108</v>
      </c>
      <c r="H1090" s="306" t="s">
        <v>11258</v>
      </c>
      <c r="I1090" s="269" t="s">
        <v>11259</v>
      </c>
      <c r="J1090" s="306" t="s">
        <v>10969</v>
      </c>
    </row>
    <row r="1091" spans="1:10" ht="14.5" customHeight="1" x14ac:dyDescent="0.25">
      <c r="A1091" s="278" t="s">
        <v>3705</v>
      </c>
      <c r="B1091" s="278" t="s">
        <v>10904</v>
      </c>
      <c r="C1091" s="278" t="s">
        <v>10370</v>
      </c>
      <c r="D1091" s="279" t="s">
        <v>10371</v>
      </c>
      <c r="E1091" s="306" t="s">
        <v>10969</v>
      </c>
      <c r="F1091" s="278" t="s">
        <v>4109</v>
      </c>
      <c r="G1091" s="278" t="s">
        <v>4108</v>
      </c>
      <c r="H1091" s="306" t="s">
        <v>11260</v>
      </c>
      <c r="I1091" s="269" t="s">
        <v>11261</v>
      </c>
      <c r="J1091" s="306" t="s">
        <v>10969</v>
      </c>
    </row>
    <row r="1092" spans="1:10" ht="14.5" customHeight="1" x14ac:dyDescent="0.25">
      <c r="A1092" s="278" t="s">
        <v>3705</v>
      </c>
      <c r="B1092" s="278" t="s">
        <v>10904</v>
      </c>
      <c r="C1092" s="278" t="s">
        <v>10370</v>
      </c>
      <c r="D1092" s="279" t="s">
        <v>10371</v>
      </c>
      <c r="E1092" s="306" t="s">
        <v>10969</v>
      </c>
      <c r="F1092" s="278" t="s">
        <v>4109</v>
      </c>
      <c r="G1092" s="278" t="s">
        <v>4108</v>
      </c>
      <c r="H1092" s="306" t="s">
        <v>11262</v>
      </c>
      <c r="I1092" s="269" t="s">
        <v>11263</v>
      </c>
      <c r="J1092" s="306" t="s">
        <v>10969</v>
      </c>
    </row>
    <row r="1093" spans="1:10" ht="14.5" customHeight="1" x14ac:dyDescent="0.25">
      <c r="A1093" s="278" t="s">
        <v>3705</v>
      </c>
      <c r="B1093" s="278" t="s">
        <v>10904</v>
      </c>
      <c r="C1093" s="278" t="s">
        <v>10370</v>
      </c>
      <c r="D1093" s="279" t="s">
        <v>10371</v>
      </c>
      <c r="E1093" s="306" t="s">
        <v>10969</v>
      </c>
      <c r="F1093" s="278" t="s">
        <v>4109</v>
      </c>
      <c r="G1093" s="278" t="s">
        <v>4108</v>
      </c>
      <c r="H1093" s="306" t="s">
        <v>11264</v>
      </c>
      <c r="I1093" s="269" t="s">
        <v>11265</v>
      </c>
      <c r="J1093" s="306" t="s">
        <v>10969</v>
      </c>
    </row>
    <row r="1094" spans="1:10" ht="14.5" customHeight="1" x14ac:dyDescent="0.25">
      <c r="A1094" s="278" t="s">
        <v>3705</v>
      </c>
      <c r="B1094" s="278" t="s">
        <v>10904</v>
      </c>
      <c r="C1094" s="278" t="s">
        <v>10370</v>
      </c>
      <c r="D1094" s="279" t="s">
        <v>10371</v>
      </c>
      <c r="E1094" s="306" t="s">
        <v>10969</v>
      </c>
      <c r="F1094" s="278" t="s">
        <v>4109</v>
      </c>
      <c r="G1094" s="278" t="s">
        <v>4108</v>
      </c>
      <c r="H1094" s="306" t="s">
        <v>11266</v>
      </c>
      <c r="I1094" s="269" t="s">
        <v>11267</v>
      </c>
      <c r="J1094" s="306" t="s">
        <v>10969</v>
      </c>
    </row>
    <row r="1095" spans="1:10" ht="14.5" customHeight="1" x14ac:dyDescent="0.25">
      <c r="A1095" s="278" t="s">
        <v>3705</v>
      </c>
      <c r="B1095" s="278" t="s">
        <v>10904</v>
      </c>
      <c r="C1095" s="278" t="s">
        <v>10370</v>
      </c>
      <c r="D1095" s="279" t="s">
        <v>10371</v>
      </c>
      <c r="E1095" s="306" t="s">
        <v>10969</v>
      </c>
      <c r="F1095" s="278" t="s">
        <v>4109</v>
      </c>
      <c r="G1095" s="278" t="s">
        <v>4108</v>
      </c>
      <c r="H1095" s="306" t="s">
        <v>11268</v>
      </c>
      <c r="I1095" s="269" t="s">
        <v>11269</v>
      </c>
      <c r="J1095" s="306" t="s">
        <v>10969</v>
      </c>
    </row>
    <row r="1096" spans="1:10" ht="14.5" customHeight="1" x14ac:dyDescent="0.25">
      <c r="A1096" s="278" t="s">
        <v>3705</v>
      </c>
      <c r="B1096" s="278" t="s">
        <v>10904</v>
      </c>
      <c r="C1096" s="278" t="s">
        <v>10370</v>
      </c>
      <c r="D1096" s="279" t="s">
        <v>10371</v>
      </c>
      <c r="E1096" s="306" t="s">
        <v>10969</v>
      </c>
      <c r="F1096" s="278" t="s">
        <v>4109</v>
      </c>
      <c r="G1096" s="278" t="s">
        <v>4108</v>
      </c>
      <c r="H1096" s="306" t="s">
        <v>11270</v>
      </c>
      <c r="I1096" s="269" t="s">
        <v>11271</v>
      </c>
      <c r="J1096" s="306" t="s">
        <v>10969</v>
      </c>
    </row>
    <row r="1097" spans="1:10" ht="14.5" customHeight="1" x14ac:dyDescent="0.25">
      <c r="A1097" s="278" t="s">
        <v>3705</v>
      </c>
      <c r="B1097" s="278" t="s">
        <v>10904</v>
      </c>
      <c r="C1097" s="278" t="s">
        <v>10372</v>
      </c>
      <c r="D1097" s="279" t="s">
        <v>10373</v>
      </c>
      <c r="E1097" s="306" t="s">
        <v>10969</v>
      </c>
      <c r="F1097" s="278" t="s">
        <v>4109</v>
      </c>
      <c r="G1097" s="278" t="s">
        <v>4109</v>
      </c>
      <c r="H1097" s="306" t="s">
        <v>11258</v>
      </c>
      <c r="I1097" s="269" t="s">
        <v>11259</v>
      </c>
      <c r="J1097" s="306" t="s">
        <v>10969</v>
      </c>
    </row>
    <row r="1098" spans="1:10" ht="14.5" customHeight="1" x14ac:dyDescent="0.25">
      <c r="A1098" s="278" t="s">
        <v>3705</v>
      </c>
      <c r="B1098" s="278" t="s">
        <v>10904</v>
      </c>
      <c r="C1098" s="278" t="s">
        <v>10374</v>
      </c>
      <c r="D1098" s="279" t="s">
        <v>10375</v>
      </c>
      <c r="E1098" s="306" t="s">
        <v>10969</v>
      </c>
      <c r="F1098" s="278" t="s">
        <v>4109</v>
      </c>
      <c r="G1098" s="278" t="s">
        <v>4109</v>
      </c>
      <c r="H1098" s="306" t="s">
        <v>11254</v>
      </c>
      <c r="I1098" s="269" t="s">
        <v>11255</v>
      </c>
      <c r="J1098" s="306" t="s">
        <v>10969</v>
      </c>
    </row>
    <row r="1099" spans="1:10" ht="14.5" customHeight="1" x14ac:dyDescent="0.25">
      <c r="A1099" s="282" t="s">
        <v>3705</v>
      </c>
      <c r="B1099" s="278" t="s">
        <v>10904</v>
      </c>
      <c r="C1099" s="278" t="s">
        <v>31</v>
      </c>
      <c r="D1099" s="283" t="s">
        <v>10376</v>
      </c>
      <c r="E1099" s="306" t="s">
        <v>10969</v>
      </c>
      <c r="F1099" s="278" t="s">
        <v>4109</v>
      </c>
      <c r="G1099" s="278" t="s">
        <v>4109</v>
      </c>
      <c r="H1099" s="306" t="s">
        <v>11262</v>
      </c>
      <c r="I1099" s="269" t="s">
        <v>11263</v>
      </c>
      <c r="J1099" s="306" t="s">
        <v>10969</v>
      </c>
    </row>
    <row r="1100" spans="1:10" ht="14.5" customHeight="1" x14ac:dyDescent="0.25">
      <c r="A1100" s="282" t="s">
        <v>3705</v>
      </c>
      <c r="B1100" s="278" t="s">
        <v>10904</v>
      </c>
      <c r="C1100" s="278" t="s">
        <v>31</v>
      </c>
      <c r="D1100" s="283" t="s">
        <v>10376</v>
      </c>
      <c r="E1100" s="306" t="s">
        <v>10969</v>
      </c>
      <c r="F1100" s="278" t="s">
        <v>4109</v>
      </c>
      <c r="G1100" s="278" t="s">
        <v>4109</v>
      </c>
      <c r="H1100" s="306" t="s">
        <v>11264</v>
      </c>
      <c r="I1100" s="269" t="s">
        <v>11265</v>
      </c>
      <c r="J1100" s="306" t="s">
        <v>10969</v>
      </c>
    </row>
    <row r="1101" spans="1:10" ht="14.5" customHeight="1" x14ac:dyDescent="0.25">
      <c r="A1101" s="278" t="s">
        <v>3705</v>
      </c>
      <c r="B1101" s="278" t="s">
        <v>10904</v>
      </c>
      <c r="C1101" s="278" t="s">
        <v>10378</v>
      </c>
      <c r="D1101" s="279" t="s">
        <v>10379</v>
      </c>
      <c r="E1101" s="306" t="s">
        <v>10969</v>
      </c>
      <c r="F1101" s="278" t="s">
        <v>4109</v>
      </c>
      <c r="G1101" s="278" t="s">
        <v>4108</v>
      </c>
      <c r="H1101" s="306" t="s">
        <v>11262</v>
      </c>
      <c r="I1101" s="269" t="s">
        <v>11263</v>
      </c>
      <c r="J1101" s="306" t="s">
        <v>10969</v>
      </c>
    </row>
    <row r="1102" spans="1:10" ht="14.5" customHeight="1" x14ac:dyDescent="0.25">
      <c r="A1102" s="278" t="s">
        <v>3705</v>
      </c>
      <c r="B1102" s="278" t="s">
        <v>10904</v>
      </c>
      <c r="C1102" s="278" t="s">
        <v>10378</v>
      </c>
      <c r="D1102" s="279" t="s">
        <v>10379</v>
      </c>
      <c r="E1102" s="306" t="s">
        <v>10969</v>
      </c>
      <c r="F1102" s="278" t="s">
        <v>4109</v>
      </c>
      <c r="G1102" s="278" t="s">
        <v>4108</v>
      </c>
      <c r="H1102" s="306" t="s">
        <v>11264</v>
      </c>
      <c r="I1102" s="269" t="s">
        <v>11265</v>
      </c>
      <c r="J1102" s="306" t="s">
        <v>10969</v>
      </c>
    </row>
    <row r="1103" spans="1:10" ht="14.5" customHeight="1" x14ac:dyDescent="0.25">
      <c r="A1103" s="278" t="s">
        <v>3705</v>
      </c>
      <c r="B1103" s="278" t="s">
        <v>10904</v>
      </c>
      <c r="C1103" s="278" t="s">
        <v>10380</v>
      </c>
      <c r="D1103" s="279" t="s">
        <v>10381</v>
      </c>
      <c r="E1103" s="306" t="s">
        <v>10969</v>
      </c>
      <c r="F1103" s="278" t="s">
        <v>4109</v>
      </c>
      <c r="G1103" s="278" t="s">
        <v>4108</v>
      </c>
      <c r="H1103" s="306" t="s">
        <v>11260</v>
      </c>
      <c r="I1103" s="269" t="s">
        <v>11261</v>
      </c>
      <c r="J1103" s="306" t="s">
        <v>10969</v>
      </c>
    </row>
    <row r="1104" spans="1:10" ht="14.5" customHeight="1" x14ac:dyDescent="0.25">
      <c r="A1104" s="278" t="s">
        <v>3705</v>
      </c>
      <c r="B1104" s="278" t="s">
        <v>10904</v>
      </c>
      <c r="C1104" s="278" t="s">
        <v>10382</v>
      </c>
      <c r="D1104" s="279" t="s">
        <v>10383</v>
      </c>
      <c r="E1104" s="306" t="s">
        <v>10969</v>
      </c>
      <c r="F1104" s="278" t="s">
        <v>4109</v>
      </c>
      <c r="G1104" s="278" t="s">
        <v>4109</v>
      </c>
      <c r="H1104" s="306" t="s">
        <v>11260</v>
      </c>
      <c r="I1104" s="269" t="s">
        <v>11261</v>
      </c>
      <c r="J1104" s="306" t="s">
        <v>10969</v>
      </c>
    </row>
    <row r="1105" spans="1:10" ht="14.5" customHeight="1" x14ac:dyDescent="0.25">
      <c r="A1105" s="278" t="s">
        <v>3705</v>
      </c>
      <c r="B1105" s="278" t="s">
        <v>10904</v>
      </c>
      <c r="C1105" s="278" t="s">
        <v>10384</v>
      </c>
      <c r="D1105" s="279" t="s">
        <v>10385</v>
      </c>
      <c r="E1105" s="306" t="s">
        <v>10969</v>
      </c>
      <c r="F1105" s="278" t="s">
        <v>4109</v>
      </c>
      <c r="G1105" s="278" t="s">
        <v>4108</v>
      </c>
      <c r="H1105" s="306" t="s">
        <v>11219</v>
      </c>
      <c r="I1105" s="269" t="s">
        <v>11220</v>
      </c>
      <c r="J1105" s="306" t="s">
        <v>10969</v>
      </c>
    </row>
    <row r="1106" spans="1:10" ht="14.5" customHeight="1" x14ac:dyDescent="0.25">
      <c r="A1106" s="278" t="s">
        <v>3705</v>
      </c>
      <c r="B1106" s="278" t="s">
        <v>10904</v>
      </c>
      <c r="C1106" s="278" t="s">
        <v>10384</v>
      </c>
      <c r="D1106" s="279" t="s">
        <v>10385</v>
      </c>
      <c r="E1106" s="306" t="s">
        <v>10969</v>
      </c>
      <c r="F1106" s="278" t="s">
        <v>4109</v>
      </c>
      <c r="G1106" s="278" t="s">
        <v>4108</v>
      </c>
      <c r="H1106" s="306" t="s">
        <v>11254</v>
      </c>
      <c r="I1106" s="269" t="s">
        <v>11255</v>
      </c>
      <c r="J1106" s="306" t="s">
        <v>10969</v>
      </c>
    </row>
    <row r="1107" spans="1:10" ht="14.5" customHeight="1" x14ac:dyDescent="0.25">
      <c r="A1107" s="278" t="s">
        <v>3705</v>
      </c>
      <c r="B1107" s="278" t="s">
        <v>10904</v>
      </c>
      <c r="C1107" s="278" t="s">
        <v>10384</v>
      </c>
      <c r="D1107" s="279" t="s">
        <v>10385</v>
      </c>
      <c r="E1107" s="306" t="s">
        <v>10969</v>
      </c>
      <c r="F1107" s="278" t="s">
        <v>4109</v>
      </c>
      <c r="G1107" s="278" t="s">
        <v>4108</v>
      </c>
      <c r="H1107" s="306" t="s">
        <v>11221</v>
      </c>
      <c r="I1107" s="269" t="s">
        <v>11222</v>
      </c>
      <c r="J1107" s="306" t="s">
        <v>10969</v>
      </c>
    </row>
    <row r="1108" spans="1:10" ht="14.5" customHeight="1" x14ac:dyDescent="0.25">
      <c r="A1108" s="278" t="s">
        <v>3705</v>
      </c>
      <c r="B1108" s="278" t="s">
        <v>10904</v>
      </c>
      <c r="C1108" s="278" t="s">
        <v>10386</v>
      </c>
      <c r="D1108" s="279" t="s">
        <v>10387</v>
      </c>
      <c r="E1108" s="306" t="s">
        <v>10969</v>
      </c>
      <c r="F1108" s="278" t="s">
        <v>4109</v>
      </c>
      <c r="G1108" s="278" t="s">
        <v>4108</v>
      </c>
      <c r="H1108" s="306" t="s">
        <v>11219</v>
      </c>
      <c r="I1108" s="269" t="s">
        <v>11220</v>
      </c>
      <c r="J1108" s="306" t="s">
        <v>10969</v>
      </c>
    </row>
    <row r="1109" spans="1:10" ht="14.5" customHeight="1" x14ac:dyDescent="0.25">
      <c r="A1109" s="278" t="s">
        <v>3705</v>
      </c>
      <c r="B1109" s="278" t="s">
        <v>10904</v>
      </c>
      <c r="C1109" s="278" t="s">
        <v>10386</v>
      </c>
      <c r="D1109" s="279" t="s">
        <v>10387</v>
      </c>
      <c r="E1109" s="306" t="s">
        <v>10969</v>
      </c>
      <c r="F1109" s="278" t="s">
        <v>4109</v>
      </c>
      <c r="G1109" s="278" t="s">
        <v>4108</v>
      </c>
      <c r="H1109" s="306" t="s">
        <v>11262</v>
      </c>
      <c r="I1109" s="269" t="s">
        <v>11263</v>
      </c>
      <c r="J1109" s="306" t="s">
        <v>10969</v>
      </c>
    </row>
    <row r="1110" spans="1:10" ht="14.5" customHeight="1" x14ac:dyDescent="0.25">
      <c r="A1110" s="278" t="s">
        <v>3705</v>
      </c>
      <c r="B1110" s="278" t="s">
        <v>10904</v>
      </c>
      <c r="C1110" s="278" t="s">
        <v>10386</v>
      </c>
      <c r="D1110" s="279" t="s">
        <v>10387</v>
      </c>
      <c r="E1110" s="306" t="s">
        <v>10969</v>
      </c>
      <c r="F1110" s="278" t="s">
        <v>4109</v>
      </c>
      <c r="G1110" s="278" t="s">
        <v>4108</v>
      </c>
      <c r="H1110" s="306" t="s">
        <v>11264</v>
      </c>
      <c r="I1110" s="269" t="s">
        <v>11265</v>
      </c>
      <c r="J1110" s="306" t="s">
        <v>10969</v>
      </c>
    </row>
    <row r="1111" spans="1:10" ht="14.5" customHeight="1" x14ac:dyDescent="0.25">
      <c r="A1111" s="278" t="s">
        <v>3705</v>
      </c>
      <c r="B1111" s="278" t="s">
        <v>10904</v>
      </c>
      <c r="C1111" s="278" t="s">
        <v>10386</v>
      </c>
      <c r="D1111" s="279" t="s">
        <v>10387</v>
      </c>
      <c r="E1111" s="306" t="s">
        <v>10969</v>
      </c>
      <c r="F1111" s="278" t="s">
        <v>4109</v>
      </c>
      <c r="G1111" s="278" t="s">
        <v>4108</v>
      </c>
      <c r="H1111" s="306" t="s">
        <v>11221</v>
      </c>
      <c r="I1111" s="269" t="s">
        <v>11222</v>
      </c>
      <c r="J1111" s="306" t="s">
        <v>10969</v>
      </c>
    </row>
    <row r="1112" spans="1:10" ht="14.5" customHeight="1" x14ac:dyDescent="0.25">
      <c r="A1112" s="278" t="s">
        <v>3705</v>
      </c>
      <c r="B1112" s="278" t="s">
        <v>10904</v>
      </c>
      <c r="C1112" s="278" t="s">
        <v>10388</v>
      </c>
      <c r="D1112" s="279" t="s">
        <v>10389</v>
      </c>
      <c r="E1112" s="306" t="s">
        <v>10969</v>
      </c>
      <c r="F1112" s="278" t="s">
        <v>4109</v>
      </c>
      <c r="G1112" s="278" t="s">
        <v>4108</v>
      </c>
      <c r="H1112" s="306" t="s">
        <v>11219</v>
      </c>
      <c r="I1112" s="269" t="s">
        <v>11220</v>
      </c>
      <c r="J1112" s="306" t="s">
        <v>10969</v>
      </c>
    </row>
    <row r="1113" spans="1:10" ht="14.5" customHeight="1" x14ac:dyDescent="0.25">
      <c r="A1113" s="278" t="s">
        <v>3705</v>
      </c>
      <c r="B1113" s="278" t="s">
        <v>10904</v>
      </c>
      <c r="C1113" s="278" t="s">
        <v>10388</v>
      </c>
      <c r="D1113" s="279" t="s">
        <v>10389</v>
      </c>
      <c r="E1113" s="306" t="s">
        <v>10969</v>
      </c>
      <c r="F1113" s="278" t="s">
        <v>4109</v>
      </c>
      <c r="G1113" s="278" t="s">
        <v>4108</v>
      </c>
      <c r="H1113" s="306" t="s">
        <v>11258</v>
      </c>
      <c r="I1113" s="269" t="s">
        <v>11259</v>
      </c>
      <c r="J1113" s="306" t="s">
        <v>10969</v>
      </c>
    </row>
    <row r="1114" spans="1:10" ht="14.5" customHeight="1" x14ac:dyDescent="0.25">
      <c r="A1114" s="278" t="s">
        <v>3705</v>
      </c>
      <c r="B1114" s="278" t="s">
        <v>10904</v>
      </c>
      <c r="C1114" s="278" t="s">
        <v>10388</v>
      </c>
      <c r="D1114" s="279" t="s">
        <v>10389</v>
      </c>
      <c r="E1114" s="306" t="s">
        <v>10969</v>
      </c>
      <c r="F1114" s="278" t="s">
        <v>4109</v>
      </c>
      <c r="G1114" s="278" t="s">
        <v>4108</v>
      </c>
      <c r="H1114" s="306" t="s">
        <v>11221</v>
      </c>
      <c r="I1114" s="269" t="s">
        <v>11222</v>
      </c>
      <c r="J1114" s="306" t="s">
        <v>10969</v>
      </c>
    </row>
    <row r="1115" spans="1:10" ht="14.5" customHeight="1" x14ac:dyDescent="0.25">
      <c r="A1115" s="278" t="s">
        <v>3705</v>
      </c>
      <c r="B1115" s="278" t="s">
        <v>10904</v>
      </c>
      <c r="C1115" s="278" t="s">
        <v>10390</v>
      </c>
      <c r="D1115" s="279" t="s">
        <v>10391</v>
      </c>
      <c r="E1115" s="306" t="s">
        <v>10969</v>
      </c>
      <c r="F1115" s="278" t="s">
        <v>4109</v>
      </c>
      <c r="G1115" s="278" t="s">
        <v>4108</v>
      </c>
      <c r="H1115" s="306" t="s">
        <v>11219</v>
      </c>
      <c r="I1115" s="269" t="s">
        <v>11220</v>
      </c>
      <c r="J1115" s="306" t="s">
        <v>10969</v>
      </c>
    </row>
    <row r="1116" spans="1:10" ht="14.5" customHeight="1" x14ac:dyDescent="0.25">
      <c r="A1116" s="278" t="s">
        <v>3705</v>
      </c>
      <c r="B1116" s="278" t="s">
        <v>10904</v>
      </c>
      <c r="C1116" s="278" t="s">
        <v>10390</v>
      </c>
      <c r="D1116" s="279" t="s">
        <v>10391</v>
      </c>
      <c r="E1116" s="306" t="s">
        <v>10969</v>
      </c>
      <c r="F1116" s="278" t="s">
        <v>4109</v>
      </c>
      <c r="G1116" s="278" t="s">
        <v>4108</v>
      </c>
      <c r="H1116" s="306" t="s">
        <v>11260</v>
      </c>
      <c r="I1116" s="269" t="s">
        <v>11261</v>
      </c>
      <c r="J1116" s="306" t="s">
        <v>10969</v>
      </c>
    </row>
    <row r="1117" spans="1:10" ht="14.5" customHeight="1" x14ac:dyDescent="0.25">
      <c r="A1117" s="278" t="s">
        <v>3705</v>
      </c>
      <c r="B1117" s="278" t="s">
        <v>10904</v>
      </c>
      <c r="C1117" s="278" t="s">
        <v>10390</v>
      </c>
      <c r="D1117" s="279" t="s">
        <v>10391</v>
      </c>
      <c r="E1117" s="306" t="s">
        <v>10969</v>
      </c>
      <c r="F1117" s="278" t="s">
        <v>4109</v>
      </c>
      <c r="G1117" s="278" t="s">
        <v>4108</v>
      </c>
      <c r="H1117" s="306" t="s">
        <v>11221</v>
      </c>
      <c r="I1117" s="269" t="s">
        <v>11222</v>
      </c>
      <c r="J1117" s="306" t="s">
        <v>10969</v>
      </c>
    </row>
    <row r="1118" spans="1:10" ht="14.5" customHeight="1" x14ac:dyDescent="0.25">
      <c r="A1118" s="278" t="s">
        <v>3705</v>
      </c>
      <c r="B1118" s="278" t="s">
        <v>10904</v>
      </c>
      <c r="C1118" s="278" t="s">
        <v>10392</v>
      </c>
      <c r="D1118" s="279" t="s">
        <v>10393</v>
      </c>
      <c r="E1118" s="306" t="s">
        <v>10969</v>
      </c>
      <c r="F1118" s="278" t="s">
        <v>4109</v>
      </c>
      <c r="G1118" s="278" t="s">
        <v>4108</v>
      </c>
      <c r="H1118" s="306" t="s">
        <v>11258</v>
      </c>
      <c r="I1118" s="269" t="s">
        <v>11259</v>
      </c>
      <c r="J1118" s="306" t="s">
        <v>10969</v>
      </c>
    </row>
    <row r="1119" spans="1:10" ht="14.5" customHeight="1" x14ac:dyDescent="0.25">
      <c r="A1119" s="278" t="s">
        <v>3705</v>
      </c>
      <c r="B1119" s="278" t="s">
        <v>10904</v>
      </c>
      <c r="C1119" s="278" t="s">
        <v>10394</v>
      </c>
      <c r="D1119" s="279" t="s">
        <v>10395</v>
      </c>
      <c r="E1119" s="306" t="s">
        <v>10969</v>
      </c>
      <c r="F1119" s="278" t="s">
        <v>4109</v>
      </c>
      <c r="G1119" s="278" t="s">
        <v>4108</v>
      </c>
      <c r="H1119" s="306" t="s">
        <v>11266</v>
      </c>
      <c r="I1119" s="269" t="s">
        <v>11267</v>
      </c>
      <c r="J1119" s="306" t="s">
        <v>10969</v>
      </c>
    </row>
    <row r="1120" spans="1:10" ht="14.5" customHeight="1" x14ac:dyDescent="0.25">
      <c r="A1120" s="278" t="s">
        <v>3705</v>
      </c>
      <c r="B1120" s="278" t="s">
        <v>10904</v>
      </c>
      <c r="C1120" s="278" t="s">
        <v>10396</v>
      </c>
      <c r="D1120" s="279" t="s">
        <v>10397</v>
      </c>
      <c r="E1120" s="306" t="s">
        <v>10969</v>
      </c>
      <c r="F1120" s="278" t="s">
        <v>4109</v>
      </c>
      <c r="G1120" s="278" t="s">
        <v>4109</v>
      </c>
      <c r="H1120" s="306" t="s">
        <v>11266</v>
      </c>
      <c r="I1120" s="269" t="s">
        <v>11267</v>
      </c>
      <c r="J1120" s="306" t="s">
        <v>10969</v>
      </c>
    </row>
    <row r="1121" spans="1:10" ht="14.5" customHeight="1" x14ac:dyDescent="0.25">
      <c r="A1121" s="278" t="s">
        <v>3705</v>
      </c>
      <c r="B1121" s="278" t="s">
        <v>10904</v>
      </c>
      <c r="C1121" s="278" t="s">
        <v>10398</v>
      </c>
      <c r="D1121" s="279" t="s">
        <v>10399</v>
      </c>
      <c r="E1121" s="306" t="s">
        <v>10969</v>
      </c>
      <c r="F1121" s="278" t="s">
        <v>4109</v>
      </c>
      <c r="G1121" s="278" t="s">
        <v>4109</v>
      </c>
      <c r="H1121" s="306" t="s">
        <v>11258</v>
      </c>
      <c r="I1121" s="269" t="s">
        <v>11259</v>
      </c>
      <c r="J1121" s="306" t="s">
        <v>10969</v>
      </c>
    </row>
    <row r="1122" spans="1:10" ht="14.5" customHeight="1" x14ac:dyDescent="0.25">
      <c r="A1122" s="278" t="s">
        <v>3705</v>
      </c>
      <c r="B1122" s="278" t="s">
        <v>10904</v>
      </c>
      <c r="C1122" s="278" t="s">
        <v>10398</v>
      </c>
      <c r="D1122" s="279" t="s">
        <v>10399</v>
      </c>
      <c r="E1122" s="306" t="s">
        <v>10969</v>
      </c>
      <c r="F1122" s="278" t="s">
        <v>4109</v>
      </c>
      <c r="G1122" s="278" t="s">
        <v>4109</v>
      </c>
      <c r="H1122" s="306" t="s">
        <v>11264</v>
      </c>
      <c r="I1122" s="269" t="s">
        <v>11265</v>
      </c>
      <c r="J1122" s="306" t="s">
        <v>10969</v>
      </c>
    </row>
    <row r="1123" spans="1:10" ht="14.5" customHeight="1" x14ac:dyDescent="0.25">
      <c r="A1123" s="278" t="s">
        <v>3705</v>
      </c>
      <c r="B1123" s="278" t="s">
        <v>10904</v>
      </c>
      <c r="C1123" s="278" t="s">
        <v>10398</v>
      </c>
      <c r="D1123" s="279" t="s">
        <v>10399</v>
      </c>
      <c r="E1123" s="306" t="s">
        <v>10969</v>
      </c>
      <c r="F1123" s="278" t="s">
        <v>4109</v>
      </c>
      <c r="G1123" s="278" t="s">
        <v>4109</v>
      </c>
      <c r="H1123" s="306" t="s">
        <v>11268</v>
      </c>
      <c r="I1123" s="269" t="s">
        <v>11269</v>
      </c>
      <c r="J1123" s="306" t="s">
        <v>10969</v>
      </c>
    </row>
    <row r="1124" spans="1:10" ht="14.5" customHeight="1" x14ac:dyDescent="0.25">
      <c r="A1124" s="278" t="s">
        <v>3705</v>
      </c>
      <c r="B1124" s="278" t="s">
        <v>10904</v>
      </c>
      <c r="C1124" s="278" t="s">
        <v>10400</v>
      </c>
      <c r="D1124" s="279" t="s">
        <v>10401</v>
      </c>
      <c r="E1124" s="306" t="s">
        <v>10969</v>
      </c>
      <c r="F1124" s="278" t="s">
        <v>4109</v>
      </c>
      <c r="G1124" s="278" t="s">
        <v>4108</v>
      </c>
      <c r="H1124" s="306" t="s">
        <v>11252</v>
      </c>
      <c r="I1124" s="269" t="s">
        <v>11253</v>
      </c>
      <c r="J1124" s="306" t="s">
        <v>10969</v>
      </c>
    </row>
    <row r="1125" spans="1:10" ht="14.5" customHeight="1" x14ac:dyDescent="0.25">
      <c r="A1125" s="278" t="s">
        <v>3705</v>
      </c>
      <c r="B1125" s="278" t="s">
        <v>10904</v>
      </c>
      <c r="C1125" s="278" t="s">
        <v>10400</v>
      </c>
      <c r="D1125" s="279" t="s">
        <v>10401</v>
      </c>
      <c r="E1125" s="306" t="s">
        <v>10969</v>
      </c>
      <c r="F1125" s="278" t="s">
        <v>4109</v>
      </c>
      <c r="G1125" s="278" t="s">
        <v>4108</v>
      </c>
      <c r="H1125" s="306" t="s">
        <v>11254</v>
      </c>
      <c r="I1125" s="269" t="s">
        <v>11255</v>
      </c>
      <c r="J1125" s="306" t="s">
        <v>10969</v>
      </c>
    </row>
    <row r="1126" spans="1:10" ht="14.5" customHeight="1" x14ac:dyDescent="0.25">
      <c r="A1126" s="278" t="s">
        <v>3705</v>
      </c>
      <c r="B1126" s="278" t="s">
        <v>10904</v>
      </c>
      <c r="C1126" s="278" t="s">
        <v>10400</v>
      </c>
      <c r="D1126" s="279" t="s">
        <v>10401</v>
      </c>
      <c r="E1126" s="306" t="s">
        <v>10969</v>
      </c>
      <c r="F1126" s="278" t="s">
        <v>4109</v>
      </c>
      <c r="G1126" s="278" t="s">
        <v>4108</v>
      </c>
      <c r="H1126" s="306" t="s">
        <v>11256</v>
      </c>
      <c r="I1126" s="269" t="s">
        <v>11257</v>
      </c>
      <c r="J1126" s="306" t="s">
        <v>10969</v>
      </c>
    </row>
    <row r="1127" spans="1:10" ht="14.5" customHeight="1" x14ac:dyDescent="0.25">
      <c r="A1127" s="278" t="s">
        <v>3705</v>
      </c>
      <c r="B1127" s="278" t="s">
        <v>10904</v>
      </c>
      <c r="C1127" s="278" t="s">
        <v>10400</v>
      </c>
      <c r="D1127" s="279" t="s">
        <v>10401</v>
      </c>
      <c r="E1127" s="306" t="s">
        <v>10969</v>
      </c>
      <c r="F1127" s="278" t="s">
        <v>4109</v>
      </c>
      <c r="G1127" s="278" t="s">
        <v>4108</v>
      </c>
      <c r="H1127" s="306" t="s">
        <v>11258</v>
      </c>
      <c r="I1127" s="269" t="s">
        <v>11259</v>
      </c>
      <c r="J1127" s="306" t="s">
        <v>10969</v>
      </c>
    </row>
    <row r="1128" spans="1:10" ht="14.5" customHeight="1" x14ac:dyDescent="0.25">
      <c r="A1128" s="278" t="s">
        <v>3705</v>
      </c>
      <c r="B1128" s="278" t="s">
        <v>10904</v>
      </c>
      <c r="C1128" s="278" t="s">
        <v>10400</v>
      </c>
      <c r="D1128" s="279" t="s">
        <v>10401</v>
      </c>
      <c r="E1128" s="306" t="s">
        <v>10969</v>
      </c>
      <c r="F1128" s="278" t="s">
        <v>4109</v>
      </c>
      <c r="G1128" s="278" t="s">
        <v>4108</v>
      </c>
      <c r="H1128" s="306" t="s">
        <v>11260</v>
      </c>
      <c r="I1128" s="269" t="s">
        <v>11261</v>
      </c>
      <c r="J1128" s="306" t="s">
        <v>10969</v>
      </c>
    </row>
    <row r="1129" spans="1:10" ht="14.5" customHeight="1" x14ac:dyDescent="0.25">
      <c r="A1129" s="278" t="s">
        <v>3705</v>
      </c>
      <c r="B1129" s="278" t="s">
        <v>10904</v>
      </c>
      <c r="C1129" s="278" t="s">
        <v>10400</v>
      </c>
      <c r="D1129" s="279" t="s">
        <v>10401</v>
      </c>
      <c r="E1129" s="306" t="s">
        <v>10969</v>
      </c>
      <c r="F1129" s="278" t="s">
        <v>4109</v>
      </c>
      <c r="G1129" s="278" t="s">
        <v>4108</v>
      </c>
      <c r="H1129" s="306" t="s">
        <v>11262</v>
      </c>
      <c r="I1129" s="269" t="s">
        <v>11263</v>
      </c>
      <c r="J1129" s="306" t="s">
        <v>10969</v>
      </c>
    </row>
    <row r="1130" spans="1:10" ht="14.5" customHeight="1" x14ac:dyDescent="0.25">
      <c r="A1130" s="278" t="s">
        <v>3705</v>
      </c>
      <c r="B1130" s="278" t="s">
        <v>10904</v>
      </c>
      <c r="C1130" s="278" t="s">
        <v>10400</v>
      </c>
      <c r="D1130" s="279" t="s">
        <v>10401</v>
      </c>
      <c r="E1130" s="306" t="s">
        <v>10969</v>
      </c>
      <c r="F1130" s="278" t="s">
        <v>4109</v>
      </c>
      <c r="G1130" s="278" t="s">
        <v>4108</v>
      </c>
      <c r="H1130" s="306" t="s">
        <v>11264</v>
      </c>
      <c r="I1130" s="269" t="s">
        <v>11265</v>
      </c>
      <c r="J1130" s="306" t="s">
        <v>10969</v>
      </c>
    </row>
    <row r="1131" spans="1:10" ht="14.5" customHeight="1" x14ac:dyDescent="0.25">
      <c r="A1131" s="278" t="s">
        <v>3705</v>
      </c>
      <c r="B1131" s="278" t="s">
        <v>10904</v>
      </c>
      <c r="C1131" s="278" t="s">
        <v>10400</v>
      </c>
      <c r="D1131" s="279" t="s">
        <v>10401</v>
      </c>
      <c r="E1131" s="306" t="s">
        <v>10969</v>
      </c>
      <c r="F1131" s="278" t="s">
        <v>4109</v>
      </c>
      <c r="G1131" s="278" t="s">
        <v>4108</v>
      </c>
      <c r="H1131" s="306" t="s">
        <v>11266</v>
      </c>
      <c r="I1131" s="269" t="s">
        <v>11267</v>
      </c>
      <c r="J1131" s="306" t="s">
        <v>10969</v>
      </c>
    </row>
    <row r="1132" spans="1:10" ht="14.5" customHeight="1" x14ac:dyDescent="0.25">
      <c r="A1132" s="278" t="s">
        <v>3705</v>
      </c>
      <c r="B1132" s="278" t="s">
        <v>10904</v>
      </c>
      <c r="C1132" s="278" t="s">
        <v>10400</v>
      </c>
      <c r="D1132" s="279" t="s">
        <v>10401</v>
      </c>
      <c r="E1132" s="306" t="s">
        <v>10969</v>
      </c>
      <c r="F1132" s="278" t="s">
        <v>4109</v>
      </c>
      <c r="G1132" s="278" t="s">
        <v>4108</v>
      </c>
      <c r="H1132" s="306" t="s">
        <v>11268</v>
      </c>
      <c r="I1132" s="269" t="s">
        <v>11269</v>
      </c>
      <c r="J1132" s="306" t="s">
        <v>10969</v>
      </c>
    </row>
    <row r="1133" spans="1:10" ht="14.5" customHeight="1" x14ac:dyDescent="0.25">
      <c r="A1133" s="278" t="s">
        <v>3705</v>
      </c>
      <c r="B1133" s="278" t="s">
        <v>10904</v>
      </c>
      <c r="C1133" s="278" t="s">
        <v>10403</v>
      </c>
      <c r="D1133" s="279" t="s">
        <v>10404</v>
      </c>
      <c r="E1133" s="306" t="s">
        <v>10969</v>
      </c>
      <c r="F1133" s="278" t="s">
        <v>4109</v>
      </c>
      <c r="G1133" s="278" t="s">
        <v>4108</v>
      </c>
      <c r="H1133" s="306" t="s">
        <v>11252</v>
      </c>
      <c r="I1133" s="269" t="s">
        <v>11253</v>
      </c>
      <c r="J1133" s="306" t="s">
        <v>10969</v>
      </c>
    </row>
    <row r="1134" spans="1:10" ht="14.5" customHeight="1" x14ac:dyDescent="0.25">
      <c r="A1134" s="352" t="s">
        <v>3705</v>
      </c>
      <c r="B1134" s="284" t="s">
        <v>10904</v>
      </c>
      <c r="C1134" s="284" t="s">
        <v>10403</v>
      </c>
      <c r="D1134" s="285" t="s">
        <v>10404</v>
      </c>
      <c r="E1134" s="342" t="s">
        <v>10969</v>
      </c>
      <c r="F1134" s="284" t="s">
        <v>4109</v>
      </c>
      <c r="G1134" s="284" t="s">
        <v>4108</v>
      </c>
      <c r="H1134" s="342" t="s">
        <v>11254</v>
      </c>
      <c r="I1134" s="271" t="s">
        <v>11255</v>
      </c>
      <c r="J1134" s="342" t="s">
        <v>10969</v>
      </c>
    </row>
    <row r="1135" spans="1:10" ht="14.5" customHeight="1" x14ac:dyDescent="0.25">
      <c r="A1135" s="278" t="s">
        <v>3705</v>
      </c>
      <c r="B1135" s="278" t="s">
        <v>10904</v>
      </c>
      <c r="C1135" s="278" t="s">
        <v>10403</v>
      </c>
      <c r="D1135" s="279" t="s">
        <v>10404</v>
      </c>
      <c r="E1135" s="306" t="s">
        <v>10969</v>
      </c>
      <c r="F1135" s="278" t="s">
        <v>4109</v>
      </c>
      <c r="G1135" s="278" t="s">
        <v>4108</v>
      </c>
      <c r="H1135" s="306" t="s">
        <v>11256</v>
      </c>
      <c r="I1135" s="269" t="s">
        <v>11257</v>
      </c>
      <c r="J1135" s="306" t="s">
        <v>10969</v>
      </c>
    </row>
    <row r="1136" spans="1:10" ht="14.5" customHeight="1" x14ac:dyDescent="0.25">
      <c r="A1136" s="278" t="s">
        <v>3705</v>
      </c>
      <c r="B1136" s="278" t="s">
        <v>10904</v>
      </c>
      <c r="C1136" s="278" t="s">
        <v>10403</v>
      </c>
      <c r="D1136" s="279" t="s">
        <v>10404</v>
      </c>
      <c r="E1136" s="306" t="s">
        <v>10969</v>
      </c>
      <c r="F1136" s="278" t="s">
        <v>4109</v>
      </c>
      <c r="G1136" s="278" t="s">
        <v>4108</v>
      </c>
      <c r="H1136" s="306" t="s">
        <v>11258</v>
      </c>
      <c r="I1136" s="269" t="s">
        <v>11259</v>
      </c>
      <c r="J1136" s="306" t="s">
        <v>10969</v>
      </c>
    </row>
    <row r="1137" spans="1:10" ht="14.5" customHeight="1" x14ac:dyDescent="0.25">
      <c r="A1137" s="278" t="s">
        <v>3705</v>
      </c>
      <c r="B1137" s="278" t="s">
        <v>10904</v>
      </c>
      <c r="C1137" s="278" t="s">
        <v>10403</v>
      </c>
      <c r="D1137" s="279" t="s">
        <v>10404</v>
      </c>
      <c r="E1137" s="306" t="s">
        <v>10969</v>
      </c>
      <c r="F1137" s="278" t="s">
        <v>4109</v>
      </c>
      <c r="G1137" s="278" t="s">
        <v>4108</v>
      </c>
      <c r="H1137" s="306" t="s">
        <v>11260</v>
      </c>
      <c r="I1137" s="269" t="s">
        <v>11261</v>
      </c>
      <c r="J1137" s="306" t="s">
        <v>10969</v>
      </c>
    </row>
    <row r="1138" spans="1:10" ht="14.5" customHeight="1" x14ac:dyDescent="0.25">
      <c r="A1138" s="278" t="s">
        <v>3705</v>
      </c>
      <c r="B1138" s="278" t="s">
        <v>10904</v>
      </c>
      <c r="C1138" s="278" t="s">
        <v>10403</v>
      </c>
      <c r="D1138" s="279" t="s">
        <v>10404</v>
      </c>
      <c r="E1138" s="306" t="s">
        <v>10969</v>
      </c>
      <c r="F1138" s="278" t="s">
        <v>4109</v>
      </c>
      <c r="G1138" s="278" t="s">
        <v>4108</v>
      </c>
      <c r="H1138" s="306" t="s">
        <v>11262</v>
      </c>
      <c r="I1138" s="269" t="s">
        <v>11263</v>
      </c>
      <c r="J1138" s="306" t="s">
        <v>10969</v>
      </c>
    </row>
    <row r="1139" spans="1:10" ht="14.5" customHeight="1" x14ac:dyDescent="0.25">
      <c r="A1139" s="278" t="s">
        <v>3705</v>
      </c>
      <c r="B1139" s="278" t="s">
        <v>10904</v>
      </c>
      <c r="C1139" s="278" t="s">
        <v>10403</v>
      </c>
      <c r="D1139" s="279" t="s">
        <v>10404</v>
      </c>
      <c r="E1139" s="306" t="s">
        <v>10969</v>
      </c>
      <c r="F1139" s="278" t="s">
        <v>4109</v>
      </c>
      <c r="G1139" s="278" t="s">
        <v>4108</v>
      </c>
      <c r="H1139" s="306" t="s">
        <v>11264</v>
      </c>
      <c r="I1139" s="269" t="s">
        <v>11265</v>
      </c>
      <c r="J1139" s="306" t="s">
        <v>10969</v>
      </c>
    </row>
    <row r="1140" spans="1:10" ht="14.5" customHeight="1" x14ac:dyDescent="0.25">
      <c r="A1140" s="278" t="s">
        <v>3705</v>
      </c>
      <c r="B1140" s="278" t="s">
        <v>10904</v>
      </c>
      <c r="C1140" s="278" t="s">
        <v>10403</v>
      </c>
      <c r="D1140" s="279" t="s">
        <v>10404</v>
      </c>
      <c r="E1140" s="306" t="s">
        <v>10969</v>
      </c>
      <c r="F1140" s="278" t="s">
        <v>4109</v>
      </c>
      <c r="G1140" s="278" t="s">
        <v>4108</v>
      </c>
      <c r="H1140" s="306" t="s">
        <v>11266</v>
      </c>
      <c r="I1140" s="269" t="s">
        <v>11267</v>
      </c>
      <c r="J1140" s="306" t="s">
        <v>10969</v>
      </c>
    </row>
    <row r="1141" spans="1:10" ht="14.5" customHeight="1" x14ac:dyDescent="0.25">
      <c r="A1141" s="278" t="s">
        <v>3705</v>
      </c>
      <c r="B1141" s="278" t="s">
        <v>10904</v>
      </c>
      <c r="C1141" s="278" t="s">
        <v>10405</v>
      </c>
      <c r="D1141" s="279" t="s">
        <v>10406</v>
      </c>
      <c r="E1141" s="306" t="s">
        <v>10969</v>
      </c>
      <c r="F1141" s="278" t="s">
        <v>4109</v>
      </c>
      <c r="G1141" s="278" t="s">
        <v>4108</v>
      </c>
      <c r="H1141" s="306" t="s">
        <v>11219</v>
      </c>
      <c r="I1141" s="269" t="s">
        <v>11220</v>
      </c>
      <c r="J1141" s="306" t="s">
        <v>10969</v>
      </c>
    </row>
    <row r="1142" spans="1:10" ht="14.5" customHeight="1" x14ac:dyDescent="0.25">
      <c r="A1142" s="278" t="s">
        <v>3705</v>
      </c>
      <c r="B1142" s="278" t="s">
        <v>10904</v>
      </c>
      <c r="C1142" s="278" t="s">
        <v>10405</v>
      </c>
      <c r="D1142" s="279" t="s">
        <v>10406</v>
      </c>
      <c r="E1142" s="306" t="s">
        <v>10969</v>
      </c>
      <c r="F1142" s="278" t="s">
        <v>4109</v>
      </c>
      <c r="G1142" s="278" t="s">
        <v>4108</v>
      </c>
      <c r="H1142" s="306" t="s">
        <v>11266</v>
      </c>
      <c r="I1142" s="269" t="s">
        <v>11267</v>
      </c>
      <c r="J1142" s="306" t="s">
        <v>10969</v>
      </c>
    </row>
    <row r="1143" spans="1:10" ht="14.5" customHeight="1" x14ac:dyDescent="0.25">
      <c r="A1143" s="278" t="s">
        <v>3705</v>
      </c>
      <c r="B1143" s="278" t="s">
        <v>10904</v>
      </c>
      <c r="C1143" s="278" t="s">
        <v>10405</v>
      </c>
      <c r="D1143" s="279" t="s">
        <v>10406</v>
      </c>
      <c r="E1143" s="306" t="s">
        <v>10969</v>
      </c>
      <c r="F1143" s="278" t="s">
        <v>4109</v>
      </c>
      <c r="G1143" s="278" t="s">
        <v>4108</v>
      </c>
      <c r="H1143" s="306" t="s">
        <v>11221</v>
      </c>
      <c r="I1143" s="269" t="s">
        <v>11222</v>
      </c>
      <c r="J1143" s="306" t="s">
        <v>10969</v>
      </c>
    </row>
    <row r="1144" spans="1:10" ht="14.5" customHeight="1" x14ac:dyDescent="0.25">
      <c r="A1144" s="278" t="s">
        <v>3705</v>
      </c>
      <c r="B1144" s="278" t="s">
        <v>10904</v>
      </c>
      <c r="C1144" s="278" t="s">
        <v>10407</v>
      </c>
      <c r="D1144" s="279" t="s">
        <v>10408</v>
      </c>
      <c r="E1144" s="306" t="s">
        <v>10969</v>
      </c>
      <c r="F1144" s="278" t="s">
        <v>4109</v>
      </c>
      <c r="G1144" s="278" t="s">
        <v>4108</v>
      </c>
      <c r="H1144" s="306" t="s">
        <v>11219</v>
      </c>
      <c r="I1144" s="269" t="s">
        <v>11220</v>
      </c>
      <c r="J1144" s="306" t="s">
        <v>10969</v>
      </c>
    </row>
    <row r="1145" spans="1:10" ht="14.5" customHeight="1" x14ac:dyDescent="0.25">
      <c r="A1145" s="278" t="s">
        <v>3705</v>
      </c>
      <c r="B1145" s="278" t="s">
        <v>10904</v>
      </c>
      <c r="C1145" s="278" t="s">
        <v>10407</v>
      </c>
      <c r="D1145" s="279" t="s">
        <v>10408</v>
      </c>
      <c r="E1145" s="306" t="s">
        <v>10969</v>
      </c>
      <c r="F1145" s="278" t="s">
        <v>4109</v>
      </c>
      <c r="G1145" s="278" t="s">
        <v>4108</v>
      </c>
      <c r="H1145" s="306" t="s">
        <v>11268</v>
      </c>
      <c r="I1145" s="269" t="s">
        <v>11269</v>
      </c>
      <c r="J1145" s="306" t="s">
        <v>10969</v>
      </c>
    </row>
    <row r="1146" spans="1:10" ht="14.5" customHeight="1" x14ac:dyDescent="0.25">
      <c r="A1146" s="278" t="s">
        <v>3705</v>
      </c>
      <c r="B1146" s="278" t="s">
        <v>10904</v>
      </c>
      <c r="C1146" s="278" t="s">
        <v>10407</v>
      </c>
      <c r="D1146" s="279" t="s">
        <v>10408</v>
      </c>
      <c r="E1146" s="306" t="s">
        <v>10969</v>
      </c>
      <c r="F1146" s="278" t="s">
        <v>4109</v>
      </c>
      <c r="G1146" s="278" t="s">
        <v>4108</v>
      </c>
      <c r="H1146" s="306" t="s">
        <v>11221</v>
      </c>
      <c r="I1146" s="269" t="s">
        <v>11222</v>
      </c>
      <c r="J1146" s="306" t="s">
        <v>10969</v>
      </c>
    </row>
    <row r="1147" spans="1:10" ht="14.5" customHeight="1" x14ac:dyDescent="0.25">
      <c r="A1147" s="278" t="s">
        <v>3705</v>
      </c>
      <c r="B1147" s="278" t="s">
        <v>10904</v>
      </c>
      <c r="C1147" s="278" t="s">
        <v>10409</v>
      </c>
      <c r="D1147" s="279" t="s">
        <v>10410</v>
      </c>
      <c r="E1147" s="306" t="s">
        <v>10969</v>
      </c>
      <c r="F1147" s="278" t="s">
        <v>4109</v>
      </c>
      <c r="G1147" s="278" t="s">
        <v>4108</v>
      </c>
      <c r="H1147" s="306" t="s">
        <v>11262</v>
      </c>
      <c r="I1147" s="269" t="s">
        <v>11263</v>
      </c>
      <c r="J1147" s="306" t="s">
        <v>10969</v>
      </c>
    </row>
    <row r="1148" spans="1:10" ht="14.5" customHeight="1" x14ac:dyDescent="0.25">
      <c r="A1148" s="352" t="s">
        <v>3705</v>
      </c>
      <c r="B1148" s="284" t="s">
        <v>10904</v>
      </c>
      <c r="C1148" s="284" t="s">
        <v>10409</v>
      </c>
      <c r="D1148" s="285" t="s">
        <v>10410</v>
      </c>
      <c r="E1148" s="342" t="s">
        <v>10969</v>
      </c>
      <c r="F1148" s="284" t="s">
        <v>4109</v>
      </c>
      <c r="G1148" s="284" t="s">
        <v>4108</v>
      </c>
      <c r="H1148" s="342" t="s">
        <v>11264</v>
      </c>
      <c r="I1148" s="271" t="s">
        <v>11265</v>
      </c>
      <c r="J1148" s="342" t="s">
        <v>10969</v>
      </c>
    </row>
    <row r="1149" spans="1:10" ht="14.5" customHeight="1" x14ac:dyDescent="0.25">
      <c r="A1149" s="278" t="s">
        <v>3705</v>
      </c>
      <c r="B1149" s="278" t="s">
        <v>10904</v>
      </c>
      <c r="C1149" s="278" t="s">
        <v>10409</v>
      </c>
      <c r="D1149" s="279" t="s">
        <v>10410</v>
      </c>
      <c r="E1149" s="306" t="s">
        <v>10969</v>
      </c>
      <c r="F1149" s="278" t="s">
        <v>4109</v>
      </c>
      <c r="G1149" s="278" t="s">
        <v>4108</v>
      </c>
      <c r="H1149" s="306" t="s">
        <v>11272</v>
      </c>
      <c r="I1149" s="269" t="s">
        <v>11273</v>
      </c>
      <c r="J1149" s="306" t="s">
        <v>10969</v>
      </c>
    </row>
    <row r="1150" spans="1:10" ht="14.5" customHeight="1" x14ac:dyDescent="0.25">
      <c r="A1150" s="278" t="s">
        <v>3705</v>
      </c>
      <c r="B1150" s="278" t="s">
        <v>10904</v>
      </c>
      <c r="C1150" s="278" t="s">
        <v>10409</v>
      </c>
      <c r="D1150" s="279" t="s">
        <v>10410</v>
      </c>
      <c r="E1150" s="306" t="s">
        <v>10969</v>
      </c>
      <c r="F1150" s="278" t="s">
        <v>4109</v>
      </c>
      <c r="G1150" s="278" t="s">
        <v>4108</v>
      </c>
      <c r="H1150" s="306" t="s">
        <v>11274</v>
      </c>
      <c r="I1150" s="269" t="s">
        <v>11275</v>
      </c>
      <c r="J1150" s="306" t="s">
        <v>10969</v>
      </c>
    </row>
    <row r="1151" spans="1:10" ht="14.5" customHeight="1" x14ac:dyDescent="0.25">
      <c r="A1151" s="278" t="s">
        <v>3705</v>
      </c>
      <c r="B1151" s="278" t="s">
        <v>10904</v>
      </c>
      <c r="C1151" s="278" t="s">
        <v>10411</v>
      </c>
      <c r="D1151" s="279" t="s">
        <v>10412</v>
      </c>
      <c r="E1151" s="306" t="s">
        <v>10969</v>
      </c>
      <c r="F1151" s="278" t="s">
        <v>4109</v>
      </c>
      <c r="G1151" s="278" t="s">
        <v>4108</v>
      </c>
      <c r="H1151" s="306" t="s">
        <v>11274</v>
      </c>
      <c r="I1151" s="269" t="s">
        <v>11275</v>
      </c>
      <c r="J1151" s="306" t="s">
        <v>10969</v>
      </c>
    </row>
    <row r="1152" spans="1:10" ht="14.5" customHeight="1" x14ac:dyDescent="0.25">
      <c r="A1152" s="278" t="s">
        <v>3705</v>
      </c>
      <c r="B1152" s="278" t="s">
        <v>10904</v>
      </c>
      <c r="C1152" s="278" t="s">
        <v>10414</v>
      </c>
      <c r="D1152" s="279" t="s">
        <v>10415</v>
      </c>
      <c r="E1152" s="306" t="s">
        <v>10969</v>
      </c>
      <c r="F1152" s="278" t="s">
        <v>4109</v>
      </c>
      <c r="G1152" s="278" t="s">
        <v>4109</v>
      </c>
      <c r="H1152" s="306" t="s">
        <v>11274</v>
      </c>
      <c r="I1152" s="269" t="s">
        <v>11275</v>
      </c>
      <c r="J1152" s="306" t="s">
        <v>10969</v>
      </c>
    </row>
    <row r="1153" spans="1:10" ht="14.5" customHeight="1" x14ac:dyDescent="0.25">
      <c r="A1153" s="278" t="s">
        <v>3705</v>
      </c>
      <c r="B1153" s="278" t="s">
        <v>10904</v>
      </c>
      <c r="C1153" s="278" t="s">
        <v>10416</v>
      </c>
      <c r="D1153" s="279" t="s">
        <v>10417</v>
      </c>
      <c r="E1153" s="306" t="s">
        <v>10969</v>
      </c>
      <c r="F1153" s="278" t="s">
        <v>4109</v>
      </c>
      <c r="G1153" s="278" t="s">
        <v>4108</v>
      </c>
      <c r="H1153" s="306" t="s">
        <v>11219</v>
      </c>
      <c r="I1153" s="269" t="s">
        <v>11220</v>
      </c>
      <c r="J1153" s="306" t="s">
        <v>10969</v>
      </c>
    </row>
    <row r="1154" spans="1:10" ht="14.5" customHeight="1" x14ac:dyDescent="0.25">
      <c r="A1154" s="278" t="s">
        <v>3705</v>
      </c>
      <c r="B1154" s="278" t="s">
        <v>10904</v>
      </c>
      <c r="C1154" s="278" t="s">
        <v>10416</v>
      </c>
      <c r="D1154" s="279" t="s">
        <v>10417</v>
      </c>
      <c r="E1154" s="306" t="s">
        <v>10969</v>
      </c>
      <c r="F1154" s="278" t="s">
        <v>4109</v>
      </c>
      <c r="G1154" s="278" t="s">
        <v>4108</v>
      </c>
      <c r="H1154" s="306" t="s">
        <v>11274</v>
      </c>
      <c r="I1154" s="269" t="s">
        <v>11275</v>
      </c>
      <c r="J1154" s="306" t="s">
        <v>10969</v>
      </c>
    </row>
    <row r="1155" spans="1:10" ht="14.5" customHeight="1" x14ac:dyDescent="0.25">
      <c r="A1155" s="278" t="s">
        <v>3705</v>
      </c>
      <c r="B1155" s="278" t="s">
        <v>10904</v>
      </c>
      <c r="C1155" s="278" t="s">
        <v>10416</v>
      </c>
      <c r="D1155" s="279" t="s">
        <v>10417</v>
      </c>
      <c r="E1155" s="306" t="s">
        <v>10969</v>
      </c>
      <c r="F1155" s="278" t="s">
        <v>4109</v>
      </c>
      <c r="G1155" s="278" t="s">
        <v>4108</v>
      </c>
      <c r="H1155" s="306" t="s">
        <v>11221</v>
      </c>
      <c r="I1155" s="269" t="s">
        <v>11222</v>
      </c>
      <c r="J1155" s="306" t="s">
        <v>10969</v>
      </c>
    </row>
    <row r="1156" spans="1:10" ht="14.5" customHeight="1" x14ac:dyDescent="0.25">
      <c r="A1156" s="278" t="s">
        <v>3705</v>
      </c>
      <c r="B1156" s="278" t="s">
        <v>10904</v>
      </c>
      <c r="C1156" s="278" t="s">
        <v>10418</v>
      </c>
      <c r="D1156" s="279" t="s">
        <v>10419</v>
      </c>
      <c r="E1156" s="306" t="s">
        <v>10969</v>
      </c>
      <c r="F1156" s="278" t="s">
        <v>4109</v>
      </c>
      <c r="G1156" s="278" t="s">
        <v>4108</v>
      </c>
      <c r="H1156" s="306" t="s">
        <v>11272</v>
      </c>
      <c r="I1156" s="269" t="s">
        <v>11273</v>
      </c>
      <c r="J1156" s="306" t="s">
        <v>10969</v>
      </c>
    </row>
    <row r="1157" spans="1:10" ht="14.5" customHeight="1" x14ac:dyDescent="0.25">
      <c r="A1157" s="278" t="s">
        <v>3705</v>
      </c>
      <c r="B1157" s="278" t="s">
        <v>10904</v>
      </c>
      <c r="C1157" s="278" t="s">
        <v>10420</v>
      </c>
      <c r="D1157" s="279" t="s">
        <v>10421</v>
      </c>
      <c r="E1157" s="306" t="s">
        <v>10969</v>
      </c>
      <c r="F1157" s="278" t="s">
        <v>4109</v>
      </c>
      <c r="G1157" s="278" t="s">
        <v>4109</v>
      </c>
      <c r="H1157" s="306" t="s">
        <v>11272</v>
      </c>
      <c r="I1157" s="269" t="s">
        <v>11273</v>
      </c>
      <c r="J1157" s="306" t="s">
        <v>10969</v>
      </c>
    </row>
    <row r="1158" spans="1:10" ht="14.5" customHeight="1" x14ac:dyDescent="0.25">
      <c r="A1158" s="278" t="s">
        <v>3705</v>
      </c>
      <c r="B1158" s="278" t="s">
        <v>10904</v>
      </c>
      <c r="C1158" s="278" t="s">
        <v>10423</v>
      </c>
      <c r="D1158" s="279" t="s">
        <v>10424</v>
      </c>
      <c r="E1158" s="306" t="s">
        <v>10969</v>
      </c>
      <c r="F1158" s="278" t="s">
        <v>4109</v>
      </c>
      <c r="G1158" s="278" t="s">
        <v>4108</v>
      </c>
      <c r="H1158" s="306" t="s">
        <v>11219</v>
      </c>
      <c r="I1158" s="269" t="s">
        <v>11220</v>
      </c>
      <c r="J1158" s="306" t="s">
        <v>10969</v>
      </c>
    </row>
    <row r="1159" spans="1:10" ht="14.5" customHeight="1" x14ac:dyDescent="0.25">
      <c r="A1159" s="278" t="s">
        <v>3705</v>
      </c>
      <c r="B1159" s="278" t="s">
        <v>10904</v>
      </c>
      <c r="C1159" s="278" t="s">
        <v>10423</v>
      </c>
      <c r="D1159" s="279" t="s">
        <v>10424</v>
      </c>
      <c r="E1159" s="306" t="s">
        <v>10969</v>
      </c>
      <c r="F1159" s="278" t="s">
        <v>4109</v>
      </c>
      <c r="G1159" s="278" t="s">
        <v>4108</v>
      </c>
      <c r="H1159" s="306" t="s">
        <v>11272</v>
      </c>
      <c r="I1159" s="269" t="s">
        <v>11273</v>
      </c>
      <c r="J1159" s="306" t="s">
        <v>10969</v>
      </c>
    </row>
    <row r="1160" spans="1:10" ht="14.5" customHeight="1" x14ac:dyDescent="0.25">
      <c r="A1160" s="278" t="s">
        <v>3705</v>
      </c>
      <c r="B1160" s="278" t="s">
        <v>10904</v>
      </c>
      <c r="C1160" s="278" t="s">
        <v>10423</v>
      </c>
      <c r="D1160" s="279" t="s">
        <v>10424</v>
      </c>
      <c r="E1160" s="306" t="s">
        <v>10969</v>
      </c>
      <c r="F1160" s="278" t="s">
        <v>4109</v>
      </c>
      <c r="G1160" s="278" t="s">
        <v>4108</v>
      </c>
      <c r="H1160" s="306" t="s">
        <v>11221</v>
      </c>
      <c r="I1160" s="269" t="s">
        <v>11222</v>
      </c>
      <c r="J1160" s="306" t="s">
        <v>10969</v>
      </c>
    </row>
    <row r="1161" spans="1:10" ht="14.5" customHeight="1" x14ac:dyDescent="0.25">
      <c r="A1161" s="278" t="s">
        <v>3705</v>
      </c>
      <c r="B1161" s="278" t="s">
        <v>10904</v>
      </c>
      <c r="C1161" s="278" t="s">
        <v>10425</v>
      </c>
      <c r="D1161" s="279" t="s">
        <v>10426</v>
      </c>
      <c r="E1161" s="306" t="s">
        <v>10969</v>
      </c>
      <c r="F1161" s="278" t="s">
        <v>4109</v>
      </c>
      <c r="G1161" s="278" t="s">
        <v>4108</v>
      </c>
      <c r="H1161" s="306" t="s">
        <v>11276</v>
      </c>
      <c r="I1161" s="269" t="s">
        <v>11277</v>
      </c>
      <c r="J1161" s="306" t="s">
        <v>10969</v>
      </c>
    </row>
    <row r="1162" spans="1:10" ht="14.5" customHeight="1" x14ac:dyDescent="0.25">
      <c r="A1162" s="278" t="s">
        <v>3705</v>
      </c>
      <c r="B1162" s="278" t="s">
        <v>10904</v>
      </c>
      <c r="C1162" s="278" t="s">
        <v>10425</v>
      </c>
      <c r="D1162" s="279" t="s">
        <v>10426</v>
      </c>
      <c r="E1162" s="306" t="s">
        <v>10969</v>
      </c>
      <c r="F1162" s="278" t="s">
        <v>4109</v>
      </c>
      <c r="G1162" s="278" t="s">
        <v>4108</v>
      </c>
      <c r="H1162" s="306" t="s">
        <v>11278</v>
      </c>
      <c r="I1162" s="269" t="s">
        <v>11279</v>
      </c>
      <c r="J1162" s="306" t="s">
        <v>10969</v>
      </c>
    </row>
    <row r="1163" spans="1:10" ht="14.5" customHeight="1" x14ac:dyDescent="0.25">
      <c r="A1163" s="278" t="s">
        <v>3705</v>
      </c>
      <c r="B1163" s="278" t="s">
        <v>10904</v>
      </c>
      <c r="C1163" s="278" t="s">
        <v>10425</v>
      </c>
      <c r="D1163" s="279" t="s">
        <v>10426</v>
      </c>
      <c r="E1163" s="306" t="s">
        <v>10969</v>
      </c>
      <c r="F1163" s="278" t="s">
        <v>4109</v>
      </c>
      <c r="G1163" s="278" t="s">
        <v>4108</v>
      </c>
      <c r="H1163" s="306" t="s">
        <v>11280</v>
      </c>
      <c r="I1163" s="269" t="s">
        <v>11279</v>
      </c>
      <c r="J1163" s="306" t="s">
        <v>10969</v>
      </c>
    </row>
    <row r="1164" spans="1:10" ht="14.5" customHeight="1" x14ac:dyDescent="0.25">
      <c r="A1164" s="278" t="s">
        <v>3705</v>
      </c>
      <c r="B1164" s="278" t="s">
        <v>10904</v>
      </c>
      <c r="C1164" s="278" t="s">
        <v>10425</v>
      </c>
      <c r="D1164" s="279" t="s">
        <v>10426</v>
      </c>
      <c r="E1164" s="306" t="s">
        <v>10969</v>
      </c>
      <c r="F1164" s="278" t="s">
        <v>4109</v>
      </c>
      <c r="G1164" s="278" t="s">
        <v>4108</v>
      </c>
      <c r="H1164" s="306" t="s">
        <v>11281</v>
      </c>
      <c r="I1164" s="269" t="s">
        <v>11282</v>
      </c>
      <c r="J1164" s="306" t="s">
        <v>10969</v>
      </c>
    </row>
    <row r="1165" spans="1:10" ht="14.5" customHeight="1" x14ac:dyDescent="0.25">
      <c r="A1165" s="278" t="s">
        <v>3705</v>
      </c>
      <c r="B1165" s="278" t="s">
        <v>10904</v>
      </c>
      <c r="C1165" s="278" t="s">
        <v>10427</v>
      </c>
      <c r="D1165" s="279" t="s">
        <v>10428</v>
      </c>
      <c r="E1165" s="306" t="s">
        <v>10969</v>
      </c>
      <c r="F1165" s="278" t="s">
        <v>4109</v>
      </c>
      <c r="G1165" s="278" t="s">
        <v>4109</v>
      </c>
      <c r="H1165" s="306" t="s">
        <v>11276</v>
      </c>
      <c r="I1165" s="269" t="s">
        <v>11277</v>
      </c>
      <c r="J1165" s="306" t="s">
        <v>10969</v>
      </c>
    </row>
    <row r="1166" spans="1:10" ht="14.5" customHeight="1" x14ac:dyDescent="0.25">
      <c r="A1166" s="278" t="s">
        <v>3705</v>
      </c>
      <c r="B1166" s="278" t="s">
        <v>10904</v>
      </c>
      <c r="C1166" s="278" t="s">
        <v>10427</v>
      </c>
      <c r="D1166" s="279" t="s">
        <v>10428</v>
      </c>
      <c r="E1166" s="306" t="s">
        <v>10969</v>
      </c>
      <c r="F1166" s="278" t="s">
        <v>4109</v>
      </c>
      <c r="G1166" s="278" t="s">
        <v>4109</v>
      </c>
      <c r="H1166" s="306" t="s">
        <v>11278</v>
      </c>
      <c r="I1166" s="269" t="s">
        <v>11279</v>
      </c>
      <c r="J1166" s="306" t="s">
        <v>10969</v>
      </c>
    </row>
    <row r="1167" spans="1:10" ht="14.5" customHeight="1" x14ac:dyDescent="0.25">
      <c r="A1167" s="278" t="s">
        <v>3705</v>
      </c>
      <c r="B1167" s="278" t="s">
        <v>10904</v>
      </c>
      <c r="C1167" s="278" t="s">
        <v>10427</v>
      </c>
      <c r="D1167" s="279" t="s">
        <v>10428</v>
      </c>
      <c r="E1167" s="306" t="s">
        <v>10969</v>
      </c>
      <c r="F1167" s="278" t="s">
        <v>4109</v>
      </c>
      <c r="G1167" s="278" t="s">
        <v>4109</v>
      </c>
      <c r="H1167" s="306" t="s">
        <v>11280</v>
      </c>
      <c r="I1167" s="269" t="s">
        <v>11279</v>
      </c>
      <c r="J1167" s="306" t="s">
        <v>10969</v>
      </c>
    </row>
    <row r="1168" spans="1:10" ht="14.5" customHeight="1" x14ac:dyDescent="0.25">
      <c r="A1168" s="278" t="s">
        <v>3705</v>
      </c>
      <c r="B1168" s="278" t="s">
        <v>10904</v>
      </c>
      <c r="C1168" s="278" t="s">
        <v>10427</v>
      </c>
      <c r="D1168" s="279" t="s">
        <v>10428</v>
      </c>
      <c r="E1168" s="306" t="s">
        <v>10969</v>
      </c>
      <c r="F1168" s="278" t="s">
        <v>4109</v>
      </c>
      <c r="G1168" s="278" t="s">
        <v>4109</v>
      </c>
      <c r="H1168" s="306" t="s">
        <v>11281</v>
      </c>
      <c r="I1168" s="269" t="s">
        <v>11282</v>
      </c>
      <c r="J1168" s="306" t="s">
        <v>10969</v>
      </c>
    </row>
    <row r="1169" spans="1:10" ht="14.5" customHeight="1" x14ac:dyDescent="0.25">
      <c r="A1169" s="278" t="s">
        <v>3705</v>
      </c>
      <c r="B1169" s="278" t="s">
        <v>10904</v>
      </c>
      <c r="C1169" s="278" t="s">
        <v>10429</v>
      </c>
      <c r="D1169" s="279" t="s">
        <v>10430</v>
      </c>
      <c r="E1169" s="306" t="s">
        <v>10969</v>
      </c>
      <c r="F1169" s="278" t="s">
        <v>4109</v>
      </c>
      <c r="G1169" s="278" t="s">
        <v>4108</v>
      </c>
      <c r="H1169" s="306" t="s">
        <v>11276</v>
      </c>
      <c r="I1169" s="269" t="s">
        <v>11277</v>
      </c>
      <c r="J1169" s="306" t="s">
        <v>10969</v>
      </c>
    </row>
    <row r="1170" spans="1:10" ht="14.5" customHeight="1" x14ac:dyDescent="0.25">
      <c r="A1170" s="278" t="s">
        <v>3705</v>
      </c>
      <c r="B1170" s="278" t="s">
        <v>10904</v>
      </c>
      <c r="C1170" s="278" t="s">
        <v>10429</v>
      </c>
      <c r="D1170" s="279" t="s">
        <v>10430</v>
      </c>
      <c r="E1170" s="306" t="s">
        <v>10969</v>
      </c>
      <c r="F1170" s="278" t="s">
        <v>4109</v>
      </c>
      <c r="G1170" s="278" t="s">
        <v>4108</v>
      </c>
      <c r="H1170" s="306" t="s">
        <v>11278</v>
      </c>
      <c r="I1170" s="269" t="s">
        <v>11279</v>
      </c>
      <c r="J1170" s="306" t="s">
        <v>10969</v>
      </c>
    </row>
    <row r="1171" spans="1:10" ht="14.5" customHeight="1" x14ac:dyDescent="0.25">
      <c r="A1171" s="278" t="s">
        <v>3705</v>
      </c>
      <c r="B1171" s="278" t="s">
        <v>10904</v>
      </c>
      <c r="C1171" s="278" t="s">
        <v>10429</v>
      </c>
      <c r="D1171" s="279" t="s">
        <v>10430</v>
      </c>
      <c r="E1171" s="306" t="s">
        <v>10969</v>
      </c>
      <c r="F1171" s="278" t="s">
        <v>4109</v>
      </c>
      <c r="G1171" s="278" t="s">
        <v>4108</v>
      </c>
      <c r="H1171" s="306" t="s">
        <v>11280</v>
      </c>
      <c r="I1171" s="269" t="s">
        <v>11279</v>
      </c>
      <c r="J1171" s="306" t="s">
        <v>10969</v>
      </c>
    </row>
    <row r="1172" spans="1:10" ht="14.5" customHeight="1" x14ac:dyDescent="0.25">
      <c r="A1172" s="278" t="s">
        <v>3705</v>
      </c>
      <c r="B1172" s="278" t="s">
        <v>10904</v>
      </c>
      <c r="C1172" s="278" t="s">
        <v>10429</v>
      </c>
      <c r="D1172" s="279" t="s">
        <v>10430</v>
      </c>
      <c r="E1172" s="306" t="s">
        <v>10969</v>
      </c>
      <c r="F1172" s="278" t="s">
        <v>4109</v>
      </c>
      <c r="G1172" s="278" t="s">
        <v>4108</v>
      </c>
      <c r="H1172" s="306" t="s">
        <v>11281</v>
      </c>
      <c r="I1172" s="269" t="s">
        <v>11282</v>
      </c>
      <c r="J1172" s="306" t="s">
        <v>10969</v>
      </c>
    </row>
    <row r="1173" spans="1:10" ht="14.5" customHeight="1" x14ac:dyDescent="0.25">
      <c r="A1173" s="278" t="s">
        <v>3705</v>
      </c>
      <c r="B1173" s="278" t="s">
        <v>10904</v>
      </c>
      <c r="C1173" s="278" t="s">
        <v>10431</v>
      </c>
      <c r="D1173" s="279" t="s">
        <v>10432</v>
      </c>
      <c r="E1173" s="306" t="s">
        <v>10969</v>
      </c>
      <c r="F1173" s="278" t="s">
        <v>4109</v>
      </c>
      <c r="G1173" s="278" t="s">
        <v>4108</v>
      </c>
      <c r="H1173" s="306" t="s">
        <v>11203</v>
      </c>
      <c r="I1173" s="269" t="s">
        <v>11225</v>
      </c>
      <c r="J1173" s="306" t="s">
        <v>10969</v>
      </c>
    </row>
    <row r="1174" spans="1:10" ht="14.5" customHeight="1" x14ac:dyDescent="0.25">
      <c r="A1174" s="278" t="s">
        <v>3705</v>
      </c>
      <c r="B1174" s="278" t="s">
        <v>10904</v>
      </c>
      <c r="C1174" s="278" t="s">
        <v>10431</v>
      </c>
      <c r="D1174" s="279" t="s">
        <v>10432</v>
      </c>
      <c r="E1174" s="306" t="s">
        <v>10969</v>
      </c>
      <c r="F1174" s="278" t="s">
        <v>4109</v>
      </c>
      <c r="G1174" s="278" t="s">
        <v>4108</v>
      </c>
      <c r="H1174" s="306" t="s">
        <v>11238</v>
      </c>
      <c r="I1174" s="269" t="s">
        <v>11239</v>
      </c>
      <c r="J1174" s="306" t="s">
        <v>10969</v>
      </c>
    </row>
    <row r="1175" spans="1:10" ht="14.5" customHeight="1" x14ac:dyDescent="0.25">
      <c r="A1175" s="278" t="s">
        <v>3705</v>
      </c>
      <c r="B1175" s="278" t="s">
        <v>10904</v>
      </c>
      <c r="C1175" s="278" t="s">
        <v>10431</v>
      </c>
      <c r="D1175" s="279" t="s">
        <v>10432</v>
      </c>
      <c r="E1175" s="306" t="s">
        <v>10969</v>
      </c>
      <c r="F1175" s="278" t="s">
        <v>4109</v>
      </c>
      <c r="G1175" s="278" t="s">
        <v>4108</v>
      </c>
      <c r="H1175" s="306" t="s">
        <v>11193</v>
      </c>
      <c r="I1175" s="269" t="s">
        <v>11194</v>
      </c>
      <c r="J1175" s="306" t="s">
        <v>10969</v>
      </c>
    </row>
    <row r="1176" spans="1:10" ht="14.5" customHeight="1" x14ac:dyDescent="0.25">
      <c r="A1176" s="278" t="s">
        <v>3705</v>
      </c>
      <c r="B1176" s="278" t="s">
        <v>10904</v>
      </c>
      <c r="C1176" s="278" t="s">
        <v>10433</v>
      </c>
      <c r="D1176" s="279" t="s">
        <v>10434</v>
      </c>
      <c r="E1176" s="306" t="s">
        <v>10969</v>
      </c>
      <c r="F1176" s="278" t="s">
        <v>4109</v>
      </c>
      <c r="G1176" s="278" t="s">
        <v>4109</v>
      </c>
      <c r="H1176" s="306" t="s">
        <v>11203</v>
      </c>
      <c r="I1176" s="269" t="s">
        <v>11225</v>
      </c>
      <c r="J1176" s="306" t="s">
        <v>10969</v>
      </c>
    </row>
    <row r="1177" spans="1:10" ht="14.5" customHeight="1" x14ac:dyDescent="0.25">
      <c r="A1177" s="278" t="s">
        <v>3705</v>
      </c>
      <c r="B1177" s="278" t="s">
        <v>10904</v>
      </c>
      <c r="C1177" s="278" t="s">
        <v>10433</v>
      </c>
      <c r="D1177" s="279" t="s">
        <v>10434</v>
      </c>
      <c r="E1177" s="306" t="s">
        <v>10969</v>
      </c>
      <c r="F1177" s="278" t="s">
        <v>4109</v>
      </c>
      <c r="G1177" s="278" t="s">
        <v>4109</v>
      </c>
      <c r="H1177" s="306" t="s">
        <v>11238</v>
      </c>
      <c r="I1177" s="269" t="s">
        <v>11239</v>
      </c>
      <c r="J1177" s="306" t="s">
        <v>10969</v>
      </c>
    </row>
    <row r="1178" spans="1:10" ht="14.5" customHeight="1" x14ac:dyDescent="0.25">
      <c r="A1178" s="278" t="s">
        <v>3705</v>
      </c>
      <c r="B1178" s="278" t="s">
        <v>10904</v>
      </c>
      <c r="C1178" s="278" t="s">
        <v>10433</v>
      </c>
      <c r="D1178" s="279" t="s">
        <v>10434</v>
      </c>
      <c r="E1178" s="306" t="s">
        <v>10969</v>
      </c>
      <c r="F1178" s="278" t="s">
        <v>4109</v>
      </c>
      <c r="G1178" s="278" t="s">
        <v>4109</v>
      </c>
      <c r="H1178" s="306" t="s">
        <v>11193</v>
      </c>
      <c r="I1178" s="269" t="s">
        <v>11194</v>
      </c>
      <c r="J1178" s="306" t="s">
        <v>10969</v>
      </c>
    </row>
    <row r="1179" spans="1:10" ht="14.5" customHeight="1" x14ac:dyDescent="0.25">
      <c r="A1179" s="278" t="s">
        <v>3705</v>
      </c>
      <c r="B1179" s="278" t="s">
        <v>10904</v>
      </c>
      <c r="C1179" s="278" t="s">
        <v>10435</v>
      </c>
      <c r="D1179" s="279" t="s">
        <v>10436</v>
      </c>
      <c r="E1179" s="306" t="s">
        <v>10969</v>
      </c>
      <c r="F1179" s="278" t="s">
        <v>4109</v>
      </c>
      <c r="G1179" s="278" t="s">
        <v>4108</v>
      </c>
      <c r="H1179" s="306" t="s">
        <v>11276</v>
      </c>
      <c r="I1179" s="269" t="s">
        <v>11277</v>
      </c>
      <c r="J1179" s="306" t="s">
        <v>10969</v>
      </c>
    </row>
    <row r="1180" spans="1:10" ht="14.5" customHeight="1" x14ac:dyDescent="0.25">
      <c r="A1180" s="278" t="s">
        <v>3705</v>
      </c>
      <c r="B1180" s="278" t="s">
        <v>10904</v>
      </c>
      <c r="C1180" s="278" t="s">
        <v>10435</v>
      </c>
      <c r="D1180" s="279" t="s">
        <v>10436</v>
      </c>
      <c r="E1180" s="306" t="s">
        <v>10969</v>
      </c>
      <c r="F1180" s="278" t="s">
        <v>4109</v>
      </c>
      <c r="G1180" s="278" t="s">
        <v>4108</v>
      </c>
      <c r="H1180" s="306" t="s">
        <v>11278</v>
      </c>
      <c r="I1180" s="269" t="s">
        <v>11279</v>
      </c>
      <c r="J1180" s="306" t="s">
        <v>10969</v>
      </c>
    </row>
    <row r="1181" spans="1:10" ht="14.5" customHeight="1" x14ac:dyDescent="0.25">
      <c r="A1181" s="278" t="s">
        <v>3705</v>
      </c>
      <c r="B1181" s="278" t="s">
        <v>10904</v>
      </c>
      <c r="C1181" s="278" t="s">
        <v>10435</v>
      </c>
      <c r="D1181" s="279" t="s">
        <v>10436</v>
      </c>
      <c r="E1181" s="306" t="s">
        <v>10969</v>
      </c>
      <c r="F1181" s="278" t="s">
        <v>4109</v>
      </c>
      <c r="G1181" s="278" t="s">
        <v>4108</v>
      </c>
      <c r="H1181" s="306" t="s">
        <v>11280</v>
      </c>
      <c r="I1181" s="269" t="s">
        <v>11279</v>
      </c>
      <c r="J1181" s="306" t="s">
        <v>10969</v>
      </c>
    </row>
    <row r="1182" spans="1:10" ht="14.5" customHeight="1" x14ac:dyDescent="0.25">
      <c r="A1182" s="278" t="s">
        <v>3705</v>
      </c>
      <c r="B1182" s="278" t="s">
        <v>10904</v>
      </c>
      <c r="C1182" s="278" t="s">
        <v>10435</v>
      </c>
      <c r="D1182" s="279" t="s">
        <v>10436</v>
      </c>
      <c r="E1182" s="306" t="s">
        <v>10969</v>
      </c>
      <c r="F1182" s="278" t="s">
        <v>4109</v>
      </c>
      <c r="G1182" s="278" t="s">
        <v>4108</v>
      </c>
      <c r="H1182" s="306" t="s">
        <v>11281</v>
      </c>
      <c r="I1182" s="269" t="s">
        <v>11282</v>
      </c>
      <c r="J1182" s="306" t="s">
        <v>10969</v>
      </c>
    </row>
    <row r="1183" spans="1:10" ht="14.5" customHeight="1" x14ac:dyDescent="0.25">
      <c r="A1183" s="278" t="s">
        <v>3705</v>
      </c>
      <c r="B1183" s="278" t="s">
        <v>10904</v>
      </c>
      <c r="C1183" s="278" t="s">
        <v>10437</v>
      </c>
      <c r="D1183" s="279" t="s">
        <v>10438</v>
      </c>
      <c r="E1183" s="306" t="s">
        <v>10969</v>
      </c>
      <c r="F1183" s="278" t="s">
        <v>4109</v>
      </c>
      <c r="G1183" s="278" t="s">
        <v>4108</v>
      </c>
      <c r="H1183" s="306" t="s">
        <v>11219</v>
      </c>
      <c r="I1183" s="269" t="s">
        <v>11220</v>
      </c>
      <c r="J1183" s="306" t="s">
        <v>10969</v>
      </c>
    </row>
    <row r="1184" spans="1:10" ht="14.5" customHeight="1" x14ac:dyDescent="0.25">
      <c r="A1184" s="278" t="s">
        <v>3705</v>
      </c>
      <c r="B1184" s="278" t="s">
        <v>10904</v>
      </c>
      <c r="C1184" s="278" t="s">
        <v>10437</v>
      </c>
      <c r="D1184" s="279" t="s">
        <v>10438</v>
      </c>
      <c r="E1184" s="306" t="s">
        <v>10969</v>
      </c>
      <c r="F1184" s="278" t="s">
        <v>4109</v>
      </c>
      <c r="G1184" s="278" t="s">
        <v>4108</v>
      </c>
      <c r="H1184" s="306" t="s">
        <v>11283</v>
      </c>
      <c r="I1184" s="269" t="s">
        <v>11284</v>
      </c>
      <c r="J1184" s="306" t="s">
        <v>10969</v>
      </c>
    </row>
    <row r="1185" spans="1:10" ht="14.5" customHeight="1" x14ac:dyDescent="0.25">
      <c r="A1185" s="278" t="s">
        <v>3705</v>
      </c>
      <c r="B1185" s="278" t="s">
        <v>10904</v>
      </c>
      <c r="C1185" s="278" t="s">
        <v>10437</v>
      </c>
      <c r="D1185" s="279" t="s">
        <v>10438</v>
      </c>
      <c r="E1185" s="306" t="s">
        <v>10969</v>
      </c>
      <c r="F1185" s="278" t="s">
        <v>4109</v>
      </c>
      <c r="G1185" s="278" t="s">
        <v>4108</v>
      </c>
      <c r="H1185" s="306" t="s">
        <v>11276</v>
      </c>
      <c r="I1185" s="269" t="s">
        <v>11277</v>
      </c>
      <c r="J1185" s="306" t="s">
        <v>10969</v>
      </c>
    </row>
    <row r="1186" spans="1:10" ht="14.5" customHeight="1" x14ac:dyDescent="0.25">
      <c r="A1186" s="278" t="s">
        <v>3705</v>
      </c>
      <c r="B1186" s="278" t="s">
        <v>10904</v>
      </c>
      <c r="C1186" s="278" t="s">
        <v>10437</v>
      </c>
      <c r="D1186" s="279" t="s">
        <v>10438</v>
      </c>
      <c r="E1186" s="306" t="s">
        <v>10969</v>
      </c>
      <c r="F1186" s="278" t="s">
        <v>4109</v>
      </c>
      <c r="G1186" s="278" t="s">
        <v>4108</v>
      </c>
      <c r="H1186" s="306" t="s">
        <v>11278</v>
      </c>
      <c r="I1186" s="269" t="s">
        <v>11279</v>
      </c>
      <c r="J1186" s="306" t="s">
        <v>10969</v>
      </c>
    </row>
    <row r="1187" spans="1:10" ht="14.5" customHeight="1" x14ac:dyDescent="0.25">
      <c r="A1187" s="278" t="s">
        <v>3705</v>
      </c>
      <c r="B1187" s="278" t="s">
        <v>10904</v>
      </c>
      <c r="C1187" s="278" t="s">
        <v>10437</v>
      </c>
      <c r="D1187" s="279" t="s">
        <v>10438</v>
      </c>
      <c r="E1187" s="306" t="s">
        <v>10969</v>
      </c>
      <c r="F1187" s="278" t="s">
        <v>4109</v>
      </c>
      <c r="G1187" s="278" t="s">
        <v>4108</v>
      </c>
      <c r="H1187" s="306" t="s">
        <v>11280</v>
      </c>
      <c r="I1187" s="269" t="s">
        <v>11279</v>
      </c>
      <c r="J1187" s="306" t="s">
        <v>10969</v>
      </c>
    </row>
    <row r="1188" spans="1:10" ht="14.5" customHeight="1" x14ac:dyDescent="0.25">
      <c r="A1188" s="278" t="s">
        <v>3705</v>
      </c>
      <c r="B1188" s="278" t="s">
        <v>10904</v>
      </c>
      <c r="C1188" s="278" t="s">
        <v>10437</v>
      </c>
      <c r="D1188" s="279" t="s">
        <v>10438</v>
      </c>
      <c r="E1188" s="306" t="s">
        <v>10969</v>
      </c>
      <c r="F1188" s="278" t="s">
        <v>4109</v>
      </c>
      <c r="G1188" s="278" t="s">
        <v>4108</v>
      </c>
      <c r="H1188" s="306" t="s">
        <v>11221</v>
      </c>
      <c r="I1188" s="269" t="s">
        <v>11222</v>
      </c>
      <c r="J1188" s="306" t="s">
        <v>10969</v>
      </c>
    </row>
    <row r="1189" spans="1:10" ht="14.5" customHeight="1" x14ac:dyDescent="0.25">
      <c r="A1189" s="278" t="s">
        <v>3705</v>
      </c>
      <c r="B1189" s="278" t="s">
        <v>10904</v>
      </c>
      <c r="C1189" s="278" t="s">
        <v>10437</v>
      </c>
      <c r="D1189" s="279" t="s">
        <v>10438</v>
      </c>
      <c r="E1189" s="306" t="s">
        <v>10969</v>
      </c>
      <c r="F1189" s="278" t="s">
        <v>4109</v>
      </c>
      <c r="G1189" s="278" t="s">
        <v>4108</v>
      </c>
      <c r="H1189" s="306" t="s">
        <v>11281</v>
      </c>
      <c r="I1189" s="269" t="s">
        <v>11282</v>
      </c>
      <c r="J1189" s="306" t="s">
        <v>10969</v>
      </c>
    </row>
    <row r="1190" spans="1:10" ht="14.5" customHeight="1" x14ac:dyDescent="0.25">
      <c r="A1190" s="278" t="s">
        <v>3705</v>
      </c>
      <c r="B1190" s="278" t="s">
        <v>10904</v>
      </c>
      <c r="C1190" s="278" t="s">
        <v>10439</v>
      </c>
      <c r="D1190" s="279" t="s">
        <v>10440</v>
      </c>
      <c r="E1190" s="306" t="s">
        <v>10969</v>
      </c>
      <c r="F1190" s="278" t="s">
        <v>4109</v>
      </c>
      <c r="G1190" s="278" t="s">
        <v>4108</v>
      </c>
      <c r="H1190" s="306" t="s">
        <v>11219</v>
      </c>
      <c r="I1190" s="269" t="s">
        <v>11220</v>
      </c>
      <c r="J1190" s="306" t="s">
        <v>10969</v>
      </c>
    </row>
    <row r="1191" spans="1:10" ht="14.5" customHeight="1" x14ac:dyDescent="0.25">
      <c r="A1191" s="278" t="s">
        <v>3705</v>
      </c>
      <c r="B1191" s="278" t="s">
        <v>10904</v>
      </c>
      <c r="C1191" s="278" t="s">
        <v>10439</v>
      </c>
      <c r="D1191" s="279" t="s">
        <v>10440</v>
      </c>
      <c r="E1191" s="306" t="s">
        <v>10969</v>
      </c>
      <c r="F1191" s="278" t="s">
        <v>4109</v>
      </c>
      <c r="G1191" s="278" t="s">
        <v>4108</v>
      </c>
      <c r="H1191" s="306" t="s">
        <v>11203</v>
      </c>
      <c r="I1191" s="269" t="s">
        <v>11225</v>
      </c>
      <c r="J1191" s="306" t="s">
        <v>10969</v>
      </c>
    </row>
    <row r="1192" spans="1:10" ht="14.5" customHeight="1" x14ac:dyDescent="0.25">
      <c r="A1192" s="278" t="s">
        <v>3705</v>
      </c>
      <c r="B1192" s="278" t="s">
        <v>10904</v>
      </c>
      <c r="C1192" s="278" t="s">
        <v>10439</v>
      </c>
      <c r="D1192" s="279" t="s">
        <v>10440</v>
      </c>
      <c r="E1192" s="306" t="s">
        <v>10969</v>
      </c>
      <c r="F1192" s="278" t="s">
        <v>4109</v>
      </c>
      <c r="G1192" s="278" t="s">
        <v>4108</v>
      </c>
      <c r="H1192" s="306" t="s">
        <v>11221</v>
      </c>
      <c r="I1192" s="269" t="s">
        <v>11222</v>
      </c>
      <c r="J1192" s="306" t="s">
        <v>10969</v>
      </c>
    </row>
    <row r="1193" spans="1:10" ht="14.5" customHeight="1" x14ac:dyDescent="0.25">
      <c r="A1193" s="278" t="s">
        <v>3705</v>
      </c>
      <c r="B1193" s="278" t="s">
        <v>10904</v>
      </c>
      <c r="C1193" s="278" t="s">
        <v>10439</v>
      </c>
      <c r="D1193" s="279" t="s">
        <v>10440</v>
      </c>
      <c r="E1193" s="306" t="s">
        <v>10969</v>
      </c>
      <c r="F1193" s="278" t="s">
        <v>4109</v>
      </c>
      <c r="G1193" s="278" t="s">
        <v>4108</v>
      </c>
      <c r="H1193" s="306" t="s">
        <v>11238</v>
      </c>
      <c r="I1193" s="269" t="s">
        <v>11239</v>
      </c>
      <c r="J1193" s="306" t="s">
        <v>10969</v>
      </c>
    </row>
    <row r="1194" spans="1:10" ht="14.5" customHeight="1" x14ac:dyDescent="0.25">
      <c r="A1194" s="278" t="s">
        <v>3705</v>
      </c>
      <c r="B1194" s="278" t="s">
        <v>10904</v>
      </c>
      <c r="C1194" s="278" t="s">
        <v>10439</v>
      </c>
      <c r="D1194" s="279" t="s">
        <v>10440</v>
      </c>
      <c r="E1194" s="306" t="s">
        <v>10969</v>
      </c>
      <c r="F1194" s="278" t="s">
        <v>4109</v>
      </c>
      <c r="G1194" s="278" t="s">
        <v>4108</v>
      </c>
      <c r="H1194" s="306" t="s">
        <v>11193</v>
      </c>
      <c r="I1194" s="269" t="s">
        <v>11194</v>
      </c>
      <c r="J1194" s="306" t="s">
        <v>10969</v>
      </c>
    </row>
    <row r="1195" spans="1:10" ht="14.5" customHeight="1" x14ac:dyDescent="0.25">
      <c r="A1195" s="278" t="s">
        <v>3705</v>
      </c>
      <c r="B1195" s="278" t="s">
        <v>10904</v>
      </c>
      <c r="C1195" s="278" t="s">
        <v>10441</v>
      </c>
      <c r="D1195" s="279" t="s">
        <v>10442</v>
      </c>
      <c r="E1195" s="306" t="s">
        <v>10969</v>
      </c>
      <c r="F1195" s="278" t="s">
        <v>4109</v>
      </c>
      <c r="G1195" s="278" t="s">
        <v>4108</v>
      </c>
      <c r="H1195" s="306" t="s">
        <v>11219</v>
      </c>
      <c r="I1195" s="269" t="s">
        <v>11220</v>
      </c>
      <c r="J1195" s="306" t="s">
        <v>10969</v>
      </c>
    </row>
    <row r="1196" spans="1:10" ht="14.5" customHeight="1" x14ac:dyDescent="0.25">
      <c r="A1196" s="278" t="s">
        <v>3705</v>
      </c>
      <c r="B1196" s="278" t="s">
        <v>10904</v>
      </c>
      <c r="C1196" s="278" t="s">
        <v>10441</v>
      </c>
      <c r="D1196" s="279" t="s">
        <v>10442</v>
      </c>
      <c r="E1196" s="306" t="s">
        <v>10969</v>
      </c>
      <c r="F1196" s="278" t="s">
        <v>4109</v>
      </c>
      <c r="G1196" s="278" t="s">
        <v>4108</v>
      </c>
      <c r="H1196" s="306" t="s">
        <v>11276</v>
      </c>
      <c r="I1196" s="269" t="s">
        <v>11277</v>
      </c>
      <c r="J1196" s="306" t="s">
        <v>10969</v>
      </c>
    </row>
    <row r="1197" spans="1:10" ht="14.5" customHeight="1" x14ac:dyDescent="0.25">
      <c r="A1197" s="278" t="s">
        <v>3705</v>
      </c>
      <c r="B1197" s="278" t="s">
        <v>10904</v>
      </c>
      <c r="C1197" s="278" t="s">
        <v>10441</v>
      </c>
      <c r="D1197" s="279" t="s">
        <v>10442</v>
      </c>
      <c r="E1197" s="306" t="s">
        <v>10969</v>
      </c>
      <c r="F1197" s="278" t="s">
        <v>4109</v>
      </c>
      <c r="G1197" s="278" t="s">
        <v>4108</v>
      </c>
      <c r="H1197" s="306" t="s">
        <v>11278</v>
      </c>
      <c r="I1197" s="269" t="s">
        <v>11279</v>
      </c>
      <c r="J1197" s="306" t="s">
        <v>10969</v>
      </c>
    </row>
    <row r="1198" spans="1:10" ht="14.5" customHeight="1" x14ac:dyDescent="0.25">
      <c r="A1198" s="278" t="s">
        <v>3705</v>
      </c>
      <c r="B1198" s="278" t="s">
        <v>10904</v>
      </c>
      <c r="C1198" s="278" t="s">
        <v>10441</v>
      </c>
      <c r="D1198" s="279" t="s">
        <v>10442</v>
      </c>
      <c r="E1198" s="306" t="s">
        <v>10969</v>
      </c>
      <c r="F1198" s="278" t="s">
        <v>4109</v>
      </c>
      <c r="G1198" s="278" t="s">
        <v>4108</v>
      </c>
      <c r="H1198" s="306" t="s">
        <v>11280</v>
      </c>
      <c r="I1198" s="269" t="s">
        <v>11279</v>
      </c>
      <c r="J1198" s="306" t="s">
        <v>10969</v>
      </c>
    </row>
    <row r="1199" spans="1:10" ht="14.5" customHeight="1" x14ac:dyDescent="0.25">
      <c r="A1199" s="278" t="s">
        <v>3705</v>
      </c>
      <c r="B1199" s="278" t="s">
        <v>10904</v>
      </c>
      <c r="C1199" s="278" t="s">
        <v>10441</v>
      </c>
      <c r="D1199" s="279" t="s">
        <v>10442</v>
      </c>
      <c r="E1199" s="306" t="s">
        <v>10969</v>
      </c>
      <c r="F1199" s="278" t="s">
        <v>4109</v>
      </c>
      <c r="G1199" s="278" t="s">
        <v>4108</v>
      </c>
      <c r="H1199" s="306" t="s">
        <v>11221</v>
      </c>
      <c r="I1199" s="269" t="s">
        <v>11222</v>
      </c>
      <c r="J1199" s="306" t="s">
        <v>10969</v>
      </c>
    </row>
    <row r="1200" spans="1:10" ht="14.5" customHeight="1" x14ac:dyDescent="0.25">
      <c r="A1200" s="278" t="s">
        <v>3705</v>
      </c>
      <c r="B1200" s="278" t="s">
        <v>10904</v>
      </c>
      <c r="C1200" s="278" t="s">
        <v>10441</v>
      </c>
      <c r="D1200" s="279" t="s">
        <v>10442</v>
      </c>
      <c r="E1200" s="306" t="s">
        <v>10969</v>
      </c>
      <c r="F1200" s="278" t="s">
        <v>4109</v>
      </c>
      <c r="G1200" s="278" t="s">
        <v>4108</v>
      </c>
      <c r="H1200" s="306" t="s">
        <v>11281</v>
      </c>
      <c r="I1200" s="269" t="s">
        <v>11282</v>
      </c>
      <c r="J1200" s="306" t="s">
        <v>10969</v>
      </c>
    </row>
    <row r="1201" spans="1:10" ht="14.5" customHeight="1" x14ac:dyDescent="0.25">
      <c r="A1201" s="278" t="s">
        <v>3705</v>
      </c>
      <c r="B1201" s="278" t="s">
        <v>10904</v>
      </c>
      <c r="C1201" s="278" t="s">
        <v>10443</v>
      </c>
      <c r="D1201" s="279" t="s">
        <v>10444</v>
      </c>
      <c r="E1201" s="306" t="s">
        <v>10969</v>
      </c>
      <c r="F1201" s="278" t="s">
        <v>4109</v>
      </c>
      <c r="G1201" s="278" t="s">
        <v>4109</v>
      </c>
      <c r="H1201" s="306" t="s">
        <v>11283</v>
      </c>
      <c r="I1201" s="269" t="s">
        <v>11284</v>
      </c>
      <c r="J1201" s="306" t="s">
        <v>10969</v>
      </c>
    </row>
    <row r="1202" spans="1:10" ht="14.5" customHeight="1" x14ac:dyDescent="0.25">
      <c r="A1202" s="278" t="s">
        <v>3705</v>
      </c>
      <c r="B1202" s="278" t="s">
        <v>10904</v>
      </c>
      <c r="C1202" s="278" t="s">
        <v>10443</v>
      </c>
      <c r="D1202" s="279" t="s">
        <v>10444</v>
      </c>
      <c r="E1202" s="306" t="s">
        <v>10969</v>
      </c>
      <c r="F1202" s="278" t="s">
        <v>4109</v>
      </c>
      <c r="G1202" s="278" t="s">
        <v>4109</v>
      </c>
      <c r="H1202" s="306" t="s">
        <v>11276</v>
      </c>
      <c r="I1202" s="269" t="s">
        <v>11277</v>
      </c>
      <c r="J1202" s="306" t="s">
        <v>10969</v>
      </c>
    </row>
    <row r="1203" spans="1:10" ht="14.5" customHeight="1" x14ac:dyDescent="0.25">
      <c r="A1203" s="278" t="s">
        <v>3705</v>
      </c>
      <c r="B1203" s="278" t="s">
        <v>10904</v>
      </c>
      <c r="C1203" s="278" t="s">
        <v>10443</v>
      </c>
      <c r="D1203" s="279" t="s">
        <v>10444</v>
      </c>
      <c r="E1203" s="306" t="s">
        <v>10969</v>
      </c>
      <c r="F1203" s="278" t="s">
        <v>4109</v>
      </c>
      <c r="G1203" s="278" t="s">
        <v>4109</v>
      </c>
      <c r="H1203" s="306" t="s">
        <v>11278</v>
      </c>
      <c r="I1203" s="269" t="s">
        <v>11279</v>
      </c>
      <c r="J1203" s="306" t="s">
        <v>10969</v>
      </c>
    </row>
    <row r="1204" spans="1:10" ht="14.5" customHeight="1" x14ac:dyDescent="0.25">
      <c r="A1204" s="278" t="s">
        <v>3705</v>
      </c>
      <c r="B1204" s="278" t="s">
        <v>10904</v>
      </c>
      <c r="C1204" s="278" t="s">
        <v>10443</v>
      </c>
      <c r="D1204" s="279" t="s">
        <v>10444</v>
      </c>
      <c r="E1204" s="306" t="s">
        <v>10969</v>
      </c>
      <c r="F1204" s="278" t="s">
        <v>4109</v>
      </c>
      <c r="G1204" s="278" t="s">
        <v>4109</v>
      </c>
      <c r="H1204" s="306" t="s">
        <v>11280</v>
      </c>
      <c r="I1204" s="269" t="s">
        <v>11279</v>
      </c>
      <c r="J1204" s="306" t="s">
        <v>10969</v>
      </c>
    </row>
    <row r="1205" spans="1:10" ht="14.5" customHeight="1" x14ac:dyDescent="0.25">
      <c r="A1205" s="278" t="s">
        <v>3705</v>
      </c>
      <c r="B1205" s="278" t="s">
        <v>10904</v>
      </c>
      <c r="C1205" s="278" t="s">
        <v>10443</v>
      </c>
      <c r="D1205" s="279" t="s">
        <v>10444</v>
      </c>
      <c r="E1205" s="306" t="s">
        <v>10969</v>
      </c>
      <c r="F1205" s="278" t="s">
        <v>4109</v>
      </c>
      <c r="G1205" s="278" t="s">
        <v>4109</v>
      </c>
      <c r="H1205" s="306" t="s">
        <v>11281</v>
      </c>
      <c r="I1205" s="269" t="s">
        <v>11282</v>
      </c>
      <c r="J1205" s="306" t="s">
        <v>10969</v>
      </c>
    </row>
    <row r="1206" spans="1:10" ht="14.5" customHeight="1" x14ac:dyDescent="0.25">
      <c r="A1206" s="278" t="s">
        <v>3705</v>
      </c>
      <c r="B1206" s="278" t="s">
        <v>10904</v>
      </c>
      <c r="C1206" s="278" t="s">
        <v>10445</v>
      </c>
      <c r="D1206" s="279" t="s">
        <v>10446</v>
      </c>
      <c r="E1206" s="306" t="s">
        <v>10969</v>
      </c>
      <c r="F1206" s="278" t="s">
        <v>4109</v>
      </c>
      <c r="G1206" s="278" t="s">
        <v>4108</v>
      </c>
      <c r="H1206" s="306" t="s">
        <v>11203</v>
      </c>
      <c r="I1206" s="269" t="s">
        <v>11225</v>
      </c>
      <c r="J1206" s="306" t="s">
        <v>10969</v>
      </c>
    </row>
    <row r="1207" spans="1:10" ht="14.5" customHeight="1" x14ac:dyDescent="0.25">
      <c r="A1207" s="278" t="s">
        <v>3705</v>
      </c>
      <c r="B1207" s="278" t="s">
        <v>10904</v>
      </c>
      <c r="C1207" s="278" t="s">
        <v>10445</v>
      </c>
      <c r="D1207" s="279" t="s">
        <v>10446</v>
      </c>
      <c r="E1207" s="306" t="s">
        <v>10969</v>
      </c>
      <c r="F1207" s="278" t="s">
        <v>4109</v>
      </c>
      <c r="G1207" s="278" t="s">
        <v>4108</v>
      </c>
      <c r="H1207" s="306" t="s">
        <v>11238</v>
      </c>
      <c r="I1207" s="269" t="s">
        <v>11239</v>
      </c>
      <c r="J1207" s="306" t="s">
        <v>10969</v>
      </c>
    </row>
    <row r="1208" spans="1:10" ht="14.5" customHeight="1" x14ac:dyDescent="0.25">
      <c r="A1208" s="278" t="s">
        <v>3705</v>
      </c>
      <c r="B1208" s="278" t="s">
        <v>10904</v>
      </c>
      <c r="C1208" s="278" t="s">
        <v>10445</v>
      </c>
      <c r="D1208" s="279" t="s">
        <v>10446</v>
      </c>
      <c r="E1208" s="306" t="s">
        <v>10969</v>
      </c>
      <c r="F1208" s="278" t="s">
        <v>4109</v>
      </c>
      <c r="G1208" s="278" t="s">
        <v>4108</v>
      </c>
      <c r="H1208" s="306" t="s">
        <v>11193</v>
      </c>
      <c r="I1208" s="269" t="s">
        <v>11194</v>
      </c>
      <c r="J1208" s="306" t="s">
        <v>10969</v>
      </c>
    </row>
    <row r="1209" spans="1:10" ht="14.5" customHeight="1" x14ac:dyDescent="0.25">
      <c r="A1209" s="278" t="s">
        <v>3705</v>
      </c>
      <c r="B1209" s="278" t="s">
        <v>10904</v>
      </c>
      <c r="C1209" s="278" t="s">
        <v>10448</v>
      </c>
      <c r="D1209" s="279" t="s">
        <v>10449</v>
      </c>
      <c r="E1209" s="306" t="s">
        <v>10969</v>
      </c>
      <c r="F1209" s="278" t="s">
        <v>4109</v>
      </c>
      <c r="G1209" s="278" t="s">
        <v>4108</v>
      </c>
      <c r="H1209" s="306" t="s">
        <v>11283</v>
      </c>
      <c r="I1209" s="269" t="s">
        <v>11284</v>
      </c>
      <c r="J1209" s="306" t="s">
        <v>10969</v>
      </c>
    </row>
    <row r="1210" spans="1:10" ht="14.5" customHeight="1" x14ac:dyDescent="0.25">
      <c r="A1210" s="278" t="s">
        <v>3705</v>
      </c>
      <c r="B1210" s="278" t="s">
        <v>10904</v>
      </c>
      <c r="C1210" s="278" t="s">
        <v>10448</v>
      </c>
      <c r="D1210" s="279" t="s">
        <v>10449</v>
      </c>
      <c r="E1210" s="306" t="s">
        <v>10969</v>
      </c>
      <c r="F1210" s="278" t="s">
        <v>4109</v>
      </c>
      <c r="G1210" s="278" t="s">
        <v>4108</v>
      </c>
      <c r="H1210" s="306" t="s">
        <v>11276</v>
      </c>
      <c r="I1210" s="269" t="s">
        <v>11277</v>
      </c>
      <c r="J1210" s="306" t="s">
        <v>10969</v>
      </c>
    </row>
    <row r="1211" spans="1:10" ht="14.5" customHeight="1" x14ac:dyDescent="0.25">
      <c r="A1211" s="278" t="s">
        <v>3705</v>
      </c>
      <c r="B1211" s="278" t="s">
        <v>10904</v>
      </c>
      <c r="C1211" s="278" t="s">
        <v>10448</v>
      </c>
      <c r="D1211" s="279" t="s">
        <v>10449</v>
      </c>
      <c r="E1211" s="306" t="s">
        <v>10969</v>
      </c>
      <c r="F1211" s="278" t="s">
        <v>4109</v>
      </c>
      <c r="G1211" s="278" t="s">
        <v>4108</v>
      </c>
      <c r="H1211" s="306" t="s">
        <v>11278</v>
      </c>
      <c r="I1211" s="269" t="s">
        <v>11279</v>
      </c>
      <c r="J1211" s="306" t="s">
        <v>10969</v>
      </c>
    </row>
    <row r="1212" spans="1:10" ht="14.5" customHeight="1" x14ac:dyDescent="0.25">
      <c r="A1212" s="278" t="s">
        <v>3705</v>
      </c>
      <c r="B1212" s="278" t="s">
        <v>10904</v>
      </c>
      <c r="C1212" s="278" t="s">
        <v>10448</v>
      </c>
      <c r="D1212" s="279" t="s">
        <v>10449</v>
      </c>
      <c r="E1212" s="306" t="s">
        <v>10969</v>
      </c>
      <c r="F1212" s="278" t="s">
        <v>4109</v>
      </c>
      <c r="G1212" s="278" t="s">
        <v>4108</v>
      </c>
      <c r="H1212" s="306" t="s">
        <v>11280</v>
      </c>
      <c r="I1212" s="269" t="s">
        <v>11279</v>
      </c>
      <c r="J1212" s="306" t="s">
        <v>10969</v>
      </c>
    </row>
    <row r="1213" spans="1:10" ht="14.5" customHeight="1" x14ac:dyDescent="0.25">
      <c r="A1213" s="278" t="s">
        <v>3705</v>
      </c>
      <c r="B1213" s="278" t="s">
        <v>10904</v>
      </c>
      <c r="C1213" s="278" t="s">
        <v>10448</v>
      </c>
      <c r="D1213" s="279" t="s">
        <v>10449</v>
      </c>
      <c r="E1213" s="306" t="s">
        <v>10969</v>
      </c>
      <c r="F1213" s="278" t="s">
        <v>4109</v>
      </c>
      <c r="G1213" s="278" t="s">
        <v>4108</v>
      </c>
      <c r="H1213" s="306" t="s">
        <v>11281</v>
      </c>
      <c r="I1213" s="269" t="s">
        <v>11282</v>
      </c>
      <c r="J1213" s="306" t="s">
        <v>10969</v>
      </c>
    </row>
    <row r="1214" spans="1:10" ht="14.5" customHeight="1" x14ac:dyDescent="0.25">
      <c r="A1214" s="278" t="s">
        <v>3705</v>
      </c>
      <c r="B1214" s="278" t="s">
        <v>10904</v>
      </c>
      <c r="C1214" s="278" t="s">
        <v>10450</v>
      </c>
      <c r="D1214" s="279" t="s">
        <v>10451</v>
      </c>
      <c r="E1214" s="306" t="s">
        <v>10969</v>
      </c>
      <c r="F1214" s="278" t="s">
        <v>4109</v>
      </c>
      <c r="G1214" s="278" t="s">
        <v>4108</v>
      </c>
      <c r="H1214" s="306" t="s">
        <v>11283</v>
      </c>
      <c r="I1214" s="269" t="s">
        <v>11284</v>
      </c>
      <c r="J1214" s="306" t="s">
        <v>10969</v>
      </c>
    </row>
    <row r="1215" spans="1:10" ht="14.5" customHeight="1" x14ac:dyDescent="0.25">
      <c r="A1215" s="278" t="s">
        <v>3705</v>
      </c>
      <c r="B1215" s="278" t="s">
        <v>10904</v>
      </c>
      <c r="C1215" s="278" t="s">
        <v>10450</v>
      </c>
      <c r="D1215" s="279" t="s">
        <v>10451</v>
      </c>
      <c r="E1215" s="306" t="s">
        <v>10969</v>
      </c>
      <c r="F1215" s="278" t="s">
        <v>4109</v>
      </c>
      <c r="G1215" s="278" t="s">
        <v>4108</v>
      </c>
      <c r="H1215" s="306" t="s">
        <v>11276</v>
      </c>
      <c r="I1215" s="269" t="s">
        <v>11277</v>
      </c>
      <c r="J1215" s="306" t="s">
        <v>10969</v>
      </c>
    </row>
    <row r="1216" spans="1:10" ht="14.5" customHeight="1" x14ac:dyDescent="0.25">
      <c r="A1216" s="278" t="s">
        <v>3705</v>
      </c>
      <c r="B1216" s="278" t="s">
        <v>10904</v>
      </c>
      <c r="C1216" s="278" t="s">
        <v>10450</v>
      </c>
      <c r="D1216" s="279" t="s">
        <v>10451</v>
      </c>
      <c r="E1216" s="306" t="s">
        <v>10969</v>
      </c>
      <c r="F1216" s="278" t="s">
        <v>4109</v>
      </c>
      <c r="G1216" s="278" t="s">
        <v>4108</v>
      </c>
      <c r="H1216" s="306" t="s">
        <v>11278</v>
      </c>
      <c r="I1216" s="269" t="s">
        <v>11279</v>
      </c>
      <c r="J1216" s="306" t="s">
        <v>10969</v>
      </c>
    </row>
    <row r="1217" spans="1:10" ht="14.5" customHeight="1" x14ac:dyDescent="0.25">
      <c r="A1217" s="278" t="s">
        <v>3705</v>
      </c>
      <c r="B1217" s="278" t="s">
        <v>10904</v>
      </c>
      <c r="C1217" s="278" t="s">
        <v>10450</v>
      </c>
      <c r="D1217" s="279" t="s">
        <v>10451</v>
      </c>
      <c r="E1217" s="306" t="s">
        <v>10969</v>
      </c>
      <c r="F1217" s="278" t="s">
        <v>4109</v>
      </c>
      <c r="G1217" s="278" t="s">
        <v>4108</v>
      </c>
      <c r="H1217" s="306" t="s">
        <v>11280</v>
      </c>
      <c r="I1217" s="269" t="s">
        <v>11279</v>
      </c>
      <c r="J1217" s="306" t="s">
        <v>10969</v>
      </c>
    </row>
    <row r="1218" spans="1:10" ht="14.5" customHeight="1" x14ac:dyDescent="0.25">
      <c r="A1218" s="278" t="s">
        <v>3705</v>
      </c>
      <c r="B1218" s="278" t="s">
        <v>10904</v>
      </c>
      <c r="C1218" s="278" t="s">
        <v>10450</v>
      </c>
      <c r="D1218" s="279" t="s">
        <v>10451</v>
      </c>
      <c r="E1218" s="306" t="s">
        <v>10969</v>
      </c>
      <c r="F1218" s="278" t="s">
        <v>4109</v>
      </c>
      <c r="G1218" s="278" t="s">
        <v>4108</v>
      </c>
      <c r="H1218" s="306" t="s">
        <v>11281</v>
      </c>
      <c r="I1218" s="269" t="s">
        <v>11282</v>
      </c>
      <c r="J1218" s="306" t="s">
        <v>10969</v>
      </c>
    </row>
    <row r="1219" spans="1:10" ht="14.5" customHeight="1" x14ac:dyDescent="0.25">
      <c r="A1219" s="278" t="s">
        <v>3705</v>
      </c>
      <c r="B1219" s="278" t="s">
        <v>10904</v>
      </c>
      <c r="C1219" s="278" t="s">
        <v>10452</v>
      </c>
      <c r="D1219" s="279" t="s">
        <v>10453</v>
      </c>
      <c r="E1219" s="306" t="s">
        <v>10969</v>
      </c>
      <c r="F1219" s="278" t="s">
        <v>4109</v>
      </c>
      <c r="G1219" s="278" t="s">
        <v>4108</v>
      </c>
      <c r="H1219" s="306" t="s">
        <v>11203</v>
      </c>
      <c r="I1219" s="269" t="s">
        <v>11225</v>
      </c>
      <c r="J1219" s="306" t="s">
        <v>10969</v>
      </c>
    </row>
    <row r="1220" spans="1:10" ht="14.5" customHeight="1" x14ac:dyDescent="0.25">
      <c r="A1220" s="278" t="s">
        <v>3705</v>
      </c>
      <c r="B1220" s="278" t="s">
        <v>10904</v>
      </c>
      <c r="C1220" s="278" t="s">
        <v>10452</v>
      </c>
      <c r="D1220" s="279" t="s">
        <v>10453</v>
      </c>
      <c r="E1220" s="306" t="s">
        <v>10969</v>
      </c>
      <c r="F1220" s="278" t="s">
        <v>4109</v>
      </c>
      <c r="G1220" s="278" t="s">
        <v>4108</v>
      </c>
      <c r="H1220" s="306" t="s">
        <v>11238</v>
      </c>
      <c r="I1220" s="269" t="s">
        <v>11239</v>
      </c>
      <c r="J1220" s="306" t="s">
        <v>10969</v>
      </c>
    </row>
    <row r="1221" spans="1:10" ht="14.5" customHeight="1" x14ac:dyDescent="0.25">
      <c r="A1221" s="278" t="s">
        <v>3705</v>
      </c>
      <c r="B1221" s="278" t="s">
        <v>10904</v>
      </c>
      <c r="C1221" s="278" t="s">
        <v>10452</v>
      </c>
      <c r="D1221" s="279" t="s">
        <v>10453</v>
      </c>
      <c r="E1221" s="306" t="s">
        <v>10969</v>
      </c>
      <c r="F1221" s="278" t="s">
        <v>4109</v>
      </c>
      <c r="G1221" s="278" t="s">
        <v>4108</v>
      </c>
      <c r="H1221" s="306" t="s">
        <v>11193</v>
      </c>
      <c r="I1221" s="269" t="s">
        <v>11194</v>
      </c>
      <c r="J1221" s="306" t="s">
        <v>10969</v>
      </c>
    </row>
    <row r="1222" spans="1:10" ht="14.5" customHeight="1" x14ac:dyDescent="0.25">
      <c r="A1222" s="278" t="s">
        <v>3705</v>
      </c>
      <c r="B1222" s="278" t="s">
        <v>10904</v>
      </c>
      <c r="C1222" s="278" t="s">
        <v>10454</v>
      </c>
      <c r="D1222" s="279" t="s">
        <v>10455</v>
      </c>
      <c r="E1222" s="306" t="s">
        <v>10969</v>
      </c>
      <c r="F1222" s="278" t="s">
        <v>4109</v>
      </c>
      <c r="G1222" s="278" t="s">
        <v>4108</v>
      </c>
      <c r="H1222" s="306" t="s">
        <v>11203</v>
      </c>
      <c r="I1222" s="269" t="s">
        <v>11225</v>
      </c>
      <c r="J1222" s="306" t="s">
        <v>10969</v>
      </c>
    </row>
    <row r="1223" spans="1:10" ht="14.5" customHeight="1" x14ac:dyDescent="0.25">
      <c r="A1223" s="278" t="s">
        <v>3705</v>
      </c>
      <c r="B1223" s="278" t="s">
        <v>10904</v>
      </c>
      <c r="C1223" s="278" t="s">
        <v>10454</v>
      </c>
      <c r="D1223" s="279" t="s">
        <v>10455</v>
      </c>
      <c r="E1223" s="306" t="s">
        <v>10969</v>
      </c>
      <c r="F1223" s="278" t="s">
        <v>4109</v>
      </c>
      <c r="G1223" s="278" t="s">
        <v>4108</v>
      </c>
      <c r="H1223" s="306" t="s">
        <v>11238</v>
      </c>
      <c r="I1223" s="269" t="s">
        <v>11239</v>
      </c>
      <c r="J1223" s="306" t="s">
        <v>10969</v>
      </c>
    </row>
    <row r="1224" spans="1:10" ht="14.5" customHeight="1" x14ac:dyDescent="0.25">
      <c r="A1224" s="278" t="s">
        <v>3705</v>
      </c>
      <c r="B1224" s="278" t="s">
        <v>10904</v>
      </c>
      <c r="C1224" s="278" t="s">
        <v>10454</v>
      </c>
      <c r="D1224" s="279" t="s">
        <v>10455</v>
      </c>
      <c r="E1224" s="306" t="s">
        <v>10969</v>
      </c>
      <c r="F1224" s="278" t="s">
        <v>4109</v>
      </c>
      <c r="G1224" s="278" t="s">
        <v>4108</v>
      </c>
      <c r="H1224" s="306" t="s">
        <v>11193</v>
      </c>
      <c r="I1224" s="269" t="s">
        <v>11194</v>
      </c>
      <c r="J1224" s="306" t="s">
        <v>10969</v>
      </c>
    </row>
    <row r="1225" spans="1:10" ht="14.5" customHeight="1" x14ac:dyDescent="0.25">
      <c r="A1225" s="278" t="s">
        <v>3705</v>
      </c>
      <c r="B1225" s="278" t="s">
        <v>10904</v>
      </c>
      <c r="C1225" s="278" t="s">
        <v>10456</v>
      </c>
      <c r="D1225" s="279" t="s">
        <v>10457</v>
      </c>
      <c r="E1225" s="306" t="s">
        <v>10969</v>
      </c>
      <c r="F1225" s="278" t="s">
        <v>4109</v>
      </c>
      <c r="G1225" s="278" t="s">
        <v>4108</v>
      </c>
      <c r="H1225" s="306" t="s">
        <v>11203</v>
      </c>
      <c r="I1225" s="269" t="s">
        <v>11225</v>
      </c>
      <c r="J1225" s="306" t="s">
        <v>10969</v>
      </c>
    </row>
    <row r="1226" spans="1:10" ht="14.5" customHeight="1" x14ac:dyDescent="0.25">
      <c r="A1226" s="278" t="s">
        <v>3705</v>
      </c>
      <c r="B1226" s="278" t="s">
        <v>10904</v>
      </c>
      <c r="C1226" s="278" t="s">
        <v>10456</v>
      </c>
      <c r="D1226" s="279" t="s">
        <v>10457</v>
      </c>
      <c r="E1226" s="306" t="s">
        <v>10969</v>
      </c>
      <c r="F1226" s="278" t="s">
        <v>4109</v>
      </c>
      <c r="G1226" s="278" t="s">
        <v>4108</v>
      </c>
      <c r="H1226" s="306" t="s">
        <v>11238</v>
      </c>
      <c r="I1226" s="269" t="s">
        <v>11239</v>
      </c>
      <c r="J1226" s="306" t="s">
        <v>10969</v>
      </c>
    </row>
    <row r="1227" spans="1:10" ht="14.5" customHeight="1" x14ac:dyDescent="0.25">
      <c r="A1227" s="278" t="s">
        <v>3705</v>
      </c>
      <c r="B1227" s="278" t="s">
        <v>10904</v>
      </c>
      <c r="C1227" s="278" t="s">
        <v>10456</v>
      </c>
      <c r="D1227" s="279" t="s">
        <v>10457</v>
      </c>
      <c r="E1227" s="306" t="s">
        <v>10969</v>
      </c>
      <c r="F1227" s="278" t="s">
        <v>4109</v>
      </c>
      <c r="G1227" s="278" t="s">
        <v>4108</v>
      </c>
      <c r="H1227" s="306" t="s">
        <v>11193</v>
      </c>
      <c r="I1227" s="269" t="s">
        <v>11194</v>
      </c>
      <c r="J1227" s="306" t="s">
        <v>10969</v>
      </c>
    </row>
    <row r="1228" spans="1:10" ht="14.5" customHeight="1" x14ac:dyDescent="0.25">
      <c r="A1228" s="278" t="s">
        <v>3705</v>
      </c>
      <c r="B1228" s="278" t="s">
        <v>10904</v>
      </c>
      <c r="C1228" s="278" t="s">
        <v>10458</v>
      </c>
      <c r="D1228" s="279" t="s">
        <v>10459</v>
      </c>
      <c r="E1228" s="306" t="s">
        <v>10969</v>
      </c>
      <c r="F1228" s="278" t="s">
        <v>4109</v>
      </c>
      <c r="G1228" s="278" t="s">
        <v>4108</v>
      </c>
      <c r="H1228" s="306" t="s">
        <v>11203</v>
      </c>
      <c r="I1228" s="269" t="s">
        <v>11225</v>
      </c>
      <c r="J1228" s="306" t="s">
        <v>10969</v>
      </c>
    </row>
    <row r="1229" spans="1:10" ht="14.5" customHeight="1" x14ac:dyDescent="0.25">
      <c r="A1229" s="278" t="s">
        <v>3705</v>
      </c>
      <c r="B1229" s="278" t="s">
        <v>10904</v>
      </c>
      <c r="C1229" s="278" t="s">
        <v>10458</v>
      </c>
      <c r="D1229" s="279" t="s">
        <v>10459</v>
      </c>
      <c r="E1229" s="306" t="s">
        <v>10969</v>
      </c>
      <c r="F1229" s="278" t="s">
        <v>4109</v>
      </c>
      <c r="G1229" s="278" t="s">
        <v>4108</v>
      </c>
      <c r="H1229" s="306" t="s">
        <v>11238</v>
      </c>
      <c r="I1229" s="269" t="s">
        <v>11239</v>
      </c>
      <c r="J1229" s="306" t="s">
        <v>10969</v>
      </c>
    </row>
    <row r="1230" spans="1:10" ht="14.5" customHeight="1" x14ac:dyDescent="0.25">
      <c r="A1230" s="278" t="s">
        <v>3705</v>
      </c>
      <c r="B1230" s="278" t="s">
        <v>10904</v>
      </c>
      <c r="C1230" s="278" t="s">
        <v>10458</v>
      </c>
      <c r="D1230" s="279" t="s">
        <v>10459</v>
      </c>
      <c r="E1230" s="306" t="s">
        <v>10969</v>
      </c>
      <c r="F1230" s="278" t="s">
        <v>4109</v>
      </c>
      <c r="G1230" s="278" t="s">
        <v>4108</v>
      </c>
      <c r="H1230" s="306" t="s">
        <v>11193</v>
      </c>
      <c r="I1230" s="269" t="s">
        <v>11194</v>
      </c>
      <c r="J1230" s="306" t="s">
        <v>10969</v>
      </c>
    </row>
    <row r="1231" spans="1:10" ht="14.5" customHeight="1" x14ac:dyDescent="0.25">
      <c r="A1231" s="278" t="s">
        <v>3705</v>
      </c>
      <c r="B1231" s="278" t="s">
        <v>10904</v>
      </c>
      <c r="C1231" s="278" t="s">
        <v>10460</v>
      </c>
      <c r="D1231" s="279" t="s">
        <v>10461</v>
      </c>
      <c r="E1231" s="306" t="s">
        <v>10969</v>
      </c>
      <c r="F1231" s="278" t="s">
        <v>4109</v>
      </c>
      <c r="G1231" s="278" t="s">
        <v>4108</v>
      </c>
      <c r="H1231" s="306" t="s">
        <v>11203</v>
      </c>
      <c r="I1231" s="269" t="s">
        <v>11225</v>
      </c>
      <c r="J1231" s="306" t="s">
        <v>10969</v>
      </c>
    </row>
    <row r="1232" spans="1:10" ht="14.5" customHeight="1" x14ac:dyDescent="0.25">
      <c r="A1232" s="278" t="s">
        <v>3705</v>
      </c>
      <c r="B1232" s="278" t="s">
        <v>10904</v>
      </c>
      <c r="C1232" s="278" t="s">
        <v>10460</v>
      </c>
      <c r="D1232" s="279" t="s">
        <v>10461</v>
      </c>
      <c r="E1232" s="306" t="s">
        <v>10969</v>
      </c>
      <c r="F1232" s="278" t="s">
        <v>4109</v>
      </c>
      <c r="G1232" s="278" t="s">
        <v>4108</v>
      </c>
      <c r="H1232" s="306" t="s">
        <v>11276</v>
      </c>
      <c r="I1232" s="269" t="s">
        <v>11277</v>
      </c>
      <c r="J1232" s="306" t="s">
        <v>10969</v>
      </c>
    </row>
    <row r="1233" spans="1:10" ht="14.5" customHeight="1" x14ac:dyDescent="0.25">
      <c r="A1233" s="278" t="s">
        <v>3705</v>
      </c>
      <c r="B1233" s="278" t="s">
        <v>10904</v>
      </c>
      <c r="C1233" s="278" t="s">
        <v>10460</v>
      </c>
      <c r="D1233" s="279" t="s">
        <v>10461</v>
      </c>
      <c r="E1233" s="306" t="s">
        <v>10969</v>
      </c>
      <c r="F1233" s="278" t="s">
        <v>4109</v>
      </c>
      <c r="G1233" s="278" t="s">
        <v>4108</v>
      </c>
      <c r="H1233" s="306" t="s">
        <v>11278</v>
      </c>
      <c r="I1233" s="269" t="s">
        <v>11279</v>
      </c>
      <c r="J1233" s="306" t="s">
        <v>10969</v>
      </c>
    </row>
    <row r="1234" spans="1:10" ht="14.5" customHeight="1" x14ac:dyDescent="0.25">
      <c r="A1234" s="278" t="s">
        <v>3705</v>
      </c>
      <c r="B1234" s="278" t="s">
        <v>10904</v>
      </c>
      <c r="C1234" s="278" t="s">
        <v>10460</v>
      </c>
      <c r="D1234" s="279" t="s">
        <v>10461</v>
      </c>
      <c r="E1234" s="306" t="s">
        <v>10969</v>
      </c>
      <c r="F1234" s="278" t="s">
        <v>4109</v>
      </c>
      <c r="G1234" s="278" t="s">
        <v>4108</v>
      </c>
      <c r="H1234" s="306" t="s">
        <v>11280</v>
      </c>
      <c r="I1234" s="269" t="s">
        <v>11279</v>
      </c>
      <c r="J1234" s="306" t="s">
        <v>10969</v>
      </c>
    </row>
    <row r="1235" spans="1:10" ht="14.5" customHeight="1" x14ac:dyDescent="0.25">
      <c r="A1235" s="278" t="s">
        <v>3705</v>
      </c>
      <c r="B1235" s="278" t="s">
        <v>10904</v>
      </c>
      <c r="C1235" s="278" t="s">
        <v>10460</v>
      </c>
      <c r="D1235" s="279" t="s">
        <v>10461</v>
      </c>
      <c r="E1235" s="306" t="s">
        <v>10969</v>
      </c>
      <c r="F1235" s="278" t="s">
        <v>4109</v>
      </c>
      <c r="G1235" s="278" t="s">
        <v>4108</v>
      </c>
      <c r="H1235" s="306" t="s">
        <v>11281</v>
      </c>
      <c r="I1235" s="269" t="s">
        <v>11282</v>
      </c>
      <c r="J1235" s="306" t="s">
        <v>10969</v>
      </c>
    </row>
    <row r="1236" spans="1:10" ht="14.5" customHeight="1" x14ac:dyDescent="0.25">
      <c r="A1236" s="278" t="s">
        <v>3705</v>
      </c>
      <c r="B1236" s="278" t="s">
        <v>10904</v>
      </c>
      <c r="C1236" s="278" t="s">
        <v>10462</v>
      </c>
      <c r="D1236" s="279" t="s">
        <v>10463</v>
      </c>
      <c r="E1236" s="306" t="s">
        <v>10969</v>
      </c>
      <c r="F1236" s="278" t="s">
        <v>4109</v>
      </c>
      <c r="G1236" s="278" t="s">
        <v>4108</v>
      </c>
      <c r="H1236" s="306" t="s">
        <v>11285</v>
      </c>
      <c r="I1236" s="269" t="s">
        <v>11286</v>
      </c>
      <c r="J1236" s="306" t="s">
        <v>10969</v>
      </c>
    </row>
    <row r="1237" spans="1:10" ht="14.5" customHeight="1" x14ac:dyDescent="0.25">
      <c r="A1237" s="278" t="s">
        <v>3705</v>
      </c>
      <c r="B1237" s="278" t="s">
        <v>10904</v>
      </c>
      <c r="C1237" s="278" t="s">
        <v>10462</v>
      </c>
      <c r="D1237" s="279" t="s">
        <v>10463</v>
      </c>
      <c r="E1237" s="306" t="s">
        <v>10969</v>
      </c>
      <c r="F1237" s="278" t="s">
        <v>4109</v>
      </c>
      <c r="G1237" s="278" t="s">
        <v>4108</v>
      </c>
      <c r="H1237" s="306" t="s">
        <v>11287</v>
      </c>
      <c r="I1237" s="269" t="s">
        <v>11288</v>
      </c>
      <c r="J1237" s="306" t="s">
        <v>10969</v>
      </c>
    </row>
    <row r="1238" spans="1:10" ht="14.5" customHeight="1" x14ac:dyDescent="0.25">
      <c r="A1238" s="278" t="s">
        <v>3705</v>
      </c>
      <c r="B1238" s="278" t="s">
        <v>10904</v>
      </c>
      <c r="C1238" s="278" t="s">
        <v>10462</v>
      </c>
      <c r="D1238" s="279" t="s">
        <v>10463</v>
      </c>
      <c r="E1238" s="306" t="s">
        <v>10969</v>
      </c>
      <c r="F1238" s="278" t="s">
        <v>4109</v>
      </c>
      <c r="G1238" s="278" t="s">
        <v>4108</v>
      </c>
      <c r="H1238" s="306" t="s">
        <v>11289</v>
      </c>
      <c r="I1238" s="269" t="s">
        <v>11290</v>
      </c>
      <c r="J1238" s="306" t="s">
        <v>10969</v>
      </c>
    </row>
    <row r="1239" spans="1:10" ht="14.5" customHeight="1" x14ac:dyDescent="0.25">
      <c r="A1239" s="278" t="s">
        <v>3705</v>
      </c>
      <c r="B1239" s="278" t="s">
        <v>10904</v>
      </c>
      <c r="C1239" s="278" t="s">
        <v>10462</v>
      </c>
      <c r="D1239" s="279" t="s">
        <v>10463</v>
      </c>
      <c r="E1239" s="306" t="s">
        <v>10969</v>
      </c>
      <c r="F1239" s="278" t="s">
        <v>4109</v>
      </c>
      <c r="G1239" s="278" t="s">
        <v>4108</v>
      </c>
      <c r="H1239" s="306" t="s">
        <v>11291</v>
      </c>
      <c r="I1239" s="269" t="s">
        <v>11292</v>
      </c>
      <c r="J1239" s="306" t="s">
        <v>10969</v>
      </c>
    </row>
    <row r="1240" spans="1:10" ht="14.5" customHeight="1" x14ac:dyDescent="0.25">
      <c r="A1240" s="278" t="s">
        <v>3705</v>
      </c>
      <c r="B1240" s="278" t="s">
        <v>10904</v>
      </c>
      <c r="C1240" s="278" t="s">
        <v>10462</v>
      </c>
      <c r="D1240" s="279" t="s">
        <v>10463</v>
      </c>
      <c r="E1240" s="306" t="s">
        <v>10969</v>
      </c>
      <c r="F1240" s="278" t="s">
        <v>4109</v>
      </c>
      <c r="G1240" s="278" t="s">
        <v>4108</v>
      </c>
      <c r="H1240" s="306" t="s">
        <v>11226</v>
      </c>
      <c r="I1240" s="269" t="s">
        <v>11227</v>
      </c>
      <c r="J1240" s="306" t="s">
        <v>10969</v>
      </c>
    </row>
    <row r="1241" spans="1:10" ht="14.5" customHeight="1" x14ac:dyDescent="0.25">
      <c r="A1241" s="278" t="s">
        <v>3705</v>
      </c>
      <c r="B1241" s="278" t="s">
        <v>10904</v>
      </c>
      <c r="C1241" s="278" t="s">
        <v>10464</v>
      </c>
      <c r="D1241" s="279" t="s">
        <v>10465</v>
      </c>
      <c r="E1241" s="306" t="s">
        <v>10969</v>
      </c>
      <c r="F1241" s="278" t="s">
        <v>4109</v>
      </c>
      <c r="G1241" s="278" t="s">
        <v>4108</v>
      </c>
      <c r="H1241" s="306" t="s">
        <v>11246</v>
      </c>
      <c r="I1241" s="269" t="s">
        <v>11247</v>
      </c>
      <c r="J1241" s="306" t="s">
        <v>10969</v>
      </c>
    </row>
    <row r="1242" spans="1:10" ht="14.5" customHeight="1" x14ac:dyDescent="0.25">
      <c r="A1242" s="278" t="s">
        <v>3705</v>
      </c>
      <c r="B1242" s="278" t="s">
        <v>10904</v>
      </c>
      <c r="C1242" s="278" t="s">
        <v>10464</v>
      </c>
      <c r="D1242" s="279" t="s">
        <v>10465</v>
      </c>
      <c r="E1242" s="306" t="s">
        <v>10969</v>
      </c>
      <c r="F1242" s="278" t="s">
        <v>4109</v>
      </c>
      <c r="G1242" s="278" t="s">
        <v>4108</v>
      </c>
      <c r="H1242" s="306" t="s">
        <v>11291</v>
      </c>
      <c r="I1242" s="269" t="s">
        <v>11292</v>
      </c>
      <c r="J1242" s="306" t="s">
        <v>10969</v>
      </c>
    </row>
    <row r="1243" spans="1:10" ht="14.5" customHeight="1" x14ac:dyDescent="0.25">
      <c r="A1243" s="278" t="s">
        <v>3705</v>
      </c>
      <c r="B1243" s="278" t="s">
        <v>10904</v>
      </c>
      <c r="C1243" s="278" t="s">
        <v>10464</v>
      </c>
      <c r="D1243" s="279" t="s">
        <v>10465</v>
      </c>
      <c r="E1243" s="306" t="s">
        <v>10969</v>
      </c>
      <c r="F1243" s="278" t="s">
        <v>4109</v>
      </c>
      <c r="G1243" s="278" t="s">
        <v>4108</v>
      </c>
      <c r="H1243" s="306" t="s">
        <v>11226</v>
      </c>
      <c r="I1243" s="269" t="s">
        <v>11227</v>
      </c>
      <c r="J1243" s="306" t="s">
        <v>10969</v>
      </c>
    </row>
    <row r="1244" spans="1:10" ht="14.5" customHeight="1" x14ac:dyDescent="0.25">
      <c r="A1244" s="278" t="s">
        <v>3705</v>
      </c>
      <c r="B1244" s="278" t="s">
        <v>10904</v>
      </c>
      <c r="C1244" s="278" t="s">
        <v>10466</v>
      </c>
      <c r="D1244" s="279" t="s">
        <v>10467</v>
      </c>
      <c r="E1244" s="306" t="s">
        <v>10969</v>
      </c>
      <c r="F1244" s="278" t="s">
        <v>4109</v>
      </c>
      <c r="G1244" s="278" t="s">
        <v>4108</v>
      </c>
      <c r="H1244" s="306" t="s">
        <v>11246</v>
      </c>
      <c r="I1244" s="269" t="s">
        <v>11247</v>
      </c>
      <c r="J1244" s="306" t="s">
        <v>10969</v>
      </c>
    </row>
    <row r="1245" spans="1:10" ht="14.5" customHeight="1" x14ac:dyDescent="0.25">
      <c r="A1245" s="278" t="s">
        <v>3705</v>
      </c>
      <c r="B1245" s="278" t="s">
        <v>10904</v>
      </c>
      <c r="C1245" s="278" t="s">
        <v>10466</v>
      </c>
      <c r="D1245" s="279" t="s">
        <v>10467</v>
      </c>
      <c r="E1245" s="306" t="s">
        <v>10969</v>
      </c>
      <c r="F1245" s="278" t="s">
        <v>4109</v>
      </c>
      <c r="G1245" s="278" t="s">
        <v>4108</v>
      </c>
      <c r="H1245" s="306" t="s">
        <v>11291</v>
      </c>
      <c r="I1245" s="269" t="s">
        <v>11292</v>
      </c>
      <c r="J1245" s="306" t="s">
        <v>10969</v>
      </c>
    </row>
    <row r="1246" spans="1:10" ht="14.5" customHeight="1" x14ac:dyDescent="0.25">
      <c r="A1246" s="278" t="s">
        <v>3705</v>
      </c>
      <c r="B1246" s="278" t="s">
        <v>10904</v>
      </c>
      <c r="C1246" s="278" t="s">
        <v>10466</v>
      </c>
      <c r="D1246" s="279" t="s">
        <v>10467</v>
      </c>
      <c r="E1246" s="306" t="s">
        <v>10969</v>
      </c>
      <c r="F1246" s="278" t="s">
        <v>4109</v>
      </c>
      <c r="G1246" s="278" t="s">
        <v>4108</v>
      </c>
      <c r="H1246" s="306" t="s">
        <v>11226</v>
      </c>
      <c r="I1246" s="269" t="s">
        <v>11227</v>
      </c>
      <c r="J1246" s="306" t="s">
        <v>10969</v>
      </c>
    </row>
    <row r="1247" spans="1:10" ht="14.5" customHeight="1" x14ac:dyDescent="0.25">
      <c r="A1247" s="278" t="s">
        <v>3705</v>
      </c>
      <c r="B1247" s="278" t="s">
        <v>10904</v>
      </c>
      <c r="C1247" s="278" t="s">
        <v>10468</v>
      </c>
      <c r="D1247" s="279" t="s">
        <v>10469</v>
      </c>
      <c r="E1247" s="306" t="s">
        <v>10969</v>
      </c>
      <c r="F1247" s="278" t="s">
        <v>4109</v>
      </c>
      <c r="G1247" s="278" t="s">
        <v>4108</v>
      </c>
      <c r="H1247" s="306" t="s">
        <v>11291</v>
      </c>
      <c r="I1247" s="269" t="s">
        <v>11292</v>
      </c>
      <c r="J1247" s="306" t="s">
        <v>10969</v>
      </c>
    </row>
    <row r="1248" spans="1:10" ht="14.5" customHeight="1" x14ac:dyDescent="0.25">
      <c r="A1248" s="278" t="s">
        <v>3705</v>
      </c>
      <c r="B1248" s="278" t="s">
        <v>10904</v>
      </c>
      <c r="C1248" s="278" t="s">
        <v>10470</v>
      </c>
      <c r="D1248" s="279" t="s">
        <v>10471</v>
      </c>
      <c r="E1248" s="306" t="s">
        <v>10969</v>
      </c>
      <c r="F1248" s="278" t="s">
        <v>4109</v>
      </c>
      <c r="G1248" s="278" t="s">
        <v>4108</v>
      </c>
      <c r="H1248" s="306" t="s">
        <v>11291</v>
      </c>
      <c r="I1248" s="269" t="s">
        <v>11292</v>
      </c>
      <c r="J1248" s="306" t="s">
        <v>10969</v>
      </c>
    </row>
    <row r="1249" spans="1:10" ht="14.5" customHeight="1" x14ac:dyDescent="0.25">
      <c r="A1249" s="278" t="s">
        <v>3705</v>
      </c>
      <c r="B1249" s="278" t="s">
        <v>10904</v>
      </c>
      <c r="C1249" s="278" t="s">
        <v>10472</v>
      </c>
      <c r="D1249" s="279" t="s">
        <v>10473</v>
      </c>
      <c r="E1249" s="306" t="s">
        <v>10969</v>
      </c>
      <c r="F1249" s="278" t="s">
        <v>4109</v>
      </c>
      <c r="G1249" s="278" t="s">
        <v>4109</v>
      </c>
      <c r="H1249" s="306" t="s">
        <v>11291</v>
      </c>
      <c r="I1249" s="269" t="s">
        <v>11292</v>
      </c>
      <c r="J1249" s="306" t="s">
        <v>10969</v>
      </c>
    </row>
    <row r="1250" spans="1:10" ht="14.5" customHeight="1" x14ac:dyDescent="0.25">
      <c r="A1250" s="278" t="s">
        <v>3705</v>
      </c>
      <c r="B1250" s="278" t="s">
        <v>10904</v>
      </c>
      <c r="C1250" s="278" t="s">
        <v>10474</v>
      </c>
      <c r="D1250" s="279" t="s">
        <v>10475</v>
      </c>
      <c r="E1250" s="306" t="s">
        <v>10969</v>
      </c>
      <c r="F1250" s="278" t="s">
        <v>4109</v>
      </c>
      <c r="G1250" s="278" t="s">
        <v>4108</v>
      </c>
      <c r="H1250" s="306" t="s">
        <v>11293</v>
      </c>
      <c r="I1250" s="269" t="s">
        <v>11294</v>
      </c>
      <c r="J1250" s="306" t="s">
        <v>10969</v>
      </c>
    </row>
    <row r="1251" spans="1:10" ht="14.5" customHeight="1" x14ac:dyDescent="0.25">
      <c r="A1251" s="278" t="s">
        <v>3705</v>
      </c>
      <c r="B1251" s="278" t="s">
        <v>10904</v>
      </c>
      <c r="C1251" s="278" t="s">
        <v>10474</v>
      </c>
      <c r="D1251" s="279" t="s">
        <v>10475</v>
      </c>
      <c r="E1251" s="306" t="s">
        <v>10969</v>
      </c>
      <c r="F1251" s="278" t="s">
        <v>4109</v>
      </c>
      <c r="G1251" s="278" t="s">
        <v>4108</v>
      </c>
      <c r="H1251" s="306" t="s">
        <v>11226</v>
      </c>
      <c r="I1251" s="269" t="s">
        <v>11227</v>
      </c>
      <c r="J1251" s="306" t="s">
        <v>10969</v>
      </c>
    </row>
    <row r="1252" spans="1:10" ht="14.5" customHeight="1" x14ac:dyDescent="0.25">
      <c r="A1252" s="278" t="s">
        <v>3705</v>
      </c>
      <c r="B1252" s="278" t="s">
        <v>10904</v>
      </c>
      <c r="C1252" s="278" t="s">
        <v>10476</v>
      </c>
      <c r="D1252" s="279" t="s">
        <v>10477</v>
      </c>
      <c r="E1252" s="306" t="s">
        <v>10969</v>
      </c>
      <c r="F1252" s="278" t="s">
        <v>4109</v>
      </c>
      <c r="G1252" s="278" t="s">
        <v>4108</v>
      </c>
      <c r="H1252" s="306" t="s">
        <v>11293</v>
      </c>
      <c r="I1252" s="269" t="s">
        <v>11294</v>
      </c>
      <c r="J1252" s="306" t="s">
        <v>10969</v>
      </c>
    </row>
    <row r="1253" spans="1:10" ht="14.5" customHeight="1" x14ac:dyDescent="0.25">
      <c r="A1253" s="278" t="s">
        <v>3705</v>
      </c>
      <c r="B1253" s="278" t="s">
        <v>10904</v>
      </c>
      <c r="C1253" s="278" t="s">
        <v>10476</v>
      </c>
      <c r="D1253" s="279" t="s">
        <v>10477</v>
      </c>
      <c r="E1253" s="306" t="s">
        <v>10969</v>
      </c>
      <c r="F1253" s="278" t="s">
        <v>4109</v>
      </c>
      <c r="G1253" s="278" t="s">
        <v>4108</v>
      </c>
      <c r="H1253" s="306" t="s">
        <v>11291</v>
      </c>
      <c r="I1253" s="269" t="s">
        <v>11292</v>
      </c>
      <c r="J1253" s="306" t="s">
        <v>10969</v>
      </c>
    </row>
    <row r="1254" spans="1:10" ht="14.5" customHeight="1" x14ac:dyDescent="0.25">
      <c r="A1254" s="278" t="s">
        <v>3705</v>
      </c>
      <c r="B1254" s="278" t="s">
        <v>10904</v>
      </c>
      <c r="C1254" s="278" t="s">
        <v>10478</v>
      </c>
      <c r="D1254" s="279" t="s">
        <v>10479</v>
      </c>
      <c r="E1254" s="306" t="s">
        <v>10969</v>
      </c>
      <c r="F1254" s="278" t="s">
        <v>4109</v>
      </c>
      <c r="G1254" s="278" t="s">
        <v>4108</v>
      </c>
      <c r="H1254" s="306" t="s">
        <v>11293</v>
      </c>
      <c r="I1254" s="269" t="s">
        <v>11294</v>
      </c>
      <c r="J1254" s="306" t="s">
        <v>10969</v>
      </c>
    </row>
    <row r="1255" spans="1:10" ht="14.5" customHeight="1" x14ac:dyDescent="0.25">
      <c r="A1255" s="278" t="s">
        <v>3705</v>
      </c>
      <c r="B1255" s="278" t="s">
        <v>10904</v>
      </c>
      <c r="C1255" s="278" t="s">
        <v>10478</v>
      </c>
      <c r="D1255" s="279" t="s">
        <v>10479</v>
      </c>
      <c r="E1255" s="306" t="s">
        <v>10969</v>
      </c>
      <c r="F1255" s="278" t="s">
        <v>4109</v>
      </c>
      <c r="G1255" s="278" t="s">
        <v>4108</v>
      </c>
      <c r="H1255" s="306" t="s">
        <v>11291</v>
      </c>
      <c r="I1255" s="269" t="s">
        <v>11292</v>
      </c>
      <c r="J1255" s="306" t="s">
        <v>10969</v>
      </c>
    </row>
    <row r="1256" spans="1:10" ht="14.5" customHeight="1" x14ac:dyDescent="0.25">
      <c r="A1256" s="278" t="s">
        <v>3705</v>
      </c>
      <c r="B1256" s="278" t="s">
        <v>10904</v>
      </c>
      <c r="C1256" s="278" t="s">
        <v>10480</v>
      </c>
      <c r="D1256" s="279" t="s">
        <v>10481</v>
      </c>
      <c r="E1256" s="306" t="s">
        <v>10969</v>
      </c>
      <c r="F1256" s="278" t="s">
        <v>4109</v>
      </c>
      <c r="G1256" s="278" t="s">
        <v>4109</v>
      </c>
      <c r="H1256" s="306" t="s">
        <v>11293</v>
      </c>
      <c r="I1256" s="269" t="s">
        <v>11294</v>
      </c>
      <c r="J1256" s="306" t="s">
        <v>10969</v>
      </c>
    </row>
    <row r="1257" spans="1:10" ht="14.5" customHeight="1" x14ac:dyDescent="0.25">
      <c r="A1257" s="278" t="s">
        <v>3705</v>
      </c>
      <c r="B1257" s="278" t="s">
        <v>10904</v>
      </c>
      <c r="C1257" s="278" t="s">
        <v>10480</v>
      </c>
      <c r="D1257" s="279" t="s">
        <v>10481</v>
      </c>
      <c r="E1257" s="306" t="s">
        <v>10969</v>
      </c>
      <c r="F1257" s="278" t="s">
        <v>4109</v>
      </c>
      <c r="G1257" s="278" t="s">
        <v>4109</v>
      </c>
      <c r="H1257" s="306" t="s">
        <v>11291</v>
      </c>
      <c r="I1257" s="269" t="s">
        <v>11292</v>
      </c>
      <c r="J1257" s="306" t="s">
        <v>10969</v>
      </c>
    </row>
    <row r="1258" spans="1:10" ht="14.5" customHeight="1" x14ac:dyDescent="0.25">
      <c r="A1258" s="278" t="s">
        <v>3705</v>
      </c>
      <c r="B1258" s="278" t="s">
        <v>10904</v>
      </c>
      <c r="C1258" s="278" t="s">
        <v>10482</v>
      </c>
      <c r="D1258" s="279" t="s">
        <v>10483</v>
      </c>
      <c r="E1258" s="306" t="s">
        <v>10969</v>
      </c>
      <c r="F1258" s="278" t="s">
        <v>4109</v>
      </c>
      <c r="G1258" s="278" t="s">
        <v>4108</v>
      </c>
      <c r="H1258" s="306" t="s">
        <v>11293</v>
      </c>
      <c r="I1258" s="269" t="s">
        <v>11294</v>
      </c>
      <c r="J1258" s="306" t="s">
        <v>10969</v>
      </c>
    </row>
    <row r="1259" spans="1:10" ht="14.5" customHeight="1" x14ac:dyDescent="0.25">
      <c r="A1259" s="278" t="s">
        <v>3705</v>
      </c>
      <c r="B1259" s="278" t="s">
        <v>10904</v>
      </c>
      <c r="C1259" s="278" t="s">
        <v>10482</v>
      </c>
      <c r="D1259" s="279" t="s">
        <v>10483</v>
      </c>
      <c r="E1259" s="306" t="s">
        <v>10969</v>
      </c>
      <c r="F1259" s="278" t="s">
        <v>4109</v>
      </c>
      <c r="G1259" s="278" t="s">
        <v>4108</v>
      </c>
      <c r="H1259" s="306" t="s">
        <v>11226</v>
      </c>
      <c r="I1259" s="269" t="s">
        <v>11227</v>
      </c>
      <c r="J1259" s="306" t="s">
        <v>10969</v>
      </c>
    </row>
    <row r="1260" spans="1:10" ht="14.5" customHeight="1" x14ac:dyDescent="0.25">
      <c r="A1260" s="278" t="s">
        <v>3705</v>
      </c>
      <c r="B1260" s="278" t="s">
        <v>10904</v>
      </c>
      <c r="C1260" s="278" t="s">
        <v>10494</v>
      </c>
      <c r="D1260" s="279" t="s">
        <v>10495</v>
      </c>
      <c r="E1260" s="306" t="s">
        <v>10969</v>
      </c>
      <c r="F1260" s="278" t="s">
        <v>4109</v>
      </c>
      <c r="G1260" s="278" t="s">
        <v>4108</v>
      </c>
      <c r="H1260" s="306" t="s">
        <v>11219</v>
      </c>
      <c r="I1260" s="269" t="s">
        <v>11220</v>
      </c>
      <c r="J1260" s="306" t="s">
        <v>10969</v>
      </c>
    </row>
    <row r="1261" spans="1:10" ht="14.5" customHeight="1" x14ac:dyDescent="0.25">
      <c r="A1261" s="278" t="s">
        <v>3705</v>
      </c>
      <c r="B1261" s="278" t="s">
        <v>10904</v>
      </c>
      <c r="C1261" s="278" t="s">
        <v>10494</v>
      </c>
      <c r="D1261" s="279" t="s">
        <v>10495</v>
      </c>
      <c r="E1261" s="306" t="s">
        <v>10969</v>
      </c>
      <c r="F1261" s="278" t="s">
        <v>4109</v>
      </c>
      <c r="G1261" s="278" t="s">
        <v>4108</v>
      </c>
      <c r="H1261" s="306" t="s">
        <v>11291</v>
      </c>
      <c r="I1261" s="269" t="s">
        <v>11292</v>
      </c>
      <c r="J1261" s="306" t="s">
        <v>10969</v>
      </c>
    </row>
    <row r="1262" spans="1:10" ht="14.5" customHeight="1" x14ac:dyDescent="0.25">
      <c r="A1262" s="278" t="s">
        <v>3705</v>
      </c>
      <c r="B1262" s="278" t="s">
        <v>10904</v>
      </c>
      <c r="C1262" s="278" t="s">
        <v>10494</v>
      </c>
      <c r="D1262" s="279" t="s">
        <v>10495</v>
      </c>
      <c r="E1262" s="306" t="s">
        <v>10969</v>
      </c>
      <c r="F1262" s="278" t="s">
        <v>4109</v>
      </c>
      <c r="G1262" s="278" t="s">
        <v>4108</v>
      </c>
      <c r="H1262" s="306" t="s">
        <v>11221</v>
      </c>
      <c r="I1262" s="269" t="s">
        <v>11222</v>
      </c>
      <c r="J1262" s="306" t="s">
        <v>10969</v>
      </c>
    </row>
    <row r="1263" spans="1:10" ht="14.5" customHeight="1" x14ac:dyDescent="0.25">
      <c r="A1263" s="278" t="s">
        <v>3705</v>
      </c>
      <c r="B1263" s="278" t="s">
        <v>10904</v>
      </c>
      <c r="C1263" s="278" t="s">
        <v>10496</v>
      </c>
      <c r="D1263" s="279" t="s">
        <v>10497</v>
      </c>
      <c r="E1263" s="306" t="s">
        <v>10969</v>
      </c>
      <c r="F1263" s="278" t="s">
        <v>4109</v>
      </c>
      <c r="G1263" s="278" t="s">
        <v>4108</v>
      </c>
      <c r="H1263" s="306" t="s">
        <v>11219</v>
      </c>
      <c r="I1263" s="269" t="s">
        <v>11220</v>
      </c>
      <c r="J1263" s="306" t="s">
        <v>10969</v>
      </c>
    </row>
    <row r="1264" spans="1:10" ht="14.5" customHeight="1" x14ac:dyDescent="0.25">
      <c r="A1264" s="278" t="s">
        <v>3705</v>
      </c>
      <c r="B1264" s="278" t="s">
        <v>10904</v>
      </c>
      <c r="C1264" s="278" t="s">
        <v>10496</v>
      </c>
      <c r="D1264" s="279" t="s">
        <v>10497</v>
      </c>
      <c r="E1264" s="306" t="s">
        <v>10969</v>
      </c>
      <c r="F1264" s="278" t="s">
        <v>4109</v>
      </c>
      <c r="G1264" s="278" t="s">
        <v>4108</v>
      </c>
      <c r="H1264" s="306" t="s">
        <v>11293</v>
      </c>
      <c r="I1264" s="269" t="s">
        <v>11294</v>
      </c>
      <c r="J1264" s="306" t="s">
        <v>10969</v>
      </c>
    </row>
    <row r="1265" spans="1:10" ht="14.5" customHeight="1" x14ac:dyDescent="0.25">
      <c r="A1265" s="278" t="s">
        <v>3705</v>
      </c>
      <c r="B1265" s="278" t="s">
        <v>10904</v>
      </c>
      <c r="C1265" s="278" t="s">
        <v>10496</v>
      </c>
      <c r="D1265" s="279" t="s">
        <v>10497</v>
      </c>
      <c r="E1265" s="306" t="s">
        <v>10969</v>
      </c>
      <c r="F1265" s="278" t="s">
        <v>4109</v>
      </c>
      <c r="G1265" s="278" t="s">
        <v>4108</v>
      </c>
      <c r="H1265" s="306" t="s">
        <v>11291</v>
      </c>
      <c r="I1265" s="269" t="s">
        <v>11292</v>
      </c>
      <c r="J1265" s="306" t="s">
        <v>10969</v>
      </c>
    </row>
    <row r="1266" spans="1:10" ht="14.5" customHeight="1" x14ac:dyDescent="0.25">
      <c r="A1266" s="278" t="s">
        <v>3705</v>
      </c>
      <c r="B1266" s="278" t="s">
        <v>10904</v>
      </c>
      <c r="C1266" s="278" t="s">
        <v>10496</v>
      </c>
      <c r="D1266" s="279" t="s">
        <v>10497</v>
      </c>
      <c r="E1266" s="306" t="s">
        <v>10969</v>
      </c>
      <c r="F1266" s="278" t="s">
        <v>4109</v>
      </c>
      <c r="G1266" s="278" t="s">
        <v>4108</v>
      </c>
      <c r="H1266" s="306" t="s">
        <v>11221</v>
      </c>
      <c r="I1266" s="269" t="s">
        <v>11222</v>
      </c>
      <c r="J1266" s="306" t="s">
        <v>10969</v>
      </c>
    </row>
    <row r="1267" spans="1:10" ht="14.5" customHeight="1" x14ac:dyDescent="0.25">
      <c r="A1267" s="278" t="s">
        <v>3705</v>
      </c>
      <c r="B1267" s="278" t="s">
        <v>10904</v>
      </c>
      <c r="C1267" s="278" t="s">
        <v>10498</v>
      </c>
      <c r="D1267" s="279" t="s">
        <v>10499</v>
      </c>
      <c r="E1267" s="306" t="s">
        <v>10969</v>
      </c>
      <c r="F1267" s="278" t="s">
        <v>4109</v>
      </c>
      <c r="G1267" s="278" t="s">
        <v>4108</v>
      </c>
      <c r="H1267" s="306" t="s">
        <v>11287</v>
      </c>
      <c r="I1267" s="269" t="s">
        <v>11288</v>
      </c>
      <c r="J1267" s="306" t="s">
        <v>10969</v>
      </c>
    </row>
    <row r="1268" spans="1:10" ht="14.5" customHeight="1" x14ac:dyDescent="0.25">
      <c r="A1268" s="278" t="s">
        <v>3705</v>
      </c>
      <c r="B1268" s="278" t="s">
        <v>10904</v>
      </c>
      <c r="C1268" s="278" t="s">
        <v>10501</v>
      </c>
      <c r="D1268" s="279" t="s">
        <v>10502</v>
      </c>
      <c r="E1268" s="306" t="s">
        <v>10969</v>
      </c>
      <c r="F1268" s="278" t="s">
        <v>4109</v>
      </c>
      <c r="G1268" s="278" t="s">
        <v>4109</v>
      </c>
      <c r="H1268" s="306" t="s">
        <v>11287</v>
      </c>
      <c r="I1268" s="269" t="s">
        <v>11288</v>
      </c>
      <c r="J1268" s="306" t="s">
        <v>10969</v>
      </c>
    </row>
    <row r="1269" spans="1:10" ht="14.5" customHeight="1" x14ac:dyDescent="0.25">
      <c r="A1269" s="278" t="s">
        <v>3705</v>
      </c>
      <c r="B1269" s="278" t="s">
        <v>10904</v>
      </c>
      <c r="C1269" s="278" t="s">
        <v>10504</v>
      </c>
      <c r="D1269" s="279" t="s">
        <v>10505</v>
      </c>
      <c r="E1269" s="306" t="s">
        <v>10969</v>
      </c>
      <c r="F1269" s="278" t="s">
        <v>4109</v>
      </c>
      <c r="G1269" s="278" t="s">
        <v>4108</v>
      </c>
      <c r="H1269" s="306" t="s">
        <v>11289</v>
      </c>
      <c r="I1269" s="269" t="s">
        <v>11290</v>
      </c>
      <c r="J1269" s="306" t="s">
        <v>10969</v>
      </c>
    </row>
    <row r="1270" spans="1:10" ht="14.5" customHeight="1" x14ac:dyDescent="0.25">
      <c r="A1270" s="278" t="s">
        <v>3705</v>
      </c>
      <c r="B1270" s="278" t="s">
        <v>10904</v>
      </c>
      <c r="C1270" s="278" t="s">
        <v>10506</v>
      </c>
      <c r="D1270" s="279" t="s">
        <v>10507</v>
      </c>
      <c r="E1270" s="306" t="s">
        <v>10969</v>
      </c>
      <c r="F1270" s="278" t="s">
        <v>4109</v>
      </c>
      <c r="G1270" s="278" t="s">
        <v>4109</v>
      </c>
      <c r="H1270" s="306" t="s">
        <v>11289</v>
      </c>
      <c r="I1270" s="269" t="s">
        <v>11290</v>
      </c>
      <c r="J1270" s="306" t="s">
        <v>10969</v>
      </c>
    </row>
    <row r="1271" spans="1:10" ht="14.5" customHeight="1" x14ac:dyDescent="0.25">
      <c r="A1271" s="278" t="s">
        <v>3705</v>
      </c>
      <c r="B1271" s="278" t="s">
        <v>10904</v>
      </c>
      <c r="C1271" s="278" t="s">
        <v>10508</v>
      </c>
      <c r="D1271" s="279" t="s">
        <v>10509</v>
      </c>
      <c r="E1271" s="306" t="s">
        <v>10969</v>
      </c>
      <c r="F1271" s="278" t="s">
        <v>4109</v>
      </c>
      <c r="G1271" s="278" t="s">
        <v>4108</v>
      </c>
      <c r="H1271" s="306" t="s">
        <v>11219</v>
      </c>
      <c r="I1271" s="269" t="s">
        <v>11220</v>
      </c>
      <c r="J1271" s="306" t="s">
        <v>10969</v>
      </c>
    </row>
    <row r="1272" spans="1:10" ht="14.5" customHeight="1" x14ac:dyDescent="0.25">
      <c r="A1272" s="278" t="s">
        <v>3705</v>
      </c>
      <c r="B1272" s="278" t="s">
        <v>10904</v>
      </c>
      <c r="C1272" s="278" t="s">
        <v>10508</v>
      </c>
      <c r="D1272" s="279" t="s">
        <v>10509</v>
      </c>
      <c r="E1272" s="306" t="s">
        <v>10969</v>
      </c>
      <c r="F1272" s="278" t="s">
        <v>4109</v>
      </c>
      <c r="G1272" s="278" t="s">
        <v>4108</v>
      </c>
      <c r="H1272" s="306" t="s">
        <v>11287</v>
      </c>
      <c r="I1272" s="269" t="s">
        <v>11288</v>
      </c>
      <c r="J1272" s="306" t="s">
        <v>10969</v>
      </c>
    </row>
    <row r="1273" spans="1:10" ht="14.5" customHeight="1" x14ac:dyDescent="0.25">
      <c r="A1273" s="278" t="s">
        <v>3705</v>
      </c>
      <c r="B1273" s="278" t="s">
        <v>10904</v>
      </c>
      <c r="C1273" s="278" t="s">
        <v>10508</v>
      </c>
      <c r="D1273" s="279" t="s">
        <v>10509</v>
      </c>
      <c r="E1273" s="306" t="s">
        <v>10969</v>
      </c>
      <c r="F1273" s="278" t="s">
        <v>4109</v>
      </c>
      <c r="G1273" s="278" t="s">
        <v>4108</v>
      </c>
      <c r="H1273" s="306" t="s">
        <v>11221</v>
      </c>
      <c r="I1273" s="269" t="s">
        <v>11222</v>
      </c>
      <c r="J1273" s="306" t="s">
        <v>10969</v>
      </c>
    </row>
    <row r="1274" spans="1:10" ht="14.5" customHeight="1" x14ac:dyDescent="0.25">
      <c r="A1274" s="278" t="s">
        <v>3705</v>
      </c>
      <c r="B1274" s="278" t="s">
        <v>10904</v>
      </c>
      <c r="C1274" s="278" t="s">
        <v>10510</v>
      </c>
      <c r="D1274" s="279" t="s">
        <v>10511</v>
      </c>
      <c r="E1274" s="306" t="s">
        <v>10969</v>
      </c>
      <c r="F1274" s="278" t="s">
        <v>4109</v>
      </c>
      <c r="G1274" s="278" t="s">
        <v>4108</v>
      </c>
      <c r="H1274" s="306" t="s">
        <v>11219</v>
      </c>
      <c r="I1274" s="269" t="s">
        <v>11220</v>
      </c>
      <c r="J1274" s="306" t="s">
        <v>10969</v>
      </c>
    </row>
    <row r="1275" spans="1:10" ht="14.5" customHeight="1" x14ac:dyDescent="0.25">
      <c r="A1275" s="278" t="s">
        <v>3705</v>
      </c>
      <c r="B1275" s="278" t="s">
        <v>10904</v>
      </c>
      <c r="C1275" s="278" t="s">
        <v>10510</v>
      </c>
      <c r="D1275" s="279" t="s">
        <v>10511</v>
      </c>
      <c r="E1275" s="306" t="s">
        <v>10969</v>
      </c>
      <c r="F1275" s="278" t="s">
        <v>4109</v>
      </c>
      <c r="G1275" s="278" t="s">
        <v>4108</v>
      </c>
      <c r="H1275" s="306" t="s">
        <v>11289</v>
      </c>
      <c r="I1275" s="269" t="s">
        <v>11290</v>
      </c>
      <c r="J1275" s="306" t="s">
        <v>10969</v>
      </c>
    </row>
    <row r="1276" spans="1:10" ht="14.5" customHeight="1" x14ac:dyDescent="0.25">
      <c r="A1276" s="278" t="s">
        <v>3705</v>
      </c>
      <c r="B1276" s="278" t="s">
        <v>10904</v>
      </c>
      <c r="C1276" s="278" t="s">
        <v>10510</v>
      </c>
      <c r="D1276" s="279" t="s">
        <v>10511</v>
      </c>
      <c r="E1276" s="306" t="s">
        <v>10969</v>
      </c>
      <c r="F1276" s="278" t="s">
        <v>4109</v>
      </c>
      <c r="G1276" s="278" t="s">
        <v>4108</v>
      </c>
      <c r="H1276" s="306" t="s">
        <v>11221</v>
      </c>
      <c r="I1276" s="269" t="s">
        <v>11222</v>
      </c>
      <c r="J1276" s="306" t="s">
        <v>10969</v>
      </c>
    </row>
    <row r="1277" spans="1:10" ht="14.5" customHeight="1" x14ac:dyDescent="0.25">
      <c r="A1277" s="278" t="s">
        <v>3705</v>
      </c>
      <c r="B1277" s="278" t="s">
        <v>10904</v>
      </c>
      <c r="C1277" s="278" t="s">
        <v>10512</v>
      </c>
      <c r="D1277" s="279" t="s">
        <v>10513</v>
      </c>
      <c r="E1277" s="306" t="s">
        <v>10969</v>
      </c>
      <c r="F1277" s="278" t="s">
        <v>4109</v>
      </c>
      <c r="G1277" s="278" t="s">
        <v>4108</v>
      </c>
      <c r="H1277" s="306" t="s">
        <v>11285</v>
      </c>
      <c r="I1277" s="269" t="s">
        <v>11286</v>
      </c>
      <c r="J1277" s="306" t="s">
        <v>10969</v>
      </c>
    </row>
    <row r="1278" spans="1:10" ht="14.5" customHeight="1" x14ac:dyDescent="0.25">
      <c r="A1278" s="278" t="s">
        <v>3705</v>
      </c>
      <c r="B1278" s="278" t="s">
        <v>10904</v>
      </c>
      <c r="C1278" s="278" t="s">
        <v>10514</v>
      </c>
      <c r="D1278" s="279" t="s">
        <v>10515</v>
      </c>
      <c r="E1278" s="306" t="s">
        <v>10969</v>
      </c>
      <c r="F1278" s="278" t="s">
        <v>4109</v>
      </c>
      <c r="G1278" s="278" t="s">
        <v>4109</v>
      </c>
      <c r="H1278" s="306" t="s">
        <v>11285</v>
      </c>
      <c r="I1278" s="269" t="s">
        <v>11286</v>
      </c>
      <c r="J1278" s="306" t="s">
        <v>10969</v>
      </c>
    </row>
    <row r="1279" spans="1:10" ht="14.5" customHeight="1" x14ac:dyDescent="0.25">
      <c r="A1279" s="278" t="s">
        <v>3705</v>
      </c>
      <c r="B1279" s="278" t="s">
        <v>10904</v>
      </c>
      <c r="C1279" s="278" t="s">
        <v>10516</v>
      </c>
      <c r="D1279" s="279" t="s">
        <v>10517</v>
      </c>
      <c r="E1279" s="306" t="s">
        <v>10969</v>
      </c>
      <c r="F1279" s="278" t="s">
        <v>4109</v>
      </c>
      <c r="G1279" s="278" t="s">
        <v>4108</v>
      </c>
      <c r="H1279" s="306" t="s">
        <v>11295</v>
      </c>
      <c r="I1279" s="269" t="s">
        <v>11296</v>
      </c>
      <c r="J1279" s="306" t="s">
        <v>10969</v>
      </c>
    </row>
    <row r="1280" spans="1:10" ht="14.5" customHeight="1" x14ac:dyDescent="0.25">
      <c r="A1280" s="278" t="s">
        <v>3705</v>
      </c>
      <c r="B1280" s="278" t="s">
        <v>10904</v>
      </c>
      <c r="C1280" s="278" t="s">
        <v>10516</v>
      </c>
      <c r="D1280" s="279" t="s">
        <v>10517</v>
      </c>
      <c r="E1280" s="306" t="s">
        <v>10969</v>
      </c>
      <c r="F1280" s="278" t="s">
        <v>4109</v>
      </c>
      <c r="G1280" s="278" t="s">
        <v>4108</v>
      </c>
      <c r="H1280" s="306" t="s">
        <v>11285</v>
      </c>
      <c r="I1280" s="269" t="s">
        <v>11286</v>
      </c>
      <c r="J1280" s="306" t="s">
        <v>10969</v>
      </c>
    </row>
    <row r="1281" spans="1:10" ht="14.5" customHeight="1" x14ac:dyDescent="0.25">
      <c r="A1281" s="278" t="s">
        <v>3705</v>
      </c>
      <c r="B1281" s="278" t="s">
        <v>10904</v>
      </c>
      <c r="C1281" s="278" t="s">
        <v>10516</v>
      </c>
      <c r="D1281" s="279" t="s">
        <v>10517</v>
      </c>
      <c r="E1281" s="306" t="s">
        <v>10969</v>
      </c>
      <c r="F1281" s="278" t="s">
        <v>4109</v>
      </c>
      <c r="G1281" s="278" t="s">
        <v>4108</v>
      </c>
      <c r="H1281" s="306" t="s">
        <v>11226</v>
      </c>
      <c r="I1281" s="269" t="s">
        <v>11227</v>
      </c>
      <c r="J1281" s="306" t="s">
        <v>10969</v>
      </c>
    </row>
    <row r="1282" spans="1:10" ht="14.5" customHeight="1" x14ac:dyDescent="0.25">
      <c r="A1282" s="278" t="s">
        <v>3705</v>
      </c>
      <c r="B1282" s="278" t="s">
        <v>10904</v>
      </c>
      <c r="C1282" s="278" t="s">
        <v>10518</v>
      </c>
      <c r="D1282" s="279" t="s">
        <v>10519</v>
      </c>
      <c r="E1282" s="306" t="s">
        <v>10969</v>
      </c>
      <c r="F1282" s="278" t="s">
        <v>4109</v>
      </c>
      <c r="G1282" s="278" t="s">
        <v>4108</v>
      </c>
      <c r="H1282" s="306" t="s">
        <v>11295</v>
      </c>
      <c r="I1282" s="269" t="s">
        <v>11296</v>
      </c>
      <c r="J1282" s="306" t="s">
        <v>10969</v>
      </c>
    </row>
    <row r="1283" spans="1:10" ht="14.5" customHeight="1" x14ac:dyDescent="0.25">
      <c r="A1283" s="278" t="s">
        <v>3705</v>
      </c>
      <c r="B1283" s="278" t="s">
        <v>10904</v>
      </c>
      <c r="C1283" s="278" t="s">
        <v>10518</v>
      </c>
      <c r="D1283" s="279" t="s">
        <v>10519</v>
      </c>
      <c r="E1283" s="306" t="s">
        <v>10969</v>
      </c>
      <c r="F1283" s="278" t="s">
        <v>4109</v>
      </c>
      <c r="G1283" s="278" t="s">
        <v>4108</v>
      </c>
      <c r="H1283" s="306" t="s">
        <v>11285</v>
      </c>
      <c r="I1283" s="269" t="s">
        <v>11286</v>
      </c>
      <c r="J1283" s="306" t="s">
        <v>10969</v>
      </c>
    </row>
    <row r="1284" spans="1:10" ht="14.5" customHeight="1" x14ac:dyDescent="0.25">
      <c r="A1284" s="278" t="s">
        <v>3705</v>
      </c>
      <c r="B1284" s="278" t="s">
        <v>10904</v>
      </c>
      <c r="C1284" s="278" t="s">
        <v>10518</v>
      </c>
      <c r="D1284" s="279" t="s">
        <v>10519</v>
      </c>
      <c r="E1284" s="306" t="s">
        <v>10969</v>
      </c>
      <c r="F1284" s="278" t="s">
        <v>4109</v>
      </c>
      <c r="G1284" s="278" t="s">
        <v>4108</v>
      </c>
      <c r="H1284" s="306" t="s">
        <v>11226</v>
      </c>
      <c r="I1284" s="269" t="s">
        <v>11227</v>
      </c>
      <c r="J1284" s="306" t="s">
        <v>10969</v>
      </c>
    </row>
    <row r="1285" spans="1:10" ht="14.5" customHeight="1" x14ac:dyDescent="0.25">
      <c r="A1285" s="278" t="s">
        <v>3705</v>
      </c>
      <c r="B1285" s="278" t="s">
        <v>10904</v>
      </c>
      <c r="C1285" s="278" t="s">
        <v>10520</v>
      </c>
      <c r="D1285" s="279" t="s">
        <v>10521</v>
      </c>
      <c r="E1285" s="306" t="s">
        <v>10969</v>
      </c>
      <c r="F1285" s="278" t="s">
        <v>4109</v>
      </c>
      <c r="G1285" s="278" t="s">
        <v>4108</v>
      </c>
      <c r="H1285" s="306" t="s">
        <v>11295</v>
      </c>
      <c r="I1285" s="269" t="s">
        <v>11296</v>
      </c>
      <c r="J1285" s="306" t="s">
        <v>10969</v>
      </c>
    </row>
    <row r="1286" spans="1:10" ht="14.5" customHeight="1" x14ac:dyDescent="0.25">
      <c r="A1286" s="278" t="s">
        <v>3705</v>
      </c>
      <c r="B1286" s="278" t="s">
        <v>10904</v>
      </c>
      <c r="C1286" s="278" t="s">
        <v>10520</v>
      </c>
      <c r="D1286" s="279" t="s">
        <v>10521</v>
      </c>
      <c r="E1286" s="306" t="s">
        <v>10969</v>
      </c>
      <c r="F1286" s="278" t="s">
        <v>4109</v>
      </c>
      <c r="G1286" s="278" t="s">
        <v>4108</v>
      </c>
      <c r="H1286" s="306" t="s">
        <v>11285</v>
      </c>
      <c r="I1286" s="269" t="s">
        <v>11286</v>
      </c>
      <c r="J1286" s="306" t="s">
        <v>10969</v>
      </c>
    </row>
    <row r="1287" spans="1:10" ht="14.5" customHeight="1" x14ac:dyDescent="0.25">
      <c r="A1287" s="278" t="s">
        <v>3705</v>
      </c>
      <c r="B1287" s="278" t="s">
        <v>10904</v>
      </c>
      <c r="C1287" s="278" t="s">
        <v>10523</v>
      </c>
      <c r="D1287" s="279" t="s">
        <v>10524</v>
      </c>
      <c r="E1287" s="306" t="s">
        <v>10969</v>
      </c>
      <c r="F1287" s="278" t="s">
        <v>4109</v>
      </c>
      <c r="G1287" s="278" t="s">
        <v>4108</v>
      </c>
      <c r="H1287" s="306" t="s">
        <v>11295</v>
      </c>
      <c r="I1287" s="269" t="s">
        <v>11296</v>
      </c>
      <c r="J1287" s="306" t="s">
        <v>10969</v>
      </c>
    </row>
    <row r="1288" spans="1:10" ht="14.5" customHeight="1" x14ac:dyDescent="0.25">
      <c r="A1288" s="278" t="s">
        <v>3705</v>
      </c>
      <c r="B1288" s="278" t="s">
        <v>10904</v>
      </c>
      <c r="C1288" s="278" t="s">
        <v>10523</v>
      </c>
      <c r="D1288" s="279" t="s">
        <v>10524</v>
      </c>
      <c r="E1288" s="306" t="s">
        <v>10969</v>
      </c>
      <c r="F1288" s="278" t="s">
        <v>4109</v>
      </c>
      <c r="G1288" s="278" t="s">
        <v>4108</v>
      </c>
      <c r="H1288" s="306" t="s">
        <v>11285</v>
      </c>
      <c r="I1288" s="269" t="s">
        <v>11286</v>
      </c>
      <c r="J1288" s="306" t="s">
        <v>10969</v>
      </c>
    </row>
    <row r="1289" spans="1:10" ht="14.5" customHeight="1" x14ac:dyDescent="0.25">
      <c r="A1289" s="278" t="s">
        <v>3705</v>
      </c>
      <c r="B1289" s="278" t="s">
        <v>10904</v>
      </c>
      <c r="C1289" s="278" t="s">
        <v>10526</v>
      </c>
      <c r="D1289" s="279" t="s">
        <v>10527</v>
      </c>
      <c r="E1289" s="306" t="s">
        <v>10969</v>
      </c>
      <c r="F1289" s="278" t="s">
        <v>4109</v>
      </c>
      <c r="G1289" s="278" t="s">
        <v>4109</v>
      </c>
      <c r="H1289" s="306" t="s">
        <v>11295</v>
      </c>
      <c r="I1289" s="269" t="s">
        <v>11296</v>
      </c>
      <c r="J1289" s="306" t="s">
        <v>10969</v>
      </c>
    </row>
    <row r="1290" spans="1:10" ht="14.5" customHeight="1" x14ac:dyDescent="0.25">
      <c r="A1290" s="278" t="s">
        <v>3705</v>
      </c>
      <c r="B1290" s="278" t="s">
        <v>10904</v>
      </c>
      <c r="C1290" s="278" t="s">
        <v>10526</v>
      </c>
      <c r="D1290" s="279" t="s">
        <v>10527</v>
      </c>
      <c r="E1290" s="306" t="s">
        <v>10969</v>
      </c>
      <c r="F1290" s="278" t="s">
        <v>4109</v>
      </c>
      <c r="G1290" s="278" t="s">
        <v>4109</v>
      </c>
      <c r="H1290" s="306" t="s">
        <v>11285</v>
      </c>
      <c r="I1290" s="269" t="s">
        <v>11286</v>
      </c>
      <c r="J1290" s="306" t="s">
        <v>10969</v>
      </c>
    </row>
    <row r="1291" spans="1:10" ht="14.5" customHeight="1" x14ac:dyDescent="0.25">
      <c r="A1291" s="278" t="s">
        <v>3705</v>
      </c>
      <c r="B1291" s="278" t="s">
        <v>10904</v>
      </c>
      <c r="C1291" s="278" t="s">
        <v>10529</v>
      </c>
      <c r="D1291" s="279" t="s">
        <v>10530</v>
      </c>
      <c r="E1291" s="306" t="s">
        <v>10969</v>
      </c>
      <c r="F1291" s="278" t="s">
        <v>4109</v>
      </c>
      <c r="G1291" s="278" t="s">
        <v>4108</v>
      </c>
      <c r="H1291" s="306" t="s">
        <v>11219</v>
      </c>
      <c r="I1291" s="269" t="s">
        <v>11220</v>
      </c>
      <c r="J1291" s="306" t="s">
        <v>10969</v>
      </c>
    </row>
    <row r="1292" spans="1:10" ht="14.5" customHeight="1" x14ac:dyDescent="0.25">
      <c r="A1292" s="278" t="s">
        <v>3705</v>
      </c>
      <c r="B1292" s="278" t="s">
        <v>10904</v>
      </c>
      <c r="C1292" s="278" t="s">
        <v>10529</v>
      </c>
      <c r="D1292" s="279" t="s">
        <v>10530</v>
      </c>
      <c r="E1292" s="306" t="s">
        <v>10969</v>
      </c>
      <c r="F1292" s="278" t="s">
        <v>4109</v>
      </c>
      <c r="G1292" s="278" t="s">
        <v>4108</v>
      </c>
      <c r="H1292" s="306" t="s">
        <v>11295</v>
      </c>
      <c r="I1292" s="269" t="s">
        <v>11296</v>
      </c>
      <c r="J1292" s="306" t="s">
        <v>10969</v>
      </c>
    </row>
    <row r="1293" spans="1:10" ht="14.5" customHeight="1" x14ac:dyDescent="0.25">
      <c r="A1293" s="278" t="s">
        <v>3705</v>
      </c>
      <c r="B1293" s="278" t="s">
        <v>10904</v>
      </c>
      <c r="C1293" s="278" t="s">
        <v>10529</v>
      </c>
      <c r="D1293" s="279" t="s">
        <v>10530</v>
      </c>
      <c r="E1293" s="306" t="s">
        <v>10969</v>
      </c>
      <c r="F1293" s="278" t="s">
        <v>4109</v>
      </c>
      <c r="G1293" s="278" t="s">
        <v>4108</v>
      </c>
      <c r="H1293" s="306" t="s">
        <v>11285</v>
      </c>
      <c r="I1293" s="269" t="s">
        <v>11286</v>
      </c>
      <c r="J1293" s="306" t="s">
        <v>10969</v>
      </c>
    </row>
    <row r="1294" spans="1:10" ht="14.5" customHeight="1" x14ac:dyDescent="0.25">
      <c r="A1294" s="278" t="s">
        <v>3705</v>
      </c>
      <c r="B1294" s="278" t="s">
        <v>10904</v>
      </c>
      <c r="C1294" s="278" t="s">
        <v>10529</v>
      </c>
      <c r="D1294" s="279" t="s">
        <v>10530</v>
      </c>
      <c r="E1294" s="306" t="s">
        <v>10969</v>
      </c>
      <c r="F1294" s="278" t="s">
        <v>4109</v>
      </c>
      <c r="G1294" s="278" t="s">
        <v>4108</v>
      </c>
      <c r="H1294" s="306" t="s">
        <v>11221</v>
      </c>
      <c r="I1294" s="269" t="s">
        <v>11222</v>
      </c>
      <c r="J1294" s="306" t="s">
        <v>10969</v>
      </c>
    </row>
    <row r="1295" spans="1:10" ht="14.5" customHeight="1" x14ac:dyDescent="0.25">
      <c r="A1295" s="278" t="s">
        <v>3705</v>
      </c>
      <c r="B1295" s="278" t="s">
        <v>10904</v>
      </c>
      <c r="C1295" s="278" t="s">
        <v>10529</v>
      </c>
      <c r="D1295" s="279" t="s">
        <v>10530</v>
      </c>
      <c r="E1295" s="306" t="s">
        <v>10969</v>
      </c>
      <c r="F1295" s="278" t="s">
        <v>4109</v>
      </c>
      <c r="G1295" s="278" t="s">
        <v>4108</v>
      </c>
      <c r="H1295" s="306" t="s">
        <v>11226</v>
      </c>
      <c r="I1295" s="269" t="s">
        <v>11227</v>
      </c>
      <c r="J1295" s="306" t="s">
        <v>10969</v>
      </c>
    </row>
    <row r="1296" spans="1:10" ht="14.5" customHeight="1" x14ac:dyDescent="0.25">
      <c r="A1296" s="278" t="s">
        <v>3705</v>
      </c>
      <c r="B1296" s="278" t="s">
        <v>10904</v>
      </c>
      <c r="C1296" s="278" t="s">
        <v>10531</v>
      </c>
      <c r="D1296" s="279" t="s">
        <v>10532</v>
      </c>
      <c r="E1296" s="306" t="s">
        <v>10969</v>
      </c>
      <c r="F1296" s="278" t="s">
        <v>4109</v>
      </c>
      <c r="G1296" s="278" t="s">
        <v>4108</v>
      </c>
      <c r="H1296" s="306" t="s">
        <v>11219</v>
      </c>
      <c r="I1296" s="269" t="s">
        <v>11220</v>
      </c>
      <c r="J1296" s="306" t="s">
        <v>10969</v>
      </c>
    </row>
    <row r="1297" spans="1:10" ht="14.5" customHeight="1" x14ac:dyDescent="0.25">
      <c r="A1297" s="278" t="s">
        <v>3705</v>
      </c>
      <c r="B1297" s="278" t="s">
        <v>10904</v>
      </c>
      <c r="C1297" s="278" t="s">
        <v>10531</v>
      </c>
      <c r="D1297" s="279" t="s">
        <v>10532</v>
      </c>
      <c r="E1297" s="306" t="s">
        <v>10969</v>
      </c>
      <c r="F1297" s="278" t="s">
        <v>4109</v>
      </c>
      <c r="G1297" s="278" t="s">
        <v>4108</v>
      </c>
      <c r="H1297" s="306" t="s">
        <v>11285</v>
      </c>
      <c r="I1297" s="269" t="s">
        <v>11286</v>
      </c>
      <c r="J1297" s="306" t="s">
        <v>10969</v>
      </c>
    </row>
    <row r="1298" spans="1:10" ht="14.5" customHeight="1" x14ac:dyDescent="0.25">
      <c r="A1298" s="278" t="s">
        <v>3705</v>
      </c>
      <c r="B1298" s="278" t="s">
        <v>10904</v>
      </c>
      <c r="C1298" s="278" t="s">
        <v>10531</v>
      </c>
      <c r="D1298" s="279" t="s">
        <v>10532</v>
      </c>
      <c r="E1298" s="306" t="s">
        <v>10969</v>
      </c>
      <c r="F1298" s="278" t="s">
        <v>4109</v>
      </c>
      <c r="G1298" s="278" t="s">
        <v>4108</v>
      </c>
      <c r="H1298" s="306" t="s">
        <v>11221</v>
      </c>
      <c r="I1298" s="269" t="s">
        <v>11222</v>
      </c>
      <c r="J1298" s="306" t="s">
        <v>10969</v>
      </c>
    </row>
    <row r="1299" spans="1:10" ht="14.5" customHeight="1" x14ac:dyDescent="0.25">
      <c r="A1299" s="278" t="s">
        <v>3705</v>
      </c>
      <c r="B1299" s="278" t="s">
        <v>10904</v>
      </c>
      <c r="C1299" s="278" t="s">
        <v>10533</v>
      </c>
      <c r="D1299" s="279" t="s">
        <v>10534</v>
      </c>
      <c r="E1299" s="306" t="s">
        <v>10969</v>
      </c>
      <c r="F1299" s="278" t="s">
        <v>4109</v>
      </c>
      <c r="G1299" s="278" t="s">
        <v>4108</v>
      </c>
      <c r="H1299" s="306" t="s">
        <v>11297</v>
      </c>
      <c r="I1299" s="269" t="s">
        <v>11298</v>
      </c>
      <c r="J1299" s="306" t="s">
        <v>10969</v>
      </c>
    </row>
    <row r="1300" spans="1:10" ht="14.5" customHeight="1" x14ac:dyDescent="0.25">
      <c r="A1300" s="278" t="s">
        <v>3705</v>
      </c>
      <c r="B1300" s="278" t="s">
        <v>10904</v>
      </c>
      <c r="C1300" s="278" t="s">
        <v>10533</v>
      </c>
      <c r="D1300" s="279" t="s">
        <v>10534</v>
      </c>
      <c r="E1300" s="306" t="s">
        <v>10969</v>
      </c>
      <c r="F1300" s="278" t="s">
        <v>4109</v>
      </c>
      <c r="G1300" s="278" t="s">
        <v>4108</v>
      </c>
      <c r="H1300" s="306" t="s">
        <v>11299</v>
      </c>
      <c r="I1300" s="269" t="s">
        <v>11300</v>
      </c>
      <c r="J1300" s="306" t="s">
        <v>10969</v>
      </c>
    </row>
    <row r="1301" spans="1:10" ht="14.5" customHeight="1" x14ac:dyDescent="0.25">
      <c r="A1301" s="278" t="s">
        <v>3705</v>
      </c>
      <c r="B1301" s="278" t="s">
        <v>10904</v>
      </c>
      <c r="C1301" s="278" t="s">
        <v>10533</v>
      </c>
      <c r="D1301" s="279" t="s">
        <v>10534</v>
      </c>
      <c r="E1301" s="306" t="s">
        <v>10969</v>
      </c>
      <c r="F1301" s="278" t="s">
        <v>4109</v>
      </c>
      <c r="G1301" s="278" t="s">
        <v>4108</v>
      </c>
      <c r="H1301" s="306" t="s">
        <v>11301</v>
      </c>
      <c r="I1301" s="269" t="s">
        <v>11302</v>
      </c>
      <c r="J1301" s="306" t="s">
        <v>10969</v>
      </c>
    </row>
    <row r="1302" spans="1:10" ht="14.5" customHeight="1" x14ac:dyDescent="0.25">
      <c r="A1302" s="278" t="s">
        <v>3705</v>
      </c>
      <c r="B1302" s="278" t="s">
        <v>10904</v>
      </c>
      <c r="C1302" s="278" t="s">
        <v>10533</v>
      </c>
      <c r="D1302" s="279" t="s">
        <v>10534</v>
      </c>
      <c r="E1302" s="306" t="s">
        <v>10969</v>
      </c>
      <c r="F1302" s="278" t="s">
        <v>4109</v>
      </c>
      <c r="G1302" s="278" t="s">
        <v>4108</v>
      </c>
      <c r="H1302" s="306" t="s">
        <v>11303</v>
      </c>
      <c r="I1302" s="269" t="s">
        <v>11304</v>
      </c>
      <c r="J1302" s="306" t="s">
        <v>10969</v>
      </c>
    </row>
    <row r="1303" spans="1:10" ht="14.5" customHeight="1" x14ac:dyDescent="0.25">
      <c r="A1303" s="278" t="s">
        <v>3705</v>
      </c>
      <c r="B1303" s="278" t="s">
        <v>10904</v>
      </c>
      <c r="C1303" s="278" t="s">
        <v>10533</v>
      </c>
      <c r="D1303" s="279" t="s">
        <v>10534</v>
      </c>
      <c r="E1303" s="306" t="s">
        <v>10969</v>
      </c>
      <c r="F1303" s="278" t="s">
        <v>4109</v>
      </c>
      <c r="G1303" s="278" t="s">
        <v>4108</v>
      </c>
      <c r="H1303" s="306" t="s">
        <v>11305</v>
      </c>
      <c r="I1303" s="269" t="s">
        <v>11306</v>
      </c>
      <c r="J1303" s="306" t="s">
        <v>10969</v>
      </c>
    </row>
    <row r="1304" spans="1:10" ht="14.5" customHeight="1" x14ac:dyDescent="0.25">
      <c r="A1304" s="278" t="s">
        <v>3705</v>
      </c>
      <c r="B1304" s="278" t="s">
        <v>10904</v>
      </c>
      <c r="C1304" s="278" t="s">
        <v>10533</v>
      </c>
      <c r="D1304" s="279" t="s">
        <v>10534</v>
      </c>
      <c r="E1304" s="306" t="s">
        <v>10969</v>
      </c>
      <c r="F1304" s="278" t="s">
        <v>4109</v>
      </c>
      <c r="G1304" s="278" t="s">
        <v>4108</v>
      </c>
      <c r="H1304" s="306" t="s">
        <v>11307</v>
      </c>
      <c r="I1304" s="269" t="s">
        <v>11308</v>
      </c>
      <c r="J1304" s="306" t="s">
        <v>10969</v>
      </c>
    </row>
    <row r="1305" spans="1:10" ht="14.5" customHeight="1" x14ac:dyDescent="0.25">
      <c r="A1305" s="278" t="s">
        <v>3705</v>
      </c>
      <c r="B1305" s="278" t="s">
        <v>10904</v>
      </c>
      <c r="C1305" s="278" t="s">
        <v>10533</v>
      </c>
      <c r="D1305" s="279" t="s">
        <v>10534</v>
      </c>
      <c r="E1305" s="306" t="s">
        <v>10969</v>
      </c>
      <c r="F1305" s="278" t="s">
        <v>4109</v>
      </c>
      <c r="G1305" s="278" t="s">
        <v>4108</v>
      </c>
      <c r="H1305" s="306" t="s">
        <v>11309</v>
      </c>
      <c r="I1305" s="269" t="s">
        <v>11310</v>
      </c>
      <c r="J1305" s="306" t="s">
        <v>10969</v>
      </c>
    </row>
    <row r="1306" spans="1:10" ht="14.5" customHeight="1" x14ac:dyDescent="0.25">
      <c r="A1306" s="278" t="s">
        <v>3705</v>
      </c>
      <c r="B1306" s="278" t="s">
        <v>10904</v>
      </c>
      <c r="C1306" s="278" t="s">
        <v>10533</v>
      </c>
      <c r="D1306" s="279" t="s">
        <v>10534</v>
      </c>
      <c r="E1306" s="306" t="s">
        <v>10969</v>
      </c>
      <c r="F1306" s="278" t="s">
        <v>4109</v>
      </c>
      <c r="G1306" s="278" t="s">
        <v>4108</v>
      </c>
      <c r="H1306" s="306" t="s">
        <v>11311</v>
      </c>
      <c r="I1306" s="269" t="s">
        <v>11312</v>
      </c>
      <c r="J1306" s="306" t="s">
        <v>10969</v>
      </c>
    </row>
    <row r="1307" spans="1:10" ht="14.5" customHeight="1" x14ac:dyDescent="0.25">
      <c r="A1307" s="278" t="s">
        <v>3705</v>
      </c>
      <c r="B1307" s="278" t="s">
        <v>10904</v>
      </c>
      <c r="C1307" s="278" t="s">
        <v>10533</v>
      </c>
      <c r="D1307" s="279" t="s">
        <v>10534</v>
      </c>
      <c r="E1307" s="306" t="s">
        <v>10969</v>
      </c>
      <c r="F1307" s="278" t="s">
        <v>4109</v>
      </c>
      <c r="G1307" s="278" t="s">
        <v>4108</v>
      </c>
      <c r="H1307" s="306" t="s">
        <v>11313</v>
      </c>
      <c r="I1307" s="269" t="s">
        <v>11314</v>
      </c>
      <c r="J1307" s="306" t="s">
        <v>10969</v>
      </c>
    </row>
    <row r="1308" spans="1:10" ht="14.5" customHeight="1" x14ac:dyDescent="0.25">
      <c r="A1308" s="278" t="s">
        <v>3705</v>
      </c>
      <c r="B1308" s="278" t="s">
        <v>10904</v>
      </c>
      <c r="C1308" s="278" t="s">
        <v>10533</v>
      </c>
      <c r="D1308" s="279" t="s">
        <v>10534</v>
      </c>
      <c r="E1308" s="306" t="s">
        <v>10969</v>
      </c>
      <c r="F1308" s="278" t="s">
        <v>4109</v>
      </c>
      <c r="G1308" s="278" t="s">
        <v>4108</v>
      </c>
      <c r="H1308" s="306" t="s">
        <v>11315</v>
      </c>
      <c r="I1308" s="269" t="s">
        <v>11316</v>
      </c>
      <c r="J1308" s="306" t="s">
        <v>10969</v>
      </c>
    </row>
    <row r="1309" spans="1:10" ht="14.5" customHeight="1" x14ac:dyDescent="0.25">
      <c r="A1309" s="278" t="s">
        <v>3705</v>
      </c>
      <c r="B1309" s="278" t="s">
        <v>10904</v>
      </c>
      <c r="C1309" s="278" t="s">
        <v>10533</v>
      </c>
      <c r="D1309" s="279" t="s">
        <v>10534</v>
      </c>
      <c r="E1309" s="306" t="s">
        <v>10969</v>
      </c>
      <c r="F1309" s="278" t="s">
        <v>4109</v>
      </c>
      <c r="G1309" s="278" t="s">
        <v>4108</v>
      </c>
      <c r="H1309" s="306" t="s">
        <v>11317</v>
      </c>
      <c r="I1309" s="269" t="s">
        <v>11318</v>
      </c>
      <c r="J1309" s="306" t="s">
        <v>10969</v>
      </c>
    </row>
    <row r="1310" spans="1:10" ht="14.5" customHeight="1" x14ac:dyDescent="0.25">
      <c r="A1310" s="278" t="s">
        <v>3705</v>
      </c>
      <c r="B1310" s="278" t="s">
        <v>10904</v>
      </c>
      <c r="C1310" s="278" t="s">
        <v>10533</v>
      </c>
      <c r="D1310" s="279" t="s">
        <v>10534</v>
      </c>
      <c r="E1310" s="306" t="s">
        <v>10969</v>
      </c>
      <c r="F1310" s="278" t="s">
        <v>4109</v>
      </c>
      <c r="G1310" s="278" t="s">
        <v>4108</v>
      </c>
      <c r="H1310" s="306" t="s">
        <v>11319</v>
      </c>
      <c r="I1310" s="269" t="s">
        <v>11320</v>
      </c>
      <c r="J1310" s="306" t="s">
        <v>10969</v>
      </c>
    </row>
    <row r="1311" spans="1:10" ht="14.5" customHeight="1" x14ac:dyDescent="0.25">
      <c r="A1311" s="278" t="s">
        <v>3705</v>
      </c>
      <c r="B1311" s="278" t="s">
        <v>10904</v>
      </c>
      <c r="C1311" s="278" t="s">
        <v>10533</v>
      </c>
      <c r="D1311" s="279" t="s">
        <v>10534</v>
      </c>
      <c r="E1311" s="306" t="s">
        <v>10969</v>
      </c>
      <c r="F1311" s="278" t="s">
        <v>4109</v>
      </c>
      <c r="G1311" s="278" t="s">
        <v>4108</v>
      </c>
      <c r="H1311" s="306" t="s">
        <v>11321</v>
      </c>
      <c r="I1311" s="269" t="s">
        <v>11322</v>
      </c>
      <c r="J1311" s="306" t="s">
        <v>10969</v>
      </c>
    </row>
    <row r="1312" spans="1:10" ht="14.5" customHeight="1" x14ac:dyDescent="0.25">
      <c r="A1312" s="278" t="s">
        <v>3705</v>
      </c>
      <c r="B1312" s="278" t="s">
        <v>10904</v>
      </c>
      <c r="C1312" s="278" t="s">
        <v>10535</v>
      </c>
      <c r="D1312" s="279" t="s">
        <v>10536</v>
      </c>
      <c r="E1312" s="306" t="s">
        <v>10969</v>
      </c>
      <c r="F1312" s="278" t="s">
        <v>4109</v>
      </c>
      <c r="G1312" s="278" t="s">
        <v>4108</v>
      </c>
      <c r="H1312" s="306" t="s">
        <v>11311</v>
      </c>
      <c r="I1312" s="269" t="s">
        <v>11312</v>
      </c>
      <c r="J1312" s="306" t="s">
        <v>10969</v>
      </c>
    </row>
    <row r="1313" spans="1:10" ht="14.5" customHeight="1" x14ac:dyDescent="0.25">
      <c r="A1313" s="278" t="s">
        <v>3705</v>
      </c>
      <c r="B1313" s="278" t="s">
        <v>10904</v>
      </c>
      <c r="C1313" s="278" t="s">
        <v>10535</v>
      </c>
      <c r="D1313" s="279" t="s">
        <v>10536</v>
      </c>
      <c r="E1313" s="306" t="s">
        <v>10969</v>
      </c>
      <c r="F1313" s="278" t="s">
        <v>4109</v>
      </c>
      <c r="G1313" s="278" t="s">
        <v>4108</v>
      </c>
      <c r="H1313" s="306" t="s">
        <v>11315</v>
      </c>
      <c r="I1313" s="269" t="s">
        <v>11316</v>
      </c>
      <c r="J1313" s="306" t="s">
        <v>10969</v>
      </c>
    </row>
    <row r="1314" spans="1:10" ht="14.5" customHeight="1" x14ac:dyDescent="0.25">
      <c r="A1314" s="278" t="s">
        <v>3705</v>
      </c>
      <c r="B1314" s="278" t="s">
        <v>10904</v>
      </c>
      <c r="C1314" s="278" t="s">
        <v>10535</v>
      </c>
      <c r="D1314" s="279" t="s">
        <v>10536</v>
      </c>
      <c r="E1314" s="306" t="s">
        <v>10969</v>
      </c>
      <c r="F1314" s="278" t="s">
        <v>4109</v>
      </c>
      <c r="G1314" s="278" t="s">
        <v>4108</v>
      </c>
      <c r="H1314" s="306" t="s">
        <v>11317</v>
      </c>
      <c r="I1314" s="269" t="s">
        <v>11318</v>
      </c>
      <c r="J1314" s="306" t="s">
        <v>10969</v>
      </c>
    </row>
    <row r="1315" spans="1:10" ht="14.5" customHeight="1" x14ac:dyDescent="0.25">
      <c r="A1315" s="278" t="s">
        <v>3705</v>
      </c>
      <c r="B1315" s="278" t="s">
        <v>10904</v>
      </c>
      <c r="C1315" s="278" t="s">
        <v>10535</v>
      </c>
      <c r="D1315" s="279" t="s">
        <v>10536</v>
      </c>
      <c r="E1315" s="306" t="s">
        <v>10969</v>
      </c>
      <c r="F1315" s="278" t="s">
        <v>4109</v>
      </c>
      <c r="G1315" s="278" t="s">
        <v>4108</v>
      </c>
      <c r="H1315" s="306" t="s">
        <v>11319</v>
      </c>
      <c r="I1315" s="269" t="s">
        <v>11320</v>
      </c>
      <c r="J1315" s="306" t="s">
        <v>10969</v>
      </c>
    </row>
    <row r="1316" spans="1:10" ht="14.5" customHeight="1" x14ac:dyDescent="0.25">
      <c r="A1316" s="278" t="s">
        <v>3705</v>
      </c>
      <c r="B1316" s="278" t="s">
        <v>10904</v>
      </c>
      <c r="C1316" s="278" t="s">
        <v>10535</v>
      </c>
      <c r="D1316" s="279" t="s">
        <v>10536</v>
      </c>
      <c r="E1316" s="306" t="s">
        <v>10969</v>
      </c>
      <c r="F1316" s="278" t="s">
        <v>4109</v>
      </c>
      <c r="G1316" s="278" t="s">
        <v>4108</v>
      </c>
      <c r="H1316" s="306" t="s">
        <v>11321</v>
      </c>
      <c r="I1316" s="269" t="s">
        <v>11322</v>
      </c>
      <c r="J1316" s="306" t="s">
        <v>10969</v>
      </c>
    </row>
    <row r="1317" spans="1:10" ht="14.5" customHeight="1" x14ac:dyDescent="0.25">
      <c r="A1317" s="278" t="s">
        <v>3705</v>
      </c>
      <c r="B1317" s="278" t="s">
        <v>10904</v>
      </c>
      <c r="C1317" s="278" t="s">
        <v>10537</v>
      </c>
      <c r="D1317" s="279" t="s">
        <v>10538</v>
      </c>
      <c r="E1317" s="306" t="s">
        <v>10969</v>
      </c>
      <c r="F1317" s="278" t="s">
        <v>4109</v>
      </c>
      <c r="G1317" s="278" t="s">
        <v>4108</v>
      </c>
      <c r="H1317" s="306" t="s">
        <v>11297</v>
      </c>
      <c r="I1317" s="269" t="s">
        <v>11298</v>
      </c>
      <c r="J1317" s="306" t="s">
        <v>10969</v>
      </c>
    </row>
    <row r="1318" spans="1:10" ht="14.5" customHeight="1" x14ac:dyDescent="0.25">
      <c r="A1318" s="278" t="s">
        <v>3705</v>
      </c>
      <c r="B1318" s="278" t="s">
        <v>10904</v>
      </c>
      <c r="C1318" s="278" t="s">
        <v>10537</v>
      </c>
      <c r="D1318" s="279" t="s">
        <v>10538</v>
      </c>
      <c r="E1318" s="306" t="s">
        <v>10969</v>
      </c>
      <c r="F1318" s="278" t="s">
        <v>4109</v>
      </c>
      <c r="G1318" s="278" t="s">
        <v>4108</v>
      </c>
      <c r="H1318" s="306" t="s">
        <v>11299</v>
      </c>
      <c r="I1318" s="269" t="s">
        <v>11300</v>
      </c>
      <c r="J1318" s="306" t="s">
        <v>10969</v>
      </c>
    </row>
    <row r="1319" spans="1:10" ht="14.5" customHeight="1" x14ac:dyDescent="0.25">
      <c r="A1319" s="278" t="s">
        <v>3705</v>
      </c>
      <c r="B1319" s="278" t="s">
        <v>10904</v>
      </c>
      <c r="C1319" s="278" t="s">
        <v>10537</v>
      </c>
      <c r="D1319" s="279" t="s">
        <v>10538</v>
      </c>
      <c r="E1319" s="306" t="s">
        <v>10969</v>
      </c>
      <c r="F1319" s="278" t="s">
        <v>4109</v>
      </c>
      <c r="G1319" s="278" t="s">
        <v>4108</v>
      </c>
      <c r="H1319" s="306" t="s">
        <v>11301</v>
      </c>
      <c r="I1319" s="269" t="s">
        <v>11302</v>
      </c>
      <c r="J1319" s="306" t="s">
        <v>10969</v>
      </c>
    </row>
    <row r="1320" spans="1:10" ht="14.5" customHeight="1" x14ac:dyDescent="0.25">
      <c r="A1320" s="278" t="s">
        <v>3705</v>
      </c>
      <c r="B1320" s="278" t="s">
        <v>10904</v>
      </c>
      <c r="C1320" s="278" t="s">
        <v>10537</v>
      </c>
      <c r="D1320" s="279" t="s">
        <v>10538</v>
      </c>
      <c r="E1320" s="306" t="s">
        <v>10969</v>
      </c>
      <c r="F1320" s="278" t="s">
        <v>4109</v>
      </c>
      <c r="G1320" s="278" t="s">
        <v>4108</v>
      </c>
      <c r="H1320" s="306" t="s">
        <v>11303</v>
      </c>
      <c r="I1320" s="269" t="s">
        <v>11304</v>
      </c>
      <c r="J1320" s="306" t="s">
        <v>10969</v>
      </c>
    </row>
    <row r="1321" spans="1:10" ht="14.5" customHeight="1" x14ac:dyDescent="0.25">
      <c r="A1321" s="278" t="s">
        <v>3705</v>
      </c>
      <c r="B1321" s="278" t="s">
        <v>10904</v>
      </c>
      <c r="C1321" s="278" t="s">
        <v>10537</v>
      </c>
      <c r="D1321" s="279" t="s">
        <v>10538</v>
      </c>
      <c r="E1321" s="306" t="s">
        <v>10969</v>
      </c>
      <c r="F1321" s="278" t="s">
        <v>4109</v>
      </c>
      <c r="G1321" s="278" t="s">
        <v>4108</v>
      </c>
      <c r="H1321" s="306" t="s">
        <v>11323</v>
      </c>
      <c r="I1321" s="269" t="s">
        <v>11324</v>
      </c>
      <c r="J1321" s="306" t="s">
        <v>10969</v>
      </c>
    </row>
    <row r="1322" spans="1:10" ht="14.5" customHeight="1" x14ac:dyDescent="0.25">
      <c r="A1322" s="278" t="s">
        <v>3705</v>
      </c>
      <c r="B1322" s="278" t="s">
        <v>10904</v>
      </c>
      <c r="C1322" s="278" t="s">
        <v>10537</v>
      </c>
      <c r="D1322" s="279" t="s">
        <v>10538</v>
      </c>
      <c r="E1322" s="306" t="s">
        <v>10969</v>
      </c>
      <c r="F1322" s="278" t="s">
        <v>4109</v>
      </c>
      <c r="G1322" s="278" t="s">
        <v>4108</v>
      </c>
      <c r="H1322" s="306" t="s">
        <v>11325</v>
      </c>
      <c r="I1322" s="269" t="s">
        <v>11326</v>
      </c>
      <c r="J1322" s="306" t="s">
        <v>10969</v>
      </c>
    </row>
    <row r="1323" spans="1:10" ht="14.5" customHeight="1" x14ac:dyDescent="0.25">
      <c r="A1323" s="278" t="s">
        <v>3705</v>
      </c>
      <c r="B1323" s="278" t="s">
        <v>10904</v>
      </c>
      <c r="C1323" s="278" t="s">
        <v>10537</v>
      </c>
      <c r="D1323" s="279" t="s">
        <v>10538</v>
      </c>
      <c r="E1323" s="306" t="s">
        <v>10969</v>
      </c>
      <c r="F1323" s="278" t="s">
        <v>4109</v>
      </c>
      <c r="G1323" s="278" t="s">
        <v>4108</v>
      </c>
      <c r="H1323" s="306" t="s">
        <v>11307</v>
      </c>
      <c r="I1323" s="269" t="s">
        <v>11308</v>
      </c>
      <c r="J1323" s="306" t="s">
        <v>10969</v>
      </c>
    </row>
    <row r="1324" spans="1:10" ht="14.5" customHeight="1" x14ac:dyDescent="0.25">
      <c r="A1324" s="278" t="s">
        <v>3705</v>
      </c>
      <c r="B1324" s="278" t="s">
        <v>10904</v>
      </c>
      <c r="C1324" s="278" t="s">
        <v>10537</v>
      </c>
      <c r="D1324" s="279" t="s">
        <v>10538</v>
      </c>
      <c r="E1324" s="306" t="s">
        <v>10969</v>
      </c>
      <c r="F1324" s="278" t="s">
        <v>4109</v>
      </c>
      <c r="G1324" s="278" t="s">
        <v>4108</v>
      </c>
      <c r="H1324" s="306" t="s">
        <v>11327</v>
      </c>
      <c r="I1324" s="269" t="s">
        <v>11328</v>
      </c>
      <c r="J1324" s="306" t="s">
        <v>10969</v>
      </c>
    </row>
    <row r="1325" spans="1:10" ht="14.5" customHeight="1" x14ac:dyDescent="0.25">
      <c r="A1325" s="278" t="s">
        <v>3705</v>
      </c>
      <c r="B1325" s="278" t="s">
        <v>10904</v>
      </c>
      <c r="C1325" s="278" t="s">
        <v>10537</v>
      </c>
      <c r="D1325" s="279" t="s">
        <v>10538</v>
      </c>
      <c r="E1325" s="306" t="s">
        <v>10969</v>
      </c>
      <c r="F1325" s="278" t="s">
        <v>4109</v>
      </c>
      <c r="G1325" s="278" t="s">
        <v>4108</v>
      </c>
      <c r="H1325" s="306" t="s">
        <v>11329</v>
      </c>
      <c r="I1325" s="269" t="s">
        <v>11330</v>
      </c>
      <c r="J1325" s="306" t="s">
        <v>10969</v>
      </c>
    </row>
    <row r="1326" spans="1:10" ht="14.5" customHeight="1" x14ac:dyDescent="0.25">
      <c r="A1326" s="278" t="s">
        <v>3705</v>
      </c>
      <c r="B1326" s="278" t="s">
        <v>10904</v>
      </c>
      <c r="C1326" s="278" t="s">
        <v>10537</v>
      </c>
      <c r="D1326" s="279" t="s">
        <v>10538</v>
      </c>
      <c r="E1326" s="306" t="s">
        <v>10969</v>
      </c>
      <c r="F1326" s="278" t="s">
        <v>4109</v>
      </c>
      <c r="G1326" s="278" t="s">
        <v>4108</v>
      </c>
      <c r="H1326" s="306" t="s">
        <v>11309</v>
      </c>
      <c r="I1326" s="269" t="s">
        <v>11310</v>
      </c>
      <c r="J1326" s="306" t="s">
        <v>10969</v>
      </c>
    </row>
    <row r="1327" spans="1:10" ht="14.5" customHeight="1" x14ac:dyDescent="0.25">
      <c r="A1327" s="278" t="s">
        <v>3705</v>
      </c>
      <c r="B1327" s="278" t="s">
        <v>10904</v>
      </c>
      <c r="C1327" s="278" t="s">
        <v>10537</v>
      </c>
      <c r="D1327" s="279" t="s">
        <v>10538</v>
      </c>
      <c r="E1327" s="306" t="s">
        <v>10969</v>
      </c>
      <c r="F1327" s="278" t="s">
        <v>4109</v>
      </c>
      <c r="G1327" s="278" t="s">
        <v>4108</v>
      </c>
      <c r="H1327" s="306" t="s">
        <v>11311</v>
      </c>
      <c r="I1327" s="269" t="s">
        <v>11312</v>
      </c>
      <c r="J1327" s="306" t="s">
        <v>10969</v>
      </c>
    </row>
    <row r="1328" spans="1:10" ht="14.5" customHeight="1" x14ac:dyDescent="0.25">
      <c r="A1328" s="278" t="s">
        <v>3705</v>
      </c>
      <c r="B1328" s="278" t="s">
        <v>10904</v>
      </c>
      <c r="C1328" s="278" t="s">
        <v>10537</v>
      </c>
      <c r="D1328" s="279" t="s">
        <v>10538</v>
      </c>
      <c r="E1328" s="306" t="s">
        <v>10969</v>
      </c>
      <c r="F1328" s="278" t="s">
        <v>4109</v>
      </c>
      <c r="G1328" s="278" t="s">
        <v>4108</v>
      </c>
      <c r="H1328" s="306" t="s">
        <v>11313</v>
      </c>
      <c r="I1328" s="269" t="s">
        <v>11314</v>
      </c>
      <c r="J1328" s="306" t="s">
        <v>10969</v>
      </c>
    </row>
    <row r="1329" spans="1:10" ht="14.5" customHeight="1" x14ac:dyDescent="0.25">
      <c r="A1329" s="278" t="s">
        <v>3705</v>
      </c>
      <c r="B1329" s="278" t="s">
        <v>10904</v>
      </c>
      <c r="C1329" s="278" t="s">
        <v>10537</v>
      </c>
      <c r="D1329" s="279" t="s">
        <v>10538</v>
      </c>
      <c r="E1329" s="306" t="s">
        <v>10969</v>
      </c>
      <c r="F1329" s="278" t="s">
        <v>4109</v>
      </c>
      <c r="G1329" s="278" t="s">
        <v>4108</v>
      </c>
      <c r="H1329" s="306" t="s">
        <v>11315</v>
      </c>
      <c r="I1329" s="269" t="s">
        <v>11316</v>
      </c>
      <c r="J1329" s="306" t="s">
        <v>10969</v>
      </c>
    </row>
    <row r="1330" spans="1:10" ht="14.5" customHeight="1" x14ac:dyDescent="0.25">
      <c r="A1330" s="278" t="s">
        <v>3705</v>
      </c>
      <c r="B1330" s="278" t="s">
        <v>10904</v>
      </c>
      <c r="C1330" s="278" t="s">
        <v>10537</v>
      </c>
      <c r="D1330" s="279" t="s">
        <v>10538</v>
      </c>
      <c r="E1330" s="306" t="s">
        <v>10969</v>
      </c>
      <c r="F1330" s="278" t="s">
        <v>4109</v>
      </c>
      <c r="G1330" s="278" t="s">
        <v>4108</v>
      </c>
      <c r="H1330" s="306" t="s">
        <v>11317</v>
      </c>
      <c r="I1330" s="269" t="s">
        <v>11318</v>
      </c>
      <c r="J1330" s="306" t="s">
        <v>10969</v>
      </c>
    </row>
    <row r="1331" spans="1:10" ht="14.5" customHeight="1" x14ac:dyDescent="0.25">
      <c r="A1331" s="278" t="s">
        <v>3705</v>
      </c>
      <c r="B1331" s="278" t="s">
        <v>10904</v>
      </c>
      <c r="C1331" s="278" t="s">
        <v>10537</v>
      </c>
      <c r="D1331" s="279" t="s">
        <v>10538</v>
      </c>
      <c r="E1331" s="306" t="s">
        <v>10969</v>
      </c>
      <c r="F1331" s="278" t="s">
        <v>4109</v>
      </c>
      <c r="G1331" s="278" t="s">
        <v>4108</v>
      </c>
      <c r="H1331" s="306" t="s">
        <v>11321</v>
      </c>
      <c r="I1331" s="269" t="s">
        <v>11322</v>
      </c>
      <c r="J1331" s="306" t="s">
        <v>10969</v>
      </c>
    </row>
    <row r="1332" spans="1:10" ht="14.5" customHeight="1" x14ac:dyDescent="0.25">
      <c r="A1332" s="278" t="s">
        <v>3705</v>
      </c>
      <c r="B1332" s="278" t="s">
        <v>10904</v>
      </c>
      <c r="C1332" s="278" t="s">
        <v>10539</v>
      </c>
      <c r="D1332" s="279" t="s">
        <v>10540</v>
      </c>
      <c r="E1332" s="306" t="s">
        <v>10969</v>
      </c>
      <c r="F1332" s="278" t="s">
        <v>4109</v>
      </c>
      <c r="G1332" s="278" t="s">
        <v>4108</v>
      </c>
      <c r="H1332" s="306" t="s">
        <v>11297</v>
      </c>
      <c r="I1332" s="269" t="s">
        <v>11298</v>
      </c>
      <c r="J1332" s="306" t="s">
        <v>10969</v>
      </c>
    </row>
    <row r="1333" spans="1:10" ht="14.5" customHeight="1" x14ac:dyDescent="0.25">
      <c r="A1333" s="278" t="s">
        <v>3705</v>
      </c>
      <c r="B1333" s="278" t="s">
        <v>10904</v>
      </c>
      <c r="C1333" s="278" t="s">
        <v>10539</v>
      </c>
      <c r="D1333" s="279" t="s">
        <v>10540</v>
      </c>
      <c r="E1333" s="306" t="s">
        <v>10969</v>
      </c>
      <c r="F1333" s="278" t="s">
        <v>4109</v>
      </c>
      <c r="G1333" s="278" t="s">
        <v>4108</v>
      </c>
      <c r="H1333" s="306" t="s">
        <v>11299</v>
      </c>
      <c r="I1333" s="269" t="s">
        <v>11300</v>
      </c>
      <c r="J1333" s="306" t="s">
        <v>10969</v>
      </c>
    </row>
    <row r="1334" spans="1:10" ht="14.5" customHeight="1" x14ac:dyDescent="0.25">
      <c r="A1334" s="278" t="s">
        <v>3705</v>
      </c>
      <c r="B1334" s="278" t="s">
        <v>10904</v>
      </c>
      <c r="C1334" s="278" t="s">
        <v>10539</v>
      </c>
      <c r="D1334" s="279" t="s">
        <v>10540</v>
      </c>
      <c r="E1334" s="306" t="s">
        <v>10969</v>
      </c>
      <c r="F1334" s="278" t="s">
        <v>4109</v>
      </c>
      <c r="G1334" s="278" t="s">
        <v>4108</v>
      </c>
      <c r="H1334" s="306" t="s">
        <v>11301</v>
      </c>
      <c r="I1334" s="269" t="s">
        <v>11302</v>
      </c>
      <c r="J1334" s="306" t="s">
        <v>10969</v>
      </c>
    </row>
    <row r="1335" spans="1:10" ht="14.5" customHeight="1" x14ac:dyDescent="0.25">
      <c r="A1335" s="278" t="s">
        <v>3705</v>
      </c>
      <c r="B1335" s="278" t="s">
        <v>10904</v>
      </c>
      <c r="C1335" s="278" t="s">
        <v>10539</v>
      </c>
      <c r="D1335" s="279" t="s">
        <v>10540</v>
      </c>
      <c r="E1335" s="306" t="s">
        <v>10969</v>
      </c>
      <c r="F1335" s="278" t="s">
        <v>4109</v>
      </c>
      <c r="G1335" s="278" t="s">
        <v>4108</v>
      </c>
      <c r="H1335" s="306" t="s">
        <v>11303</v>
      </c>
      <c r="I1335" s="269" t="s">
        <v>11304</v>
      </c>
      <c r="J1335" s="306" t="s">
        <v>10969</v>
      </c>
    </row>
    <row r="1336" spans="1:10" ht="14.5" customHeight="1" x14ac:dyDescent="0.25">
      <c r="A1336" s="278" t="s">
        <v>3705</v>
      </c>
      <c r="B1336" s="278" t="s">
        <v>10904</v>
      </c>
      <c r="C1336" s="278" t="s">
        <v>10539</v>
      </c>
      <c r="D1336" s="279" t="s">
        <v>10540</v>
      </c>
      <c r="E1336" s="306" t="s">
        <v>10969</v>
      </c>
      <c r="F1336" s="278" t="s">
        <v>4109</v>
      </c>
      <c r="G1336" s="278" t="s">
        <v>4108</v>
      </c>
      <c r="H1336" s="306" t="s">
        <v>11305</v>
      </c>
      <c r="I1336" s="269" t="s">
        <v>11306</v>
      </c>
      <c r="J1336" s="306" t="s">
        <v>10969</v>
      </c>
    </row>
    <row r="1337" spans="1:10" ht="14.5" customHeight="1" x14ac:dyDescent="0.25">
      <c r="A1337" s="278" t="s">
        <v>3705</v>
      </c>
      <c r="B1337" s="278" t="s">
        <v>10904</v>
      </c>
      <c r="C1337" s="278" t="s">
        <v>10539</v>
      </c>
      <c r="D1337" s="279" t="s">
        <v>10540</v>
      </c>
      <c r="E1337" s="306" t="s">
        <v>10969</v>
      </c>
      <c r="F1337" s="278" t="s">
        <v>4109</v>
      </c>
      <c r="G1337" s="278" t="s">
        <v>4108</v>
      </c>
      <c r="H1337" s="306" t="s">
        <v>11307</v>
      </c>
      <c r="I1337" s="269" t="s">
        <v>11308</v>
      </c>
      <c r="J1337" s="306" t="s">
        <v>10969</v>
      </c>
    </row>
    <row r="1338" spans="1:10" ht="14.5" customHeight="1" x14ac:dyDescent="0.25">
      <c r="A1338" s="278" t="s">
        <v>3705</v>
      </c>
      <c r="B1338" s="278" t="s">
        <v>10904</v>
      </c>
      <c r="C1338" s="278" t="s">
        <v>10539</v>
      </c>
      <c r="D1338" s="279" t="s">
        <v>10540</v>
      </c>
      <c r="E1338" s="306" t="s">
        <v>10969</v>
      </c>
      <c r="F1338" s="278" t="s">
        <v>4109</v>
      </c>
      <c r="G1338" s="278" t="s">
        <v>4108</v>
      </c>
      <c r="H1338" s="306" t="s">
        <v>11309</v>
      </c>
      <c r="I1338" s="269" t="s">
        <v>11310</v>
      </c>
      <c r="J1338" s="306" t="s">
        <v>10969</v>
      </c>
    </row>
    <row r="1339" spans="1:10" ht="14.5" customHeight="1" x14ac:dyDescent="0.25">
      <c r="A1339" s="278" t="s">
        <v>3705</v>
      </c>
      <c r="B1339" s="278" t="s">
        <v>10904</v>
      </c>
      <c r="C1339" s="278" t="s">
        <v>10539</v>
      </c>
      <c r="D1339" s="279" t="s">
        <v>10540</v>
      </c>
      <c r="E1339" s="306" t="s">
        <v>10969</v>
      </c>
      <c r="F1339" s="278" t="s">
        <v>4109</v>
      </c>
      <c r="G1339" s="278" t="s">
        <v>4108</v>
      </c>
      <c r="H1339" s="306" t="s">
        <v>11313</v>
      </c>
      <c r="I1339" s="269" t="s">
        <v>11314</v>
      </c>
      <c r="J1339" s="306" t="s">
        <v>10969</v>
      </c>
    </row>
    <row r="1340" spans="1:10" ht="14.5" customHeight="1" x14ac:dyDescent="0.25">
      <c r="A1340" s="278" t="s">
        <v>3705</v>
      </c>
      <c r="B1340" s="278" t="s">
        <v>10904</v>
      </c>
      <c r="C1340" s="278" t="s">
        <v>10539</v>
      </c>
      <c r="D1340" s="279" t="s">
        <v>10540</v>
      </c>
      <c r="E1340" s="306" t="s">
        <v>10969</v>
      </c>
      <c r="F1340" s="278" t="s">
        <v>4109</v>
      </c>
      <c r="G1340" s="278" t="s">
        <v>4108</v>
      </c>
      <c r="H1340" s="306" t="s">
        <v>11315</v>
      </c>
      <c r="I1340" s="269" t="s">
        <v>11316</v>
      </c>
      <c r="J1340" s="306" t="s">
        <v>10969</v>
      </c>
    </row>
    <row r="1341" spans="1:10" ht="14.5" customHeight="1" x14ac:dyDescent="0.25">
      <c r="A1341" s="278" t="s">
        <v>3705</v>
      </c>
      <c r="B1341" s="278" t="s">
        <v>10904</v>
      </c>
      <c r="C1341" s="278" t="s">
        <v>10539</v>
      </c>
      <c r="D1341" s="279" t="s">
        <v>10540</v>
      </c>
      <c r="E1341" s="306" t="s">
        <v>10969</v>
      </c>
      <c r="F1341" s="278" t="s">
        <v>4109</v>
      </c>
      <c r="G1341" s="278" t="s">
        <v>4108</v>
      </c>
      <c r="H1341" s="306" t="s">
        <v>11317</v>
      </c>
      <c r="I1341" s="269" t="s">
        <v>11318</v>
      </c>
      <c r="J1341" s="306" t="s">
        <v>10969</v>
      </c>
    </row>
    <row r="1342" spans="1:10" ht="14.5" customHeight="1" x14ac:dyDescent="0.25">
      <c r="A1342" s="278" t="s">
        <v>3705</v>
      </c>
      <c r="B1342" s="278" t="s">
        <v>10904</v>
      </c>
      <c r="C1342" s="278" t="s">
        <v>10539</v>
      </c>
      <c r="D1342" s="279" t="s">
        <v>10540</v>
      </c>
      <c r="E1342" s="306" t="s">
        <v>10969</v>
      </c>
      <c r="F1342" s="278" t="s">
        <v>4109</v>
      </c>
      <c r="G1342" s="278" t="s">
        <v>4108</v>
      </c>
      <c r="H1342" s="306" t="s">
        <v>11321</v>
      </c>
      <c r="I1342" s="269" t="s">
        <v>11322</v>
      </c>
      <c r="J1342" s="306" t="s">
        <v>10969</v>
      </c>
    </row>
    <row r="1343" spans="1:10" ht="14.5" customHeight="1" x14ac:dyDescent="0.25">
      <c r="A1343" s="278" t="s">
        <v>3705</v>
      </c>
      <c r="B1343" s="278" t="s">
        <v>10904</v>
      </c>
      <c r="C1343" s="278" t="s">
        <v>10541</v>
      </c>
      <c r="D1343" s="279" t="s">
        <v>10542</v>
      </c>
      <c r="E1343" s="306" t="s">
        <v>10969</v>
      </c>
      <c r="F1343" s="278" t="s">
        <v>4109</v>
      </c>
      <c r="G1343" s="278" t="s">
        <v>4108</v>
      </c>
      <c r="H1343" s="306" t="s">
        <v>11297</v>
      </c>
      <c r="I1343" s="269" t="s">
        <v>11298</v>
      </c>
      <c r="J1343" s="306" t="s">
        <v>10969</v>
      </c>
    </row>
    <row r="1344" spans="1:10" ht="14.5" customHeight="1" x14ac:dyDescent="0.25">
      <c r="A1344" s="278" t="s">
        <v>3705</v>
      </c>
      <c r="B1344" s="278" t="s">
        <v>10904</v>
      </c>
      <c r="C1344" s="278" t="s">
        <v>10541</v>
      </c>
      <c r="D1344" s="279" t="s">
        <v>10542</v>
      </c>
      <c r="E1344" s="306" t="s">
        <v>10969</v>
      </c>
      <c r="F1344" s="278" t="s">
        <v>4109</v>
      </c>
      <c r="G1344" s="278" t="s">
        <v>4108</v>
      </c>
      <c r="H1344" s="306" t="s">
        <v>11315</v>
      </c>
      <c r="I1344" s="269" t="s">
        <v>11316</v>
      </c>
      <c r="J1344" s="306" t="s">
        <v>10969</v>
      </c>
    </row>
    <row r="1345" spans="1:10" ht="14.5" customHeight="1" x14ac:dyDescent="0.25">
      <c r="A1345" s="278" t="s">
        <v>3705</v>
      </c>
      <c r="B1345" s="278" t="s">
        <v>10904</v>
      </c>
      <c r="C1345" s="278" t="s">
        <v>10541</v>
      </c>
      <c r="D1345" s="279" t="s">
        <v>10542</v>
      </c>
      <c r="E1345" s="306" t="s">
        <v>10969</v>
      </c>
      <c r="F1345" s="278" t="s">
        <v>4109</v>
      </c>
      <c r="G1345" s="278" t="s">
        <v>4108</v>
      </c>
      <c r="H1345" s="306" t="s">
        <v>11317</v>
      </c>
      <c r="I1345" s="269" t="s">
        <v>11318</v>
      </c>
      <c r="J1345" s="306" t="s">
        <v>10969</v>
      </c>
    </row>
    <row r="1346" spans="1:10" ht="14.5" customHeight="1" x14ac:dyDescent="0.25">
      <c r="A1346" s="278" t="s">
        <v>3705</v>
      </c>
      <c r="B1346" s="278" t="s">
        <v>10904</v>
      </c>
      <c r="C1346" s="278" t="s">
        <v>10541</v>
      </c>
      <c r="D1346" s="279" t="s">
        <v>10542</v>
      </c>
      <c r="E1346" s="306" t="s">
        <v>10969</v>
      </c>
      <c r="F1346" s="278" t="s">
        <v>4109</v>
      </c>
      <c r="G1346" s="278" t="s">
        <v>4108</v>
      </c>
      <c r="H1346" s="306" t="s">
        <v>11319</v>
      </c>
      <c r="I1346" s="269" t="s">
        <v>11320</v>
      </c>
      <c r="J1346" s="306" t="s">
        <v>10969</v>
      </c>
    </row>
    <row r="1347" spans="1:10" ht="14.5" customHeight="1" x14ac:dyDescent="0.25">
      <c r="A1347" s="278" t="s">
        <v>3705</v>
      </c>
      <c r="B1347" s="278" t="s">
        <v>10904</v>
      </c>
      <c r="C1347" s="278" t="s">
        <v>10541</v>
      </c>
      <c r="D1347" s="279" t="s">
        <v>10542</v>
      </c>
      <c r="E1347" s="306" t="s">
        <v>10969</v>
      </c>
      <c r="F1347" s="278" t="s">
        <v>4109</v>
      </c>
      <c r="G1347" s="278" t="s">
        <v>4108</v>
      </c>
      <c r="H1347" s="306" t="s">
        <v>11321</v>
      </c>
      <c r="I1347" s="269" t="s">
        <v>11322</v>
      </c>
      <c r="J1347" s="306" t="s">
        <v>10969</v>
      </c>
    </row>
    <row r="1348" spans="1:10" ht="14.5" customHeight="1" x14ac:dyDescent="0.25">
      <c r="A1348" s="278" t="s">
        <v>3705</v>
      </c>
      <c r="B1348" s="278" t="s">
        <v>10904</v>
      </c>
      <c r="C1348" s="278" t="s">
        <v>10543</v>
      </c>
      <c r="D1348" s="279" t="s">
        <v>10544</v>
      </c>
      <c r="E1348" s="306" t="s">
        <v>10969</v>
      </c>
      <c r="F1348" s="278" t="s">
        <v>4109</v>
      </c>
      <c r="G1348" s="278" t="s">
        <v>4108</v>
      </c>
      <c r="H1348" s="306" t="s">
        <v>11297</v>
      </c>
      <c r="I1348" s="269" t="s">
        <v>11298</v>
      </c>
      <c r="J1348" s="306" t="s">
        <v>10969</v>
      </c>
    </row>
    <row r="1349" spans="1:10" ht="14.5" customHeight="1" x14ac:dyDescent="0.25">
      <c r="A1349" s="278" t="s">
        <v>3705</v>
      </c>
      <c r="B1349" s="278" t="s">
        <v>10904</v>
      </c>
      <c r="C1349" s="278" t="s">
        <v>10543</v>
      </c>
      <c r="D1349" s="279" t="s">
        <v>10544</v>
      </c>
      <c r="E1349" s="306" t="s">
        <v>10969</v>
      </c>
      <c r="F1349" s="278" t="s">
        <v>4109</v>
      </c>
      <c r="G1349" s="278" t="s">
        <v>4108</v>
      </c>
      <c r="H1349" s="306" t="s">
        <v>11299</v>
      </c>
      <c r="I1349" s="269" t="s">
        <v>11300</v>
      </c>
      <c r="J1349" s="306" t="s">
        <v>10969</v>
      </c>
    </row>
    <row r="1350" spans="1:10" ht="14.5" customHeight="1" x14ac:dyDescent="0.25">
      <c r="A1350" s="278" t="s">
        <v>3705</v>
      </c>
      <c r="B1350" s="278" t="s">
        <v>10904</v>
      </c>
      <c r="C1350" s="278" t="s">
        <v>10543</v>
      </c>
      <c r="D1350" s="279" t="s">
        <v>10544</v>
      </c>
      <c r="E1350" s="306" t="s">
        <v>10969</v>
      </c>
      <c r="F1350" s="278" t="s">
        <v>4109</v>
      </c>
      <c r="G1350" s="278" t="s">
        <v>4108</v>
      </c>
      <c r="H1350" s="306" t="s">
        <v>11301</v>
      </c>
      <c r="I1350" s="269" t="s">
        <v>11302</v>
      </c>
      <c r="J1350" s="306" t="s">
        <v>10969</v>
      </c>
    </row>
    <row r="1351" spans="1:10" ht="14.5" customHeight="1" x14ac:dyDescent="0.25">
      <c r="A1351" s="278" t="s">
        <v>3705</v>
      </c>
      <c r="B1351" s="278" t="s">
        <v>10904</v>
      </c>
      <c r="C1351" s="278" t="s">
        <v>10543</v>
      </c>
      <c r="D1351" s="279" t="s">
        <v>10544</v>
      </c>
      <c r="E1351" s="306" t="s">
        <v>10969</v>
      </c>
      <c r="F1351" s="278" t="s">
        <v>4109</v>
      </c>
      <c r="G1351" s="278" t="s">
        <v>4108</v>
      </c>
      <c r="H1351" s="306" t="s">
        <v>11303</v>
      </c>
      <c r="I1351" s="269" t="s">
        <v>11304</v>
      </c>
      <c r="J1351" s="306" t="s">
        <v>10969</v>
      </c>
    </row>
    <row r="1352" spans="1:10" ht="14.5" customHeight="1" x14ac:dyDescent="0.25">
      <c r="A1352" s="278" t="s">
        <v>3705</v>
      </c>
      <c r="B1352" s="278" t="s">
        <v>10904</v>
      </c>
      <c r="C1352" s="278" t="s">
        <v>10543</v>
      </c>
      <c r="D1352" s="279" t="s">
        <v>10544</v>
      </c>
      <c r="E1352" s="306" t="s">
        <v>10969</v>
      </c>
      <c r="F1352" s="278" t="s">
        <v>4109</v>
      </c>
      <c r="G1352" s="278" t="s">
        <v>4108</v>
      </c>
      <c r="H1352" s="306" t="s">
        <v>11325</v>
      </c>
      <c r="I1352" s="269" t="s">
        <v>11326</v>
      </c>
      <c r="J1352" s="306" t="s">
        <v>10969</v>
      </c>
    </row>
    <row r="1353" spans="1:10" ht="14.5" customHeight="1" x14ac:dyDescent="0.25">
      <c r="A1353" s="278" t="s">
        <v>3705</v>
      </c>
      <c r="B1353" s="278" t="s">
        <v>10904</v>
      </c>
      <c r="C1353" s="278" t="s">
        <v>10543</v>
      </c>
      <c r="D1353" s="279" t="s">
        <v>10544</v>
      </c>
      <c r="E1353" s="306" t="s">
        <v>10969</v>
      </c>
      <c r="F1353" s="278" t="s">
        <v>4109</v>
      </c>
      <c r="G1353" s="278" t="s">
        <v>4108</v>
      </c>
      <c r="H1353" s="306" t="s">
        <v>11307</v>
      </c>
      <c r="I1353" s="269" t="s">
        <v>11308</v>
      </c>
      <c r="J1353" s="306" t="s">
        <v>10969</v>
      </c>
    </row>
    <row r="1354" spans="1:10" ht="14.5" customHeight="1" x14ac:dyDescent="0.25">
      <c r="A1354" s="278" t="s">
        <v>3705</v>
      </c>
      <c r="B1354" s="278" t="s">
        <v>10904</v>
      </c>
      <c r="C1354" s="278" t="s">
        <v>10543</v>
      </c>
      <c r="D1354" s="279" t="s">
        <v>10544</v>
      </c>
      <c r="E1354" s="306" t="s">
        <v>10969</v>
      </c>
      <c r="F1354" s="278" t="s">
        <v>4109</v>
      </c>
      <c r="G1354" s="278" t="s">
        <v>4108</v>
      </c>
      <c r="H1354" s="306" t="s">
        <v>11309</v>
      </c>
      <c r="I1354" s="269" t="s">
        <v>11310</v>
      </c>
      <c r="J1354" s="306" t="s">
        <v>10969</v>
      </c>
    </row>
    <row r="1355" spans="1:10" ht="14.5" customHeight="1" x14ac:dyDescent="0.25">
      <c r="A1355" s="278" t="s">
        <v>3705</v>
      </c>
      <c r="B1355" s="278" t="s">
        <v>10904</v>
      </c>
      <c r="C1355" s="278" t="s">
        <v>10543</v>
      </c>
      <c r="D1355" s="279" t="s">
        <v>10544</v>
      </c>
      <c r="E1355" s="306" t="s">
        <v>10969</v>
      </c>
      <c r="F1355" s="278" t="s">
        <v>4109</v>
      </c>
      <c r="G1355" s="278" t="s">
        <v>4108</v>
      </c>
      <c r="H1355" s="306" t="s">
        <v>11331</v>
      </c>
      <c r="I1355" s="269" t="s">
        <v>11332</v>
      </c>
      <c r="J1355" s="306" t="s">
        <v>10969</v>
      </c>
    </row>
    <row r="1356" spans="1:10" ht="14.5" customHeight="1" x14ac:dyDescent="0.25">
      <c r="A1356" s="278" t="s">
        <v>3705</v>
      </c>
      <c r="B1356" s="278" t="s">
        <v>10904</v>
      </c>
      <c r="C1356" s="278" t="s">
        <v>10543</v>
      </c>
      <c r="D1356" s="279" t="s">
        <v>10544</v>
      </c>
      <c r="E1356" s="306" t="s">
        <v>10969</v>
      </c>
      <c r="F1356" s="278" t="s">
        <v>4109</v>
      </c>
      <c r="G1356" s="278" t="s">
        <v>4108</v>
      </c>
      <c r="H1356" s="306" t="s">
        <v>11311</v>
      </c>
      <c r="I1356" s="269" t="s">
        <v>11312</v>
      </c>
      <c r="J1356" s="306" t="s">
        <v>10969</v>
      </c>
    </row>
    <row r="1357" spans="1:10" ht="14.5" customHeight="1" x14ac:dyDescent="0.25">
      <c r="A1357" s="278" t="s">
        <v>3705</v>
      </c>
      <c r="B1357" s="278" t="s">
        <v>10904</v>
      </c>
      <c r="C1357" s="278" t="s">
        <v>10543</v>
      </c>
      <c r="D1357" s="279" t="s">
        <v>10544</v>
      </c>
      <c r="E1357" s="306" t="s">
        <v>10969</v>
      </c>
      <c r="F1357" s="278" t="s">
        <v>4109</v>
      </c>
      <c r="G1357" s="278" t="s">
        <v>4108</v>
      </c>
      <c r="H1357" s="306" t="s">
        <v>11313</v>
      </c>
      <c r="I1357" s="269" t="s">
        <v>11314</v>
      </c>
      <c r="J1357" s="306" t="s">
        <v>10969</v>
      </c>
    </row>
    <row r="1358" spans="1:10" ht="14.5" customHeight="1" x14ac:dyDescent="0.25">
      <c r="A1358" s="278" t="s">
        <v>3705</v>
      </c>
      <c r="B1358" s="278" t="s">
        <v>10904</v>
      </c>
      <c r="C1358" s="278" t="s">
        <v>10543</v>
      </c>
      <c r="D1358" s="279" t="s">
        <v>10544</v>
      </c>
      <c r="E1358" s="306" t="s">
        <v>10969</v>
      </c>
      <c r="F1358" s="278" t="s">
        <v>4109</v>
      </c>
      <c r="G1358" s="278" t="s">
        <v>4108</v>
      </c>
      <c r="H1358" s="306" t="s">
        <v>11315</v>
      </c>
      <c r="I1358" s="269" t="s">
        <v>11316</v>
      </c>
      <c r="J1358" s="306" t="s">
        <v>10969</v>
      </c>
    </row>
    <row r="1359" spans="1:10" ht="14.5" customHeight="1" x14ac:dyDescent="0.25">
      <c r="A1359" s="278" t="s">
        <v>3705</v>
      </c>
      <c r="B1359" s="278" t="s">
        <v>10904</v>
      </c>
      <c r="C1359" s="278" t="s">
        <v>10543</v>
      </c>
      <c r="D1359" s="279" t="s">
        <v>10544</v>
      </c>
      <c r="E1359" s="306" t="s">
        <v>10969</v>
      </c>
      <c r="F1359" s="278" t="s">
        <v>4109</v>
      </c>
      <c r="G1359" s="278" t="s">
        <v>4108</v>
      </c>
      <c r="H1359" s="306" t="s">
        <v>11317</v>
      </c>
      <c r="I1359" s="269" t="s">
        <v>11318</v>
      </c>
      <c r="J1359" s="306" t="s">
        <v>10969</v>
      </c>
    </row>
    <row r="1360" spans="1:10" ht="14.5" customHeight="1" x14ac:dyDescent="0.25">
      <c r="A1360" s="278" t="s">
        <v>3705</v>
      </c>
      <c r="B1360" s="278" t="s">
        <v>10904</v>
      </c>
      <c r="C1360" s="278" t="s">
        <v>10543</v>
      </c>
      <c r="D1360" s="279" t="s">
        <v>10544</v>
      </c>
      <c r="E1360" s="306" t="s">
        <v>10969</v>
      </c>
      <c r="F1360" s="278" t="s">
        <v>4109</v>
      </c>
      <c r="G1360" s="278" t="s">
        <v>4108</v>
      </c>
      <c r="H1360" s="306" t="s">
        <v>11319</v>
      </c>
      <c r="I1360" s="269" t="s">
        <v>11320</v>
      </c>
      <c r="J1360" s="306" t="s">
        <v>10969</v>
      </c>
    </row>
    <row r="1361" spans="1:10" ht="14.5" customHeight="1" x14ac:dyDescent="0.25">
      <c r="A1361" s="278" t="s">
        <v>3705</v>
      </c>
      <c r="B1361" s="278" t="s">
        <v>10904</v>
      </c>
      <c r="C1361" s="278" t="s">
        <v>10543</v>
      </c>
      <c r="D1361" s="279" t="s">
        <v>10544</v>
      </c>
      <c r="E1361" s="306" t="s">
        <v>10969</v>
      </c>
      <c r="F1361" s="278" t="s">
        <v>4109</v>
      </c>
      <c r="G1361" s="278" t="s">
        <v>4108</v>
      </c>
      <c r="H1361" s="306" t="s">
        <v>11321</v>
      </c>
      <c r="I1361" s="269" t="s">
        <v>11322</v>
      </c>
      <c r="J1361" s="306" t="s">
        <v>10969</v>
      </c>
    </row>
    <row r="1362" spans="1:10" ht="14.5" customHeight="1" x14ac:dyDescent="0.25">
      <c r="A1362" s="278" t="s">
        <v>3705</v>
      </c>
      <c r="B1362" s="278" t="s">
        <v>10904</v>
      </c>
      <c r="C1362" s="278" t="s">
        <v>10545</v>
      </c>
      <c r="D1362" s="279" t="s">
        <v>10546</v>
      </c>
      <c r="E1362" s="306" t="s">
        <v>10969</v>
      </c>
      <c r="F1362" s="278" t="s">
        <v>4109</v>
      </c>
      <c r="G1362" s="278" t="s">
        <v>4108</v>
      </c>
      <c r="H1362" s="306" t="s">
        <v>11301</v>
      </c>
      <c r="I1362" s="269" t="s">
        <v>11302</v>
      </c>
      <c r="J1362" s="306" t="s">
        <v>10969</v>
      </c>
    </row>
    <row r="1363" spans="1:10" ht="14.5" customHeight="1" x14ac:dyDescent="0.25">
      <c r="A1363" s="278" t="s">
        <v>3705</v>
      </c>
      <c r="B1363" s="278" t="s">
        <v>10904</v>
      </c>
      <c r="C1363" s="278" t="s">
        <v>10545</v>
      </c>
      <c r="D1363" s="279" t="s">
        <v>10546</v>
      </c>
      <c r="E1363" s="306" t="s">
        <v>10969</v>
      </c>
      <c r="F1363" s="278" t="s">
        <v>4109</v>
      </c>
      <c r="G1363" s="278" t="s">
        <v>4108</v>
      </c>
      <c r="H1363" s="306" t="s">
        <v>11309</v>
      </c>
      <c r="I1363" s="269" t="s">
        <v>11310</v>
      </c>
      <c r="J1363" s="306" t="s">
        <v>10969</v>
      </c>
    </row>
    <row r="1364" spans="1:10" ht="14.5" customHeight="1" x14ac:dyDescent="0.25">
      <c r="A1364" s="278" t="s">
        <v>3705</v>
      </c>
      <c r="B1364" s="278" t="s">
        <v>10904</v>
      </c>
      <c r="C1364" s="278" t="s">
        <v>10545</v>
      </c>
      <c r="D1364" s="279" t="s">
        <v>10546</v>
      </c>
      <c r="E1364" s="306" t="s">
        <v>10969</v>
      </c>
      <c r="F1364" s="278" t="s">
        <v>4109</v>
      </c>
      <c r="G1364" s="278" t="s">
        <v>4108</v>
      </c>
      <c r="H1364" s="306" t="s">
        <v>11311</v>
      </c>
      <c r="I1364" s="269" t="s">
        <v>11312</v>
      </c>
      <c r="J1364" s="306" t="s">
        <v>10969</v>
      </c>
    </row>
    <row r="1365" spans="1:10" ht="14.5" customHeight="1" x14ac:dyDescent="0.25">
      <c r="A1365" s="278" t="s">
        <v>3705</v>
      </c>
      <c r="B1365" s="278" t="s">
        <v>10904</v>
      </c>
      <c r="C1365" s="278" t="s">
        <v>10545</v>
      </c>
      <c r="D1365" s="279" t="s">
        <v>10546</v>
      </c>
      <c r="E1365" s="306" t="s">
        <v>10969</v>
      </c>
      <c r="F1365" s="278" t="s">
        <v>4109</v>
      </c>
      <c r="G1365" s="278" t="s">
        <v>4108</v>
      </c>
      <c r="H1365" s="306" t="s">
        <v>11315</v>
      </c>
      <c r="I1365" s="269" t="s">
        <v>11316</v>
      </c>
      <c r="J1365" s="306" t="s">
        <v>10969</v>
      </c>
    </row>
    <row r="1366" spans="1:10" ht="14.5" customHeight="1" x14ac:dyDescent="0.25">
      <c r="A1366" s="278" t="s">
        <v>3705</v>
      </c>
      <c r="B1366" s="278" t="s">
        <v>10904</v>
      </c>
      <c r="C1366" s="278" t="s">
        <v>10545</v>
      </c>
      <c r="D1366" s="279" t="s">
        <v>10546</v>
      </c>
      <c r="E1366" s="306" t="s">
        <v>10969</v>
      </c>
      <c r="F1366" s="278" t="s">
        <v>4109</v>
      </c>
      <c r="G1366" s="278" t="s">
        <v>4108</v>
      </c>
      <c r="H1366" s="306" t="s">
        <v>11317</v>
      </c>
      <c r="I1366" s="269" t="s">
        <v>11318</v>
      </c>
      <c r="J1366" s="306" t="s">
        <v>10969</v>
      </c>
    </row>
    <row r="1367" spans="1:10" ht="14.5" customHeight="1" x14ac:dyDescent="0.25">
      <c r="A1367" s="278" t="s">
        <v>3705</v>
      </c>
      <c r="B1367" s="278" t="s">
        <v>10904</v>
      </c>
      <c r="C1367" s="278" t="s">
        <v>10545</v>
      </c>
      <c r="D1367" s="279" t="s">
        <v>10546</v>
      </c>
      <c r="E1367" s="306" t="s">
        <v>10969</v>
      </c>
      <c r="F1367" s="278" t="s">
        <v>4109</v>
      </c>
      <c r="G1367" s="278" t="s">
        <v>4108</v>
      </c>
      <c r="H1367" s="306" t="s">
        <v>11321</v>
      </c>
      <c r="I1367" s="269" t="s">
        <v>11322</v>
      </c>
      <c r="J1367" s="306" t="s">
        <v>10969</v>
      </c>
    </row>
    <row r="1368" spans="1:10" ht="14.5" customHeight="1" x14ac:dyDescent="0.25">
      <c r="A1368" s="278" t="s">
        <v>3705</v>
      </c>
      <c r="B1368" s="278" t="s">
        <v>10904</v>
      </c>
      <c r="C1368" s="278" t="s">
        <v>10547</v>
      </c>
      <c r="D1368" s="279" t="s">
        <v>10548</v>
      </c>
      <c r="E1368" s="306" t="s">
        <v>10969</v>
      </c>
      <c r="F1368" s="278" t="s">
        <v>4109</v>
      </c>
      <c r="G1368" s="278" t="s">
        <v>4108</v>
      </c>
      <c r="H1368" s="306" t="s">
        <v>11299</v>
      </c>
      <c r="I1368" s="269" t="s">
        <v>11300</v>
      </c>
      <c r="J1368" s="306" t="s">
        <v>10969</v>
      </c>
    </row>
    <row r="1369" spans="1:10" ht="14.5" customHeight="1" x14ac:dyDescent="0.25">
      <c r="A1369" s="278" t="s">
        <v>3705</v>
      </c>
      <c r="B1369" s="278" t="s">
        <v>10904</v>
      </c>
      <c r="C1369" s="278" t="s">
        <v>10547</v>
      </c>
      <c r="D1369" s="279" t="s">
        <v>10548</v>
      </c>
      <c r="E1369" s="306" t="s">
        <v>10969</v>
      </c>
      <c r="F1369" s="278" t="s">
        <v>4109</v>
      </c>
      <c r="G1369" s="278" t="s">
        <v>4108</v>
      </c>
      <c r="H1369" s="306" t="s">
        <v>11301</v>
      </c>
      <c r="I1369" s="269" t="s">
        <v>11302</v>
      </c>
      <c r="J1369" s="306" t="s">
        <v>10969</v>
      </c>
    </row>
    <row r="1370" spans="1:10" ht="14.5" customHeight="1" x14ac:dyDescent="0.25">
      <c r="A1370" s="278" t="s">
        <v>3705</v>
      </c>
      <c r="B1370" s="278" t="s">
        <v>10904</v>
      </c>
      <c r="C1370" s="278" t="s">
        <v>10547</v>
      </c>
      <c r="D1370" s="279" t="s">
        <v>10548</v>
      </c>
      <c r="E1370" s="306" t="s">
        <v>10969</v>
      </c>
      <c r="F1370" s="278" t="s">
        <v>4109</v>
      </c>
      <c r="G1370" s="278" t="s">
        <v>4108</v>
      </c>
      <c r="H1370" s="306" t="s">
        <v>11303</v>
      </c>
      <c r="I1370" s="269" t="s">
        <v>11304</v>
      </c>
      <c r="J1370" s="306" t="s">
        <v>10969</v>
      </c>
    </row>
    <row r="1371" spans="1:10" ht="14.5" customHeight="1" x14ac:dyDescent="0.25">
      <c r="A1371" s="278" t="s">
        <v>3705</v>
      </c>
      <c r="B1371" s="278" t="s">
        <v>10904</v>
      </c>
      <c r="C1371" s="278" t="s">
        <v>10547</v>
      </c>
      <c r="D1371" s="279" t="s">
        <v>10548</v>
      </c>
      <c r="E1371" s="306" t="s">
        <v>10969</v>
      </c>
      <c r="F1371" s="278" t="s">
        <v>4109</v>
      </c>
      <c r="G1371" s="278" t="s">
        <v>4108</v>
      </c>
      <c r="H1371" s="306" t="s">
        <v>11305</v>
      </c>
      <c r="I1371" s="269" t="s">
        <v>11306</v>
      </c>
      <c r="J1371" s="306" t="s">
        <v>10969</v>
      </c>
    </row>
    <row r="1372" spans="1:10" ht="14.5" customHeight="1" x14ac:dyDescent="0.25">
      <c r="A1372" s="278" t="s">
        <v>3705</v>
      </c>
      <c r="B1372" s="278" t="s">
        <v>10904</v>
      </c>
      <c r="C1372" s="278" t="s">
        <v>10547</v>
      </c>
      <c r="D1372" s="279" t="s">
        <v>10548</v>
      </c>
      <c r="E1372" s="306" t="s">
        <v>10969</v>
      </c>
      <c r="F1372" s="278" t="s">
        <v>4109</v>
      </c>
      <c r="G1372" s="278" t="s">
        <v>4108</v>
      </c>
      <c r="H1372" s="306" t="s">
        <v>11309</v>
      </c>
      <c r="I1372" s="269" t="s">
        <v>11310</v>
      </c>
      <c r="J1372" s="306" t="s">
        <v>10969</v>
      </c>
    </row>
    <row r="1373" spans="1:10" ht="14.5" customHeight="1" x14ac:dyDescent="0.25">
      <c r="A1373" s="278" t="s">
        <v>3705</v>
      </c>
      <c r="B1373" s="278" t="s">
        <v>10904</v>
      </c>
      <c r="C1373" s="278" t="s">
        <v>10547</v>
      </c>
      <c r="D1373" s="279" t="s">
        <v>10548</v>
      </c>
      <c r="E1373" s="306" t="s">
        <v>10969</v>
      </c>
      <c r="F1373" s="278" t="s">
        <v>4109</v>
      </c>
      <c r="G1373" s="278" t="s">
        <v>4108</v>
      </c>
      <c r="H1373" s="306" t="s">
        <v>11311</v>
      </c>
      <c r="I1373" s="269" t="s">
        <v>11312</v>
      </c>
      <c r="J1373" s="306" t="s">
        <v>10969</v>
      </c>
    </row>
    <row r="1374" spans="1:10" ht="14.5" customHeight="1" x14ac:dyDescent="0.25">
      <c r="A1374" s="278" t="s">
        <v>3705</v>
      </c>
      <c r="B1374" s="278" t="s">
        <v>10904</v>
      </c>
      <c r="C1374" s="278" t="s">
        <v>10547</v>
      </c>
      <c r="D1374" s="279" t="s">
        <v>10548</v>
      </c>
      <c r="E1374" s="306" t="s">
        <v>10969</v>
      </c>
      <c r="F1374" s="278" t="s">
        <v>4109</v>
      </c>
      <c r="G1374" s="278" t="s">
        <v>4108</v>
      </c>
      <c r="H1374" s="306" t="s">
        <v>11315</v>
      </c>
      <c r="I1374" s="269" t="s">
        <v>11316</v>
      </c>
      <c r="J1374" s="306" t="s">
        <v>10969</v>
      </c>
    </row>
    <row r="1375" spans="1:10" ht="14.5" customHeight="1" x14ac:dyDescent="0.25">
      <c r="A1375" s="278" t="s">
        <v>3705</v>
      </c>
      <c r="B1375" s="278" t="s">
        <v>10904</v>
      </c>
      <c r="C1375" s="278" t="s">
        <v>10547</v>
      </c>
      <c r="D1375" s="279" t="s">
        <v>10548</v>
      </c>
      <c r="E1375" s="306" t="s">
        <v>10969</v>
      </c>
      <c r="F1375" s="278" t="s">
        <v>4109</v>
      </c>
      <c r="G1375" s="278" t="s">
        <v>4108</v>
      </c>
      <c r="H1375" s="306" t="s">
        <v>11317</v>
      </c>
      <c r="I1375" s="269" t="s">
        <v>11318</v>
      </c>
      <c r="J1375" s="306" t="s">
        <v>10969</v>
      </c>
    </row>
    <row r="1376" spans="1:10" ht="14.5" customHeight="1" x14ac:dyDescent="0.25">
      <c r="A1376" s="278" t="s">
        <v>3705</v>
      </c>
      <c r="B1376" s="278" t="s">
        <v>10904</v>
      </c>
      <c r="C1376" s="278" t="s">
        <v>10547</v>
      </c>
      <c r="D1376" s="279" t="s">
        <v>10548</v>
      </c>
      <c r="E1376" s="306" t="s">
        <v>10969</v>
      </c>
      <c r="F1376" s="278" t="s">
        <v>4109</v>
      </c>
      <c r="G1376" s="278" t="s">
        <v>4108</v>
      </c>
      <c r="H1376" s="306" t="s">
        <v>11321</v>
      </c>
      <c r="I1376" s="269" t="s">
        <v>11322</v>
      </c>
      <c r="J1376" s="306" t="s">
        <v>10969</v>
      </c>
    </row>
    <row r="1377" spans="1:10" ht="14.5" customHeight="1" x14ac:dyDescent="0.25">
      <c r="A1377" s="278" t="s">
        <v>3705</v>
      </c>
      <c r="B1377" s="278" t="s">
        <v>10904</v>
      </c>
      <c r="C1377" s="278" t="s">
        <v>10549</v>
      </c>
      <c r="D1377" s="279" t="s">
        <v>10550</v>
      </c>
      <c r="E1377" s="306" t="s">
        <v>10969</v>
      </c>
      <c r="F1377" s="278" t="s">
        <v>4109</v>
      </c>
      <c r="G1377" s="278" t="s">
        <v>4108</v>
      </c>
      <c r="H1377" s="306" t="s">
        <v>11301</v>
      </c>
      <c r="I1377" s="269" t="s">
        <v>11302</v>
      </c>
      <c r="J1377" s="306" t="s">
        <v>10969</v>
      </c>
    </row>
    <row r="1378" spans="1:10" ht="14.5" customHeight="1" x14ac:dyDescent="0.25">
      <c r="A1378" s="278" t="s">
        <v>3705</v>
      </c>
      <c r="B1378" s="278" t="s">
        <v>10904</v>
      </c>
      <c r="C1378" s="278" t="s">
        <v>10549</v>
      </c>
      <c r="D1378" s="279" t="s">
        <v>10550</v>
      </c>
      <c r="E1378" s="306" t="s">
        <v>10969</v>
      </c>
      <c r="F1378" s="278" t="s">
        <v>4109</v>
      </c>
      <c r="G1378" s="278" t="s">
        <v>4108</v>
      </c>
      <c r="H1378" s="306" t="s">
        <v>11325</v>
      </c>
      <c r="I1378" s="269" t="s">
        <v>11326</v>
      </c>
      <c r="J1378" s="306" t="s">
        <v>10969</v>
      </c>
    </row>
    <row r="1379" spans="1:10" ht="14.5" customHeight="1" x14ac:dyDescent="0.25">
      <c r="A1379" s="278" t="s">
        <v>3705</v>
      </c>
      <c r="B1379" s="278" t="s">
        <v>10904</v>
      </c>
      <c r="C1379" s="278" t="s">
        <v>10549</v>
      </c>
      <c r="D1379" s="279" t="s">
        <v>10550</v>
      </c>
      <c r="E1379" s="306" t="s">
        <v>10969</v>
      </c>
      <c r="F1379" s="278" t="s">
        <v>4109</v>
      </c>
      <c r="G1379" s="278" t="s">
        <v>4108</v>
      </c>
      <c r="H1379" s="306" t="s">
        <v>11305</v>
      </c>
      <c r="I1379" s="269" t="s">
        <v>11306</v>
      </c>
      <c r="J1379" s="306" t="s">
        <v>10969</v>
      </c>
    </row>
    <row r="1380" spans="1:10" ht="14.5" customHeight="1" x14ac:dyDescent="0.25">
      <c r="A1380" s="278" t="s">
        <v>3705</v>
      </c>
      <c r="B1380" s="278" t="s">
        <v>10904</v>
      </c>
      <c r="C1380" s="278" t="s">
        <v>10549</v>
      </c>
      <c r="D1380" s="279" t="s">
        <v>10550</v>
      </c>
      <c r="E1380" s="306" t="s">
        <v>10969</v>
      </c>
      <c r="F1380" s="278" t="s">
        <v>4109</v>
      </c>
      <c r="G1380" s="278" t="s">
        <v>4108</v>
      </c>
      <c r="H1380" s="306" t="s">
        <v>11309</v>
      </c>
      <c r="I1380" s="269" t="s">
        <v>11310</v>
      </c>
      <c r="J1380" s="306" t="s">
        <v>10969</v>
      </c>
    </row>
    <row r="1381" spans="1:10" ht="14.5" customHeight="1" x14ac:dyDescent="0.25">
      <c r="A1381" s="278" t="s">
        <v>3705</v>
      </c>
      <c r="B1381" s="278" t="s">
        <v>10904</v>
      </c>
      <c r="C1381" s="278" t="s">
        <v>10549</v>
      </c>
      <c r="D1381" s="279" t="s">
        <v>10550</v>
      </c>
      <c r="E1381" s="306" t="s">
        <v>10969</v>
      </c>
      <c r="F1381" s="278" t="s">
        <v>4109</v>
      </c>
      <c r="G1381" s="278" t="s">
        <v>4108</v>
      </c>
      <c r="H1381" s="306" t="s">
        <v>11331</v>
      </c>
      <c r="I1381" s="269" t="s">
        <v>11332</v>
      </c>
      <c r="J1381" s="306" t="s">
        <v>10969</v>
      </c>
    </row>
    <row r="1382" spans="1:10" ht="14.5" customHeight="1" x14ac:dyDescent="0.25">
      <c r="A1382" s="278" t="s">
        <v>3705</v>
      </c>
      <c r="B1382" s="278" t="s">
        <v>10904</v>
      </c>
      <c r="C1382" s="278" t="s">
        <v>10549</v>
      </c>
      <c r="D1382" s="279" t="s">
        <v>10550</v>
      </c>
      <c r="E1382" s="306" t="s">
        <v>10969</v>
      </c>
      <c r="F1382" s="278" t="s">
        <v>4109</v>
      </c>
      <c r="G1382" s="278" t="s">
        <v>4108</v>
      </c>
      <c r="H1382" s="306" t="s">
        <v>11311</v>
      </c>
      <c r="I1382" s="269" t="s">
        <v>11312</v>
      </c>
      <c r="J1382" s="306" t="s">
        <v>10969</v>
      </c>
    </row>
    <row r="1383" spans="1:10" ht="14.5" customHeight="1" x14ac:dyDescent="0.25">
      <c r="A1383" s="278" t="s">
        <v>3705</v>
      </c>
      <c r="B1383" s="278" t="s">
        <v>10904</v>
      </c>
      <c r="C1383" s="278" t="s">
        <v>10549</v>
      </c>
      <c r="D1383" s="279" t="s">
        <v>10550</v>
      </c>
      <c r="E1383" s="306" t="s">
        <v>10969</v>
      </c>
      <c r="F1383" s="278" t="s">
        <v>4109</v>
      </c>
      <c r="G1383" s="278" t="s">
        <v>4108</v>
      </c>
      <c r="H1383" s="306" t="s">
        <v>11315</v>
      </c>
      <c r="I1383" s="269" t="s">
        <v>11316</v>
      </c>
      <c r="J1383" s="306" t="s">
        <v>10969</v>
      </c>
    </row>
    <row r="1384" spans="1:10" ht="14.5" customHeight="1" x14ac:dyDescent="0.25">
      <c r="A1384" s="278" t="s">
        <v>3705</v>
      </c>
      <c r="B1384" s="278" t="s">
        <v>10904</v>
      </c>
      <c r="C1384" s="278" t="s">
        <v>10549</v>
      </c>
      <c r="D1384" s="279" t="s">
        <v>10550</v>
      </c>
      <c r="E1384" s="306" t="s">
        <v>10969</v>
      </c>
      <c r="F1384" s="278" t="s">
        <v>4109</v>
      </c>
      <c r="G1384" s="278" t="s">
        <v>4108</v>
      </c>
      <c r="H1384" s="306" t="s">
        <v>11317</v>
      </c>
      <c r="I1384" s="269" t="s">
        <v>11318</v>
      </c>
      <c r="J1384" s="306" t="s">
        <v>10969</v>
      </c>
    </row>
    <row r="1385" spans="1:10" ht="14.5" customHeight="1" x14ac:dyDescent="0.25">
      <c r="A1385" s="278" t="s">
        <v>3705</v>
      </c>
      <c r="B1385" s="278" t="s">
        <v>10904</v>
      </c>
      <c r="C1385" s="278" t="s">
        <v>10549</v>
      </c>
      <c r="D1385" s="279" t="s">
        <v>10550</v>
      </c>
      <c r="E1385" s="306" t="s">
        <v>10969</v>
      </c>
      <c r="F1385" s="278" t="s">
        <v>4109</v>
      </c>
      <c r="G1385" s="278" t="s">
        <v>4108</v>
      </c>
      <c r="H1385" s="306" t="s">
        <v>11321</v>
      </c>
      <c r="I1385" s="269" t="s">
        <v>11322</v>
      </c>
      <c r="J1385" s="306" t="s">
        <v>10969</v>
      </c>
    </row>
    <row r="1386" spans="1:10" ht="14.5" customHeight="1" x14ac:dyDescent="0.25">
      <c r="A1386" s="278" t="s">
        <v>3705</v>
      </c>
      <c r="B1386" s="278" t="s">
        <v>10904</v>
      </c>
      <c r="C1386" s="278" t="s">
        <v>10552</v>
      </c>
      <c r="D1386" s="279" t="s">
        <v>10553</v>
      </c>
      <c r="E1386" s="306" t="s">
        <v>10969</v>
      </c>
      <c r="F1386" s="278" t="s">
        <v>4109</v>
      </c>
      <c r="G1386" s="278" t="s">
        <v>4109</v>
      </c>
      <c r="H1386" s="306" t="s">
        <v>11301</v>
      </c>
      <c r="I1386" s="269" t="s">
        <v>11302</v>
      </c>
      <c r="J1386" s="306" t="s">
        <v>10969</v>
      </c>
    </row>
    <row r="1387" spans="1:10" ht="14.5" customHeight="1" x14ac:dyDescent="0.25">
      <c r="A1387" s="278" t="s">
        <v>3705</v>
      </c>
      <c r="B1387" s="278" t="s">
        <v>10904</v>
      </c>
      <c r="C1387" s="278" t="s">
        <v>10552</v>
      </c>
      <c r="D1387" s="279" t="s">
        <v>10553</v>
      </c>
      <c r="E1387" s="306" t="s">
        <v>10969</v>
      </c>
      <c r="F1387" s="278" t="s">
        <v>4109</v>
      </c>
      <c r="G1387" s="278" t="s">
        <v>4109</v>
      </c>
      <c r="H1387" s="306" t="s">
        <v>11309</v>
      </c>
      <c r="I1387" s="269" t="s">
        <v>11310</v>
      </c>
      <c r="J1387" s="306" t="s">
        <v>10969</v>
      </c>
    </row>
    <row r="1388" spans="1:10" ht="14.5" customHeight="1" x14ac:dyDescent="0.25">
      <c r="A1388" s="278" t="s">
        <v>3705</v>
      </c>
      <c r="B1388" s="278" t="s">
        <v>10904</v>
      </c>
      <c r="C1388" s="278" t="s">
        <v>10552</v>
      </c>
      <c r="D1388" s="279" t="s">
        <v>10553</v>
      </c>
      <c r="E1388" s="306" t="s">
        <v>10969</v>
      </c>
      <c r="F1388" s="278" t="s">
        <v>4109</v>
      </c>
      <c r="G1388" s="278" t="s">
        <v>4109</v>
      </c>
      <c r="H1388" s="306" t="s">
        <v>11311</v>
      </c>
      <c r="I1388" s="269" t="s">
        <v>11312</v>
      </c>
      <c r="J1388" s="306" t="s">
        <v>10969</v>
      </c>
    </row>
    <row r="1389" spans="1:10" ht="14.5" customHeight="1" x14ac:dyDescent="0.25">
      <c r="A1389" s="278" t="s">
        <v>3705</v>
      </c>
      <c r="B1389" s="278" t="s">
        <v>10904</v>
      </c>
      <c r="C1389" s="278" t="s">
        <v>10552</v>
      </c>
      <c r="D1389" s="279" t="s">
        <v>10553</v>
      </c>
      <c r="E1389" s="306" t="s">
        <v>10969</v>
      </c>
      <c r="F1389" s="278" t="s">
        <v>4109</v>
      </c>
      <c r="G1389" s="278" t="s">
        <v>4109</v>
      </c>
      <c r="H1389" s="306" t="s">
        <v>11315</v>
      </c>
      <c r="I1389" s="269" t="s">
        <v>11316</v>
      </c>
      <c r="J1389" s="306" t="s">
        <v>10969</v>
      </c>
    </row>
    <row r="1390" spans="1:10" ht="14.5" customHeight="1" x14ac:dyDescent="0.25">
      <c r="A1390" s="278" t="s">
        <v>3705</v>
      </c>
      <c r="B1390" s="278" t="s">
        <v>10904</v>
      </c>
      <c r="C1390" s="278" t="s">
        <v>10552</v>
      </c>
      <c r="D1390" s="279" t="s">
        <v>10553</v>
      </c>
      <c r="E1390" s="306" t="s">
        <v>10969</v>
      </c>
      <c r="F1390" s="278" t="s">
        <v>4109</v>
      </c>
      <c r="G1390" s="278" t="s">
        <v>4109</v>
      </c>
      <c r="H1390" s="306" t="s">
        <v>11317</v>
      </c>
      <c r="I1390" s="269" t="s">
        <v>11318</v>
      </c>
      <c r="J1390" s="306" t="s">
        <v>10969</v>
      </c>
    </row>
    <row r="1391" spans="1:10" ht="14.5" customHeight="1" x14ac:dyDescent="0.25">
      <c r="A1391" s="278" t="s">
        <v>3705</v>
      </c>
      <c r="B1391" s="278" t="s">
        <v>10904</v>
      </c>
      <c r="C1391" s="278" t="s">
        <v>10552</v>
      </c>
      <c r="D1391" s="279" t="s">
        <v>10553</v>
      </c>
      <c r="E1391" s="306" t="s">
        <v>10969</v>
      </c>
      <c r="F1391" s="278" t="s">
        <v>4109</v>
      </c>
      <c r="G1391" s="278" t="s">
        <v>4109</v>
      </c>
      <c r="H1391" s="306" t="s">
        <v>11321</v>
      </c>
      <c r="I1391" s="269" t="s">
        <v>11322</v>
      </c>
      <c r="J1391" s="306" t="s">
        <v>10969</v>
      </c>
    </row>
    <row r="1392" spans="1:10" ht="14.5" customHeight="1" x14ac:dyDescent="0.25">
      <c r="A1392" s="278" t="s">
        <v>3705</v>
      </c>
      <c r="B1392" s="278" t="s">
        <v>10904</v>
      </c>
      <c r="C1392" s="278" t="s">
        <v>10554</v>
      </c>
      <c r="D1392" s="279" t="s">
        <v>10555</v>
      </c>
      <c r="E1392" s="306" t="s">
        <v>10969</v>
      </c>
      <c r="F1392" s="278" t="s">
        <v>4109</v>
      </c>
      <c r="G1392" s="278" t="s">
        <v>4108</v>
      </c>
      <c r="H1392" s="306" t="s">
        <v>11301</v>
      </c>
      <c r="I1392" s="269" t="s">
        <v>11302</v>
      </c>
      <c r="J1392" s="306" t="s">
        <v>10969</v>
      </c>
    </row>
    <row r="1393" spans="1:10" ht="14.5" customHeight="1" x14ac:dyDescent="0.25">
      <c r="A1393" s="278" t="s">
        <v>3705</v>
      </c>
      <c r="B1393" s="278" t="s">
        <v>10904</v>
      </c>
      <c r="C1393" s="278" t="s">
        <v>10554</v>
      </c>
      <c r="D1393" s="279" t="s">
        <v>10555</v>
      </c>
      <c r="E1393" s="306" t="s">
        <v>10969</v>
      </c>
      <c r="F1393" s="278" t="s">
        <v>4109</v>
      </c>
      <c r="G1393" s="278" t="s">
        <v>4108</v>
      </c>
      <c r="H1393" s="306" t="s">
        <v>11305</v>
      </c>
      <c r="I1393" s="269" t="s">
        <v>11306</v>
      </c>
      <c r="J1393" s="306" t="s">
        <v>10969</v>
      </c>
    </row>
    <row r="1394" spans="1:10" ht="14.5" customHeight="1" x14ac:dyDescent="0.25">
      <c r="A1394" s="278" t="s">
        <v>3705</v>
      </c>
      <c r="B1394" s="278" t="s">
        <v>10904</v>
      </c>
      <c r="C1394" s="278" t="s">
        <v>10554</v>
      </c>
      <c r="D1394" s="279" t="s">
        <v>10555</v>
      </c>
      <c r="E1394" s="306" t="s">
        <v>10969</v>
      </c>
      <c r="F1394" s="278" t="s">
        <v>4109</v>
      </c>
      <c r="G1394" s="278" t="s">
        <v>4108</v>
      </c>
      <c r="H1394" s="306" t="s">
        <v>11309</v>
      </c>
      <c r="I1394" s="269" t="s">
        <v>11310</v>
      </c>
      <c r="J1394" s="306" t="s">
        <v>10969</v>
      </c>
    </row>
    <row r="1395" spans="1:10" ht="14.5" customHeight="1" x14ac:dyDescent="0.25">
      <c r="A1395" s="278" t="s">
        <v>3705</v>
      </c>
      <c r="B1395" s="278" t="s">
        <v>10904</v>
      </c>
      <c r="C1395" s="278" t="s">
        <v>10554</v>
      </c>
      <c r="D1395" s="279" t="s">
        <v>10555</v>
      </c>
      <c r="E1395" s="306" t="s">
        <v>10969</v>
      </c>
      <c r="F1395" s="278" t="s">
        <v>4109</v>
      </c>
      <c r="G1395" s="278" t="s">
        <v>4108</v>
      </c>
      <c r="H1395" s="306" t="s">
        <v>11331</v>
      </c>
      <c r="I1395" s="269" t="s">
        <v>11332</v>
      </c>
      <c r="J1395" s="306" t="s">
        <v>10969</v>
      </c>
    </row>
    <row r="1396" spans="1:10" ht="14.5" customHeight="1" x14ac:dyDescent="0.25">
      <c r="A1396" s="278" t="s">
        <v>3705</v>
      </c>
      <c r="B1396" s="278" t="s">
        <v>10904</v>
      </c>
      <c r="C1396" s="278" t="s">
        <v>10554</v>
      </c>
      <c r="D1396" s="279" t="s">
        <v>10555</v>
      </c>
      <c r="E1396" s="306" t="s">
        <v>10969</v>
      </c>
      <c r="F1396" s="278" t="s">
        <v>4109</v>
      </c>
      <c r="G1396" s="278" t="s">
        <v>4108</v>
      </c>
      <c r="H1396" s="306" t="s">
        <v>11311</v>
      </c>
      <c r="I1396" s="269" t="s">
        <v>11312</v>
      </c>
      <c r="J1396" s="306" t="s">
        <v>10969</v>
      </c>
    </row>
    <row r="1397" spans="1:10" ht="14.5" customHeight="1" x14ac:dyDescent="0.25">
      <c r="A1397" s="278" t="s">
        <v>3705</v>
      </c>
      <c r="B1397" s="278" t="s">
        <v>10904</v>
      </c>
      <c r="C1397" s="278" t="s">
        <v>10554</v>
      </c>
      <c r="D1397" s="279" t="s">
        <v>10555</v>
      </c>
      <c r="E1397" s="306" t="s">
        <v>10969</v>
      </c>
      <c r="F1397" s="278" t="s">
        <v>4109</v>
      </c>
      <c r="G1397" s="278" t="s">
        <v>4108</v>
      </c>
      <c r="H1397" s="306" t="s">
        <v>11315</v>
      </c>
      <c r="I1397" s="269" t="s">
        <v>11316</v>
      </c>
      <c r="J1397" s="306" t="s">
        <v>10969</v>
      </c>
    </row>
    <row r="1398" spans="1:10" ht="14.5" customHeight="1" x14ac:dyDescent="0.25">
      <c r="A1398" s="278" t="s">
        <v>3705</v>
      </c>
      <c r="B1398" s="278" t="s">
        <v>10904</v>
      </c>
      <c r="C1398" s="278" t="s">
        <v>10554</v>
      </c>
      <c r="D1398" s="279" t="s">
        <v>10555</v>
      </c>
      <c r="E1398" s="306" t="s">
        <v>10969</v>
      </c>
      <c r="F1398" s="278" t="s">
        <v>4109</v>
      </c>
      <c r="G1398" s="278" t="s">
        <v>4108</v>
      </c>
      <c r="H1398" s="306" t="s">
        <v>11317</v>
      </c>
      <c r="I1398" s="269" t="s">
        <v>11318</v>
      </c>
      <c r="J1398" s="306" t="s">
        <v>10969</v>
      </c>
    </row>
    <row r="1399" spans="1:10" ht="14.5" customHeight="1" x14ac:dyDescent="0.25">
      <c r="A1399" s="278" t="s">
        <v>3705</v>
      </c>
      <c r="B1399" s="278" t="s">
        <v>10904</v>
      </c>
      <c r="C1399" s="278" t="s">
        <v>10554</v>
      </c>
      <c r="D1399" s="279" t="s">
        <v>10555</v>
      </c>
      <c r="E1399" s="306" t="s">
        <v>10969</v>
      </c>
      <c r="F1399" s="278" t="s">
        <v>4109</v>
      </c>
      <c r="G1399" s="278" t="s">
        <v>4108</v>
      </c>
      <c r="H1399" s="306" t="s">
        <v>11321</v>
      </c>
      <c r="I1399" s="269" t="s">
        <v>11322</v>
      </c>
      <c r="J1399" s="306" t="s">
        <v>10969</v>
      </c>
    </row>
    <row r="1400" spans="1:10" ht="14.5" customHeight="1" x14ac:dyDescent="0.25">
      <c r="A1400" s="278" t="s">
        <v>3705</v>
      </c>
      <c r="B1400" s="278" t="s">
        <v>10904</v>
      </c>
      <c r="C1400" s="278" t="s">
        <v>10556</v>
      </c>
      <c r="D1400" s="279" t="s">
        <v>10557</v>
      </c>
      <c r="E1400" s="306" t="s">
        <v>10969</v>
      </c>
      <c r="F1400" s="278" t="s">
        <v>4109</v>
      </c>
      <c r="G1400" s="278" t="s">
        <v>4108</v>
      </c>
      <c r="H1400" s="306" t="s">
        <v>11299</v>
      </c>
      <c r="I1400" s="269" t="s">
        <v>11300</v>
      </c>
      <c r="J1400" s="306" t="s">
        <v>10969</v>
      </c>
    </row>
    <row r="1401" spans="1:10" ht="14.5" customHeight="1" x14ac:dyDescent="0.25">
      <c r="A1401" s="278" t="s">
        <v>3705</v>
      </c>
      <c r="B1401" s="278" t="s">
        <v>10904</v>
      </c>
      <c r="C1401" s="278" t="s">
        <v>10556</v>
      </c>
      <c r="D1401" s="279" t="s">
        <v>10557</v>
      </c>
      <c r="E1401" s="306" t="s">
        <v>10969</v>
      </c>
      <c r="F1401" s="278" t="s">
        <v>4109</v>
      </c>
      <c r="G1401" s="278" t="s">
        <v>4108</v>
      </c>
      <c r="H1401" s="306" t="s">
        <v>11309</v>
      </c>
      <c r="I1401" s="269" t="s">
        <v>11310</v>
      </c>
      <c r="J1401" s="306" t="s">
        <v>10969</v>
      </c>
    </row>
    <row r="1402" spans="1:10" ht="14.5" customHeight="1" x14ac:dyDescent="0.25">
      <c r="A1402" s="278" t="s">
        <v>3705</v>
      </c>
      <c r="B1402" s="278" t="s">
        <v>10904</v>
      </c>
      <c r="C1402" s="278" t="s">
        <v>10556</v>
      </c>
      <c r="D1402" s="279" t="s">
        <v>10557</v>
      </c>
      <c r="E1402" s="306" t="s">
        <v>10969</v>
      </c>
      <c r="F1402" s="278" t="s">
        <v>4109</v>
      </c>
      <c r="G1402" s="278" t="s">
        <v>4108</v>
      </c>
      <c r="H1402" s="306" t="s">
        <v>11331</v>
      </c>
      <c r="I1402" s="269" t="s">
        <v>11332</v>
      </c>
      <c r="J1402" s="306" t="s">
        <v>10969</v>
      </c>
    </row>
    <row r="1403" spans="1:10" ht="14.5" customHeight="1" x14ac:dyDescent="0.25">
      <c r="A1403" s="278" t="s">
        <v>3705</v>
      </c>
      <c r="B1403" s="278" t="s">
        <v>10904</v>
      </c>
      <c r="C1403" s="278" t="s">
        <v>10556</v>
      </c>
      <c r="D1403" s="279" t="s">
        <v>10557</v>
      </c>
      <c r="E1403" s="306" t="s">
        <v>10969</v>
      </c>
      <c r="F1403" s="278" t="s">
        <v>4109</v>
      </c>
      <c r="G1403" s="278" t="s">
        <v>4108</v>
      </c>
      <c r="H1403" s="306" t="s">
        <v>11315</v>
      </c>
      <c r="I1403" s="269" t="s">
        <v>11316</v>
      </c>
      <c r="J1403" s="306" t="s">
        <v>10969</v>
      </c>
    </row>
    <row r="1404" spans="1:10" ht="14.5" customHeight="1" x14ac:dyDescent="0.25">
      <c r="A1404" s="278" t="s">
        <v>3705</v>
      </c>
      <c r="B1404" s="278" t="s">
        <v>10904</v>
      </c>
      <c r="C1404" s="278" t="s">
        <v>10556</v>
      </c>
      <c r="D1404" s="279" t="s">
        <v>10557</v>
      </c>
      <c r="E1404" s="306" t="s">
        <v>10969</v>
      </c>
      <c r="F1404" s="278" t="s">
        <v>4109</v>
      </c>
      <c r="G1404" s="278" t="s">
        <v>4108</v>
      </c>
      <c r="H1404" s="306" t="s">
        <v>11317</v>
      </c>
      <c r="I1404" s="269" t="s">
        <v>11318</v>
      </c>
      <c r="J1404" s="306" t="s">
        <v>10969</v>
      </c>
    </row>
    <row r="1405" spans="1:10" ht="14.5" customHeight="1" x14ac:dyDescent="0.25">
      <c r="A1405" s="278" t="s">
        <v>3705</v>
      </c>
      <c r="B1405" s="278" t="s">
        <v>10904</v>
      </c>
      <c r="C1405" s="278" t="s">
        <v>10556</v>
      </c>
      <c r="D1405" s="279" t="s">
        <v>10557</v>
      </c>
      <c r="E1405" s="306" t="s">
        <v>10969</v>
      </c>
      <c r="F1405" s="278" t="s">
        <v>4109</v>
      </c>
      <c r="G1405" s="278" t="s">
        <v>4108</v>
      </c>
      <c r="H1405" s="306" t="s">
        <v>11321</v>
      </c>
      <c r="I1405" s="269" t="s">
        <v>11322</v>
      </c>
      <c r="J1405" s="306" t="s">
        <v>10969</v>
      </c>
    </row>
    <row r="1406" spans="1:10" ht="14.5" customHeight="1" x14ac:dyDescent="0.25">
      <c r="A1406" s="278" t="s">
        <v>3705</v>
      </c>
      <c r="B1406" s="278" t="s">
        <v>10904</v>
      </c>
      <c r="C1406" s="278" t="s">
        <v>10558</v>
      </c>
      <c r="D1406" s="279" t="s">
        <v>10559</v>
      </c>
      <c r="E1406" s="306" t="s">
        <v>10969</v>
      </c>
      <c r="F1406" s="278" t="s">
        <v>4109</v>
      </c>
      <c r="G1406" s="278" t="s">
        <v>4108</v>
      </c>
      <c r="H1406" s="306" t="s">
        <v>11299</v>
      </c>
      <c r="I1406" s="269" t="s">
        <v>11300</v>
      </c>
      <c r="J1406" s="306" t="s">
        <v>10969</v>
      </c>
    </row>
    <row r="1407" spans="1:10" ht="14.5" customHeight="1" x14ac:dyDescent="0.25">
      <c r="A1407" s="278" t="s">
        <v>3705</v>
      </c>
      <c r="B1407" s="278" t="s">
        <v>10904</v>
      </c>
      <c r="C1407" s="278" t="s">
        <v>10558</v>
      </c>
      <c r="D1407" s="279" t="s">
        <v>10559</v>
      </c>
      <c r="E1407" s="306" t="s">
        <v>10969</v>
      </c>
      <c r="F1407" s="278" t="s">
        <v>4109</v>
      </c>
      <c r="G1407" s="278" t="s">
        <v>4108</v>
      </c>
      <c r="H1407" s="306" t="s">
        <v>11309</v>
      </c>
      <c r="I1407" s="269" t="s">
        <v>11310</v>
      </c>
      <c r="J1407" s="306" t="s">
        <v>10969</v>
      </c>
    </row>
    <row r="1408" spans="1:10" ht="14.5" customHeight="1" x14ac:dyDescent="0.25">
      <c r="A1408" s="278" t="s">
        <v>3705</v>
      </c>
      <c r="B1408" s="278" t="s">
        <v>10904</v>
      </c>
      <c r="C1408" s="278" t="s">
        <v>10558</v>
      </c>
      <c r="D1408" s="279" t="s">
        <v>10559</v>
      </c>
      <c r="E1408" s="306" t="s">
        <v>10969</v>
      </c>
      <c r="F1408" s="278" t="s">
        <v>4109</v>
      </c>
      <c r="G1408" s="278" t="s">
        <v>4108</v>
      </c>
      <c r="H1408" s="306" t="s">
        <v>11331</v>
      </c>
      <c r="I1408" s="269" t="s">
        <v>11332</v>
      </c>
      <c r="J1408" s="306" t="s">
        <v>10969</v>
      </c>
    </row>
    <row r="1409" spans="1:10" ht="14.5" customHeight="1" x14ac:dyDescent="0.25">
      <c r="A1409" s="278" t="s">
        <v>3705</v>
      </c>
      <c r="B1409" s="278" t="s">
        <v>10904</v>
      </c>
      <c r="C1409" s="278" t="s">
        <v>10558</v>
      </c>
      <c r="D1409" s="279" t="s">
        <v>10559</v>
      </c>
      <c r="E1409" s="306" t="s">
        <v>10969</v>
      </c>
      <c r="F1409" s="278" t="s">
        <v>4109</v>
      </c>
      <c r="G1409" s="278" t="s">
        <v>4108</v>
      </c>
      <c r="H1409" s="306" t="s">
        <v>11315</v>
      </c>
      <c r="I1409" s="269" t="s">
        <v>11316</v>
      </c>
      <c r="J1409" s="306" t="s">
        <v>10969</v>
      </c>
    </row>
    <row r="1410" spans="1:10" ht="14.5" customHeight="1" x14ac:dyDescent="0.25">
      <c r="A1410" s="278" t="s">
        <v>3705</v>
      </c>
      <c r="B1410" s="278" t="s">
        <v>10904</v>
      </c>
      <c r="C1410" s="278" t="s">
        <v>10558</v>
      </c>
      <c r="D1410" s="279" t="s">
        <v>10559</v>
      </c>
      <c r="E1410" s="306" t="s">
        <v>10969</v>
      </c>
      <c r="F1410" s="278" t="s">
        <v>4109</v>
      </c>
      <c r="G1410" s="278" t="s">
        <v>4108</v>
      </c>
      <c r="H1410" s="306" t="s">
        <v>11317</v>
      </c>
      <c r="I1410" s="269" t="s">
        <v>11318</v>
      </c>
      <c r="J1410" s="306" t="s">
        <v>10969</v>
      </c>
    </row>
    <row r="1411" spans="1:10" ht="14.5" customHeight="1" x14ac:dyDescent="0.25">
      <c r="A1411" s="278" t="s">
        <v>3705</v>
      </c>
      <c r="B1411" s="278" t="s">
        <v>10904</v>
      </c>
      <c r="C1411" s="278" t="s">
        <v>10558</v>
      </c>
      <c r="D1411" s="279" t="s">
        <v>10559</v>
      </c>
      <c r="E1411" s="306" t="s">
        <v>10969</v>
      </c>
      <c r="F1411" s="278" t="s">
        <v>4109</v>
      </c>
      <c r="G1411" s="278" t="s">
        <v>4108</v>
      </c>
      <c r="H1411" s="306" t="s">
        <v>11321</v>
      </c>
      <c r="I1411" s="269" t="s">
        <v>11322</v>
      </c>
      <c r="J1411" s="306" t="s">
        <v>10969</v>
      </c>
    </row>
    <row r="1412" spans="1:10" ht="14.5" customHeight="1" x14ac:dyDescent="0.25">
      <c r="A1412" s="278" t="s">
        <v>3705</v>
      </c>
      <c r="B1412" s="278" t="s">
        <v>10904</v>
      </c>
      <c r="C1412" s="278" t="s">
        <v>10560</v>
      </c>
      <c r="D1412" s="279" t="s">
        <v>10561</v>
      </c>
      <c r="E1412" s="306" t="s">
        <v>10969</v>
      </c>
      <c r="F1412" s="278" t="s">
        <v>4109</v>
      </c>
      <c r="G1412" s="278" t="s">
        <v>4108</v>
      </c>
      <c r="H1412" s="306" t="s">
        <v>11299</v>
      </c>
      <c r="I1412" s="269" t="s">
        <v>11300</v>
      </c>
      <c r="J1412" s="306" t="s">
        <v>10969</v>
      </c>
    </row>
    <row r="1413" spans="1:10" ht="14.5" customHeight="1" x14ac:dyDescent="0.25">
      <c r="A1413" s="278" t="s">
        <v>3705</v>
      </c>
      <c r="B1413" s="278" t="s">
        <v>10904</v>
      </c>
      <c r="C1413" s="278" t="s">
        <v>10560</v>
      </c>
      <c r="D1413" s="279" t="s">
        <v>10561</v>
      </c>
      <c r="E1413" s="306" t="s">
        <v>10969</v>
      </c>
      <c r="F1413" s="278" t="s">
        <v>4109</v>
      </c>
      <c r="G1413" s="278" t="s">
        <v>4108</v>
      </c>
      <c r="H1413" s="306" t="s">
        <v>11309</v>
      </c>
      <c r="I1413" s="269" t="s">
        <v>11310</v>
      </c>
      <c r="J1413" s="306" t="s">
        <v>10969</v>
      </c>
    </row>
    <row r="1414" spans="1:10" ht="14.5" customHeight="1" x14ac:dyDescent="0.25">
      <c r="A1414" s="278" t="s">
        <v>3705</v>
      </c>
      <c r="B1414" s="278" t="s">
        <v>10904</v>
      </c>
      <c r="C1414" s="278" t="s">
        <v>10560</v>
      </c>
      <c r="D1414" s="279" t="s">
        <v>10561</v>
      </c>
      <c r="E1414" s="306" t="s">
        <v>10969</v>
      </c>
      <c r="F1414" s="278" t="s">
        <v>4109</v>
      </c>
      <c r="G1414" s="278" t="s">
        <v>4108</v>
      </c>
      <c r="H1414" s="306" t="s">
        <v>11331</v>
      </c>
      <c r="I1414" s="269" t="s">
        <v>11332</v>
      </c>
      <c r="J1414" s="306" t="s">
        <v>10969</v>
      </c>
    </row>
    <row r="1415" spans="1:10" ht="14.5" customHeight="1" x14ac:dyDescent="0.25">
      <c r="A1415" s="278" t="s">
        <v>3705</v>
      </c>
      <c r="B1415" s="278" t="s">
        <v>10904</v>
      </c>
      <c r="C1415" s="278" t="s">
        <v>10560</v>
      </c>
      <c r="D1415" s="279" t="s">
        <v>10561</v>
      </c>
      <c r="E1415" s="306" t="s">
        <v>10969</v>
      </c>
      <c r="F1415" s="278" t="s">
        <v>4109</v>
      </c>
      <c r="G1415" s="278" t="s">
        <v>4108</v>
      </c>
      <c r="H1415" s="306" t="s">
        <v>11315</v>
      </c>
      <c r="I1415" s="269" t="s">
        <v>11316</v>
      </c>
      <c r="J1415" s="306" t="s">
        <v>10969</v>
      </c>
    </row>
    <row r="1416" spans="1:10" ht="14.5" customHeight="1" x14ac:dyDescent="0.25">
      <c r="A1416" s="278" t="s">
        <v>3705</v>
      </c>
      <c r="B1416" s="278" t="s">
        <v>10904</v>
      </c>
      <c r="C1416" s="278" t="s">
        <v>10560</v>
      </c>
      <c r="D1416" s="279" t="s">
        <v>10561</v>
      </c>
      <c r="E1416" s="306" t="s">
        <v>10969</v>
      </c>
      <c r="F1416" s="278" t="s">
        <v>4109</v>
      </c>
      <c r="G1416" s="278" t="s">
        <v>4108</v>
      </c>
      <c r="H1416" s="306" t="s">
        <v>11317</v>
      </c>
      <c r="I1416" s="269" t="s">
        <v>11318</v>
      </c>
      <c r="J1416" s="306" t="s">
        <v>10969</v>
      </c>
    </row>
    <row r="1417" spans="1:10" ht="14.5" customHeight="1" x14ac:dyDescent="0.25">
      <c r="A1417" s="278" t="s">
        <v>3705</v>
      </c>
      <c r="B1417" s="278" t="s">
        <v>10904</v>
      </c>
      <c r="C1417" s="278" t="s">
        <v>10560</v>
      </c>
      <c r="D1417" s="279" t="s">
        <v>10561</v>
      </c>
      <c r="E1417" s="306" t="s">
        <v>10969</v>
      </c>
      <c r="F1417" s="278" t="s">
        <v>4109</v>
      </c>
      <c r="G1417" s="278" t="s">
        <v>4108</v>
      </c>
      <c r="H1417" s="306" t="s">
        <v>11321</v>
      </c>
      <c r="I1417" s="269" t="s">
        <v>11322</v>
      </c>
      <c r="J1417" s="306" t="s">
        <v>10969</v>
      </c>
    </row>
    <row r="1418" spans="1:10" ht="14.5" customHeight="1" x14ac:dyDescent="0.25">
      <c r="A1418" s="278" t="s">
        <v>3705</v>
      </c>
      <c r="B1418" s="278" t="s">
        <v>10904</v>
      </c>
      <c r="C1418" s="278" t="s">
        <v>10562</v>
      </c>
      <c r="D1418" s="279" t="s">
        <v>10563</v>
      </c>
      <c r="E1418" s="306" t="s">
        <v>10969</v>
      </c>
      <c r="F1418" s="278" t="s">
        <v>4109</v>
      </c>
      <c r="G1418" s="278" t="s">
        <v>4108</v>
      </c>
      <c r="H1418" s="306" t="s">
        <v>11299</v>
      </c>
      <c r="I1418" s="269" t="s">
        <v>11300</v>
      </c>
      <c r="J1418" s="306" t="s">
        <v>10969</v>
      </c>
    </row>
    <row r="1419" spans="1:10" ht="14.5" customHeight="1" x14ac:dyDescent="0.25">
      <c r="A1419" s="278" t="s">
        <v>3705</v>
      </c>
      <c r="B1419" s="278" t="s">
        <v>10904</v>
      </c>
      <c r="C1419" s="278" t="s">
        <v>10562</v>
      </c>
      <c r="D1419" s="279" t="s">
        <v>10563</v>
      </c>
      <c r="E1419" s="306" t="s">
        <v>10969</v>
      </c>
      <c r="F1419" s="278" t="s">
        <v>4109</v>
      </c>
      <c r="G1419" s="278" t="s">
        <v>4108</v>
      </c>
      <c r="H1419" s="306" t="s">
        <v>11305</v>
      </c>
      <c r="I1419" s="269" t="s">
        <v>11306</v>
      </c>
      <c r="J1419" s="306" t="s">
        <v>10969</v>
      </c>
    </row>
    <row r="1420" spans="1:10" ht="14.5" customHeight="1" x14ac:dyDescent="0.25">
      <c r="A1420" s="278" t="s">
        <v>3705</v>
      </c>
      <c r="B1420" s="278" t="s">
        <v>10904</v>
      </c>
      <c r="C1420" s="278" t="s">
        <v>10562</v>
      </c>
      <c r="D1420" s="279" t="s">
        <v>10563</v>
      </c>
      <c r="E1420" s="306" t="s">
        <v>10969</v>
      </c>
      <c r="F1420" s="278" t="s">
        <v>4109</v>
      </c>
      <c r="G1420" s="278" t="s">
        <v>4108</v>
      </c>
      <c r="H1420" s="306" t="s">
        <v>11309</v>
      </c>
      <c r="I1420" s="269" t="s">
        <v>11310</v>
      </c>
      <c r="J1420" s="306" t="s">
        <v>10969</v>
      </c>
    </row>
    <row r="1421" spans="1:10" ht="14.5" customHeight="1" x14ac:dyDescent="0.25">
      <c r="A1421" s="278" t="s">
        <v>3705</v>
      </c>
      <c r="B1421" s="278" t="s">
        <v>10904</v>
      </c>
      <c r="C1421" s="278" t="s">
        <v>10562</v>
      </c>
      <c r="D1421" s="279" t="s">
        <v>10563</v>
      </c>
      <c r="E1421" s="306" t="s">
        <v>10969</v>
      </c>
      <c r="F1421" s="278" t="s">
        <v>4109</v>
      </c>
      <c r="G1421" s="278" t="s">
        <v>4108</v>
      </c>
      <c r="H1421" s="306" t="s">
        <v>11331</v>
      </c>
      <c r="I1421" s="269" t="s">
        <v>11332</v>
      </c>
      <c r="J1421" s="306" t="s">
        <v>10969</v>
      </c>
    </row>
    <row r="1422" spans="1:10" ht="14.5" customHeight="1" x14ac:dyDescent="0.25">
      <c r="A1422" s="278" t="s">
        <v>3705</v>
      </c>
      <c r="B1422" s="278" t="s">
        <v>10904</v>
      </c>
      <c r="C1422" s="278" t="s">
        <v>10562</v>
      </c>
      <c r="D1422" s="279" t="s">
        <v>10563</v>
      </c>
      <c r="E1422" s="306" t="s">
        <v>10969</v>
      </c>
      <c r="F1422" s="278" t="s">
        <v>4109</v>
      </c>
      <c r="G1422" s="278" t="s">
        <v>4108</v>
      </c>
      <c r="H1422" s="306" t="s">
        <v>11315</v>
      </c>
      <c r="I1422" s="269" t="s">
        <v>11316</v>
      </c>
      <c r="J1422" s="306" t="s">
        <v>10969</v>
      </c>
    </row>
    <row r="1423" spans="1:10" ht="14.5" customHeight="1" x14ac:dyDescent="0.25">
      <c r="A1423" s="278" t="s">
        <v>3705</v>
      </c>
      <c r="B1423" s="278" t="s">
        <v>10904</v>
      </c>
      <c r="C1423" s="278" t="s">
        <v>10562</v>
      </c>
      <c r="D1423" s="279" t="s">
        <v>10563</v>
      </c>
      <c r="E1423" s="306" t="s">
        <v>10969</v>
      </c>
      <c r="F1423" s="278" t="s">
        <v>4109</v>
      </c>
      <c r="G1423" s="278" t="s">
        <v>4108</v>
      </c>
      <c r="H1423" s="306" t="s">
        <v>11317</v>
      </c>
      <c r="I1423" s="269" t="s">
        <v>11318</v>
      </c>
      <c r="J1423" s="306" t="s">
        <v>10969</v>
      </c>
    </row>
    <row r="1424" spans="1:10" ht="14.5" customHeight="1" x14ac:dyDescent="0.25">
      <c r="A1424" s="278" t="s">
        <v>3705</v>
      </c>
      <c r="B1424" s="278" t="s">
        <v>10904</v>
      </c>
      <c r="C1424" s="278" t="s">
        <v>10562</v>
      </c>
      <c r="D1424" s="279" t="s">
        <v>10563</v>
      </c>
      <c r="E1424" s="306" t="s">
        <v>10969</v>
      </c>
      <c r="F1424" s="278" t="s">
        <v>4109</v>
      </c>
      <c r="G1424" s="278" t="s">
        <v>4108</v>
      </c>
      <c r="H1424" s="306" t="s">
        <v>11321</v>
      </c>
      <c r="I1424" s="269" t="s">
        <v>11322</v>
      </c>
      <c r="J1424" s="306" t="s">
        <v>10969</v>
      </c>
    </row>
    <row r="1425" spans="1:10" ht="14.5" customHeight="1" x14ac:dyDescent="0.25">
      <c r="A1425" s="278" t="s">
        <v>3705</v>
      </c>
      <c r="B1425" s="278" t="s">
        <v>10904</v>
      </c>
      <c r="C1425" s="278" t="s">
        <v>10564</v>
      </c>
      <c r="D1425" s="279" t="s">
        <v>10565</v>
      </c>
      <c r="E1425" s="306" t="s">
        <v>10969</v>
      </c>
      <c r="F1425" s="278" t="s">
        <v>4109</v>
      </c>
      <c r="G1425" s="278" t="s">
        <v>4109</v>
      </c>
      <c r="H1425" s="306" t="s">
        <v>11299</v>
      </c>
      <c r="I1425" s="269" t="s">
        <v>11300</v>
      </c>
      <c r="J1425" s="306" t="s">
        <v>10969</v>
      </c>
    </row>
    <row r="1426" spans="1:10" ht="14.5" customHeight="1" x14ac:dyDescent="0.25">
      <c r="A1426" s="278" t="s">
        <v>3705</v>
      </c>
      <c r="B1426" s="278" t="s">
        <v>10904</v>
      </c>
      <c r="C1426" s="278" t="s">
        <v>10564</v>
      </c>
      <c r="D1426" s="279" t="s">
        <v>10565</v>
      </c>
      <c r="E1426" s="306" t="s">
        <v>10969</v>
      </c>
      <c r="F1426" s="278" t="s">
        <v>4109</v>
      </c>
      <c r="G1426" s="278" t="s">
        <v>4109</v>
      </c>
      <c r="H1426" s="306" t="s">
        <v>11309</v>
      </c>
      <c r="I1426" s="269" t="s">
        <v>11310</v>
      </c>
      <c r="J1426" s="306" t="s">
        <v>10969</v>
      </c>
    </row>
    <row r="1427" spans="1:10" ht="14.5" customHeight="1" x14ac:dyDescent="0.25">
      <c r="A1427" s="278" t="s">
        <v>3705</v>
      </c>
      <c r="B1427" s="278" t="s">
        <v>10904</v>
      </c>
      <c r="C1427" s="278" t="s">
        <v>10564</v>
      </c>
      <c r="D1427" s="279" t="s">
        <v>10565</v>
      </c>
      <c r="E1427" s="306" t="s">
        <v>10969</v>
      </c>
      <c r="F1427" s="278" t="s">
        <v>4109</v>
      </c>
      <c r="G1427" s="278" t="s">
        <v>4109</v>
      </c>
      <c r="H1427" s="306" t="s">
        <v>11331</v>
      </c>
      <c r="I1427" s="269" t="s">
        <v>11332</v>
      </c>
      <c r="J1427" s="306" t="s">
        <v>10969</v>
      </c>
    </row>
    <row r="1428" spans="1:10" ht="14.5" customHeight="1" x14ac:dyDescent="0.25">
      <c r="A1428" s="278" t="s">
        <v>3705</v>
      </c>
      <c r="B1428" s="278" t="s">
        <v>10904</v>
      </c>
      <c r="C1428" s="278" t="s">
        <v>10564</v>
      </c>
      <c r="D1428" s="279" t="s">
        <v>10565</v>
      </c>
      <c r="E1428" s="306" t="s">
        <v>10969</v>
      </c>
      <c r="F1428" s="278" t="s">
        <v>4109</v>
      </c>
      <c r="G1428" s="278" t="s">
        <v>4109</v>
      </c>
      <c r="H1428" s="306" t="s">
        <v>11315</v>
      </c>
      <c r="I1428" s="269" t="s">
        <v>11316</v>
      </c>
      <c r="J1428" s="306" t="s">
        <v>10969</v>
      </c>
    </row>
    <row r="1429" spans="1:10" ht="14.5" customHeight="1" x14ac:dyDescent="0.25">
      <c r="A1429" s="278" t="s">
        <v>3705</v>
      </c>
      <c r="B1429" s="278" t="s">
        <v>10904</v>
      </c>
      <c r="C1429" s="278" t="s">
        <v>10564</v>
      </c>
      <c r="D1429" s="279" t="s">
        <v>10565</v>
      </c>
      <c r="E1429" s="306" t="s">
        <v>10969</v>
      </c>
      <c r="F1429" s="278" t="s">
        <v>4109</v>
      </c>
      <c r="G1429" s="278" t="s">
        <v>4109</v>
      </c>
      <c r="H1429" s="306" t="s">
        <v>11317</v>
      </c>
      <c r="I1429" s="269" t="s">
        <v>11318</v>
      </c>
      <c r="J1429" s="306" t="s">
        <v>10969</v>
      </c>
    </row>
    <row r="1430" spans="1:10" ht="14.5" customHeight="1" x14ac:dyDescent="0.25">
      <c r="A1430" s="278" t="s">
        <v>3705</v>
      </c>
      <c r="B1430" s="278" t="s">
        <v>10904</v>
      </c>
      <c r="C1430" s="278" t="s">
        <v>10564</v>
      </c>
      <c r="D1430" s="279" t="s">
        <v>10565</v>
      </c>
      <c r="E1430" s="306" t="s">
        <v>10969</v>
      </c>
      <c r="F1430" s="278" t="s">
        <v>4109</v>
      </c>
      <c r="G1430" s="278" t="s">
        <v>4109</v>
      </c>
      <c r="H1430" s="306" t="s">
        <v>11321</v>
      </c>
      <c r="I1430" s="269" t="s">
        <v>11322</v>
      </c>
      <c r="J1430" s="306" t="s">
        <v>10969</v>
      </c>
    </row>
    <row r="1431" spans="1:10" ht="14.5" customHeight="1" x14ac:dyDescent="0.25">
      <c r="A1431" s="278" t="s">
        <v>3705</v>
      </c>
      <c r="B1431" s="278" t="s">
        <v>10904</v>
      </c>
      <c r="C1431" s="278" t="s">
        <v>10566</v>
      </c>
      <c r="D1431" s="279" t="s">
        <v>10567</v>
      </c>
      <c r="E1431" s="306" t="s">
        <v>10969</v>
      </c>
      <c r="F1431" s="278" t="s">
        <v>4109</v>
      </c>
      <c r="G1431" s="278" t="s">
        <v>4108</v>
      </c>
      <c r="H1431" s="306" t="s">
        <v>11219</v>
      </c>
      <c r="I1431" s="269" t="s">
        <v>11220</v>
      </c>
      <c r="J1431" s="306" t="s">
        <v>10969</v>
      </c>
    </row>
    <row r="1432" spans="1:10" ht="14.5" customHeight="1" x14ac:dyDescent="0.25">
      <c r="A1432" s="278" t="s">
        <v>3705</v>
      </c>
      <c r="B1432" s="278" t="s">
        <v>10904</v>
      </c>
      <c r="C1432" s="278" t="s">
        <v>10566</v>
      </c>
      <c r="D1432" s="279" t="s">
        <v>10567</v>
      </c>
      <c r="E1432" s="306" t="s">
        <v>10969</v>
      </c>
      <c r="F1432" s="278" t="s">
        <v>4109</v>
      </c>
      <c r="G1432" s="278" t="s">
        <v>4108</v>
      </c>
      <c r="H1432" s="306" t="s">
        <v>11299</v>
      </c>
      <c r="I1432" s="269" t="s">
        <v>11300</v>
      </c>
      <c r="J1432" s="306" t="s">
        <v>10969</v>
      </c>
    </row>
    <row r="1433" spans="1:10" ht="14.5" customHeight="1" x14ac:dyDescent="0.25">
      <c r="A1433" s="278" t="s">
        <v>3705</v>
      </c>
      <c r="B1433" s="278" t="s">
        <v>10904</v>
      </c>
      <c r="C1433" s="278" t="s">
        <v>10566</v>
      </c>
      <c r="D1433" s="279" t="s">
        <v>10567</v>
      </c>
      <c r="E1433" s="306" t="s">
        <v>10969</v>
      </c>
      <c r="F1433" s="278" t="s">
        <v>4109</v>
      </c>
      <c r="G1433" s="278" t="s">
        <v>4108</v>
      </c>
      <c r="H1433" s="306" t="s">
        <v>11309</v>
      </c>
      <c r="I1433" s="269" t="s">
        <v>11310</v>
      </c>
      <c r="J1433" s="306" t="s">
        <v>10969</v>
      </c>
    </row>
    <row r="1434" spans="1:10" ht="14.5" customHeight="1" x14ac:dyDescent="0.25">
      <c r="A1434" s="278" t="s">
        <v>3705</v>
      </c>
      <c r="B1434" s="278" t="s">
        <v>10904</v>
      </c>
      <c r="C1434" s="278" t="s">
        <v>10566</v>
      </c>
      <c r="D1434" s="279" t="s">
        <v>10567</v>
      </c>
      <c r="E1434" s="306" t="s">
        <v>10969</v>
      </c>
      <c r="F1434" s="278" t="s">
        <v>4109</v>
      </c>
      <c r="G1434" s="278" t="s">
        <v>4108</v>
      </c>
      <c r="H1434" s="306" t="s">
        <v>11331</v>
      </c>
      <c r="I1434" s="269" t="s">
        <v>11332</v>
      </c>
      <c r="J1434" s="306" t="s">
        <v>10969</v>
      </c>
    </row>
    <row r="1435" spans="1:10" ht="14.5" customHeight="1" x14ac:dyDescent="0.25">
      <c r="A1435" s="278" t="s">
        <v>3705</v>
      </c>
      <c r="B1435" s="278" t="s">
        <v>10904</v>
      </c>
      <c r="C1435" s="278" t="s">
        <v>10566</v>
      </c>
      <c r="D1435" s="279" t="s">
        <v>10567</v>
      </c>
      <c r="E1435" s="306" t="s">
        <v>10969</v>
      </c>
      <c r="F1435" s="278" t="s">
        <v>4109</v>
      </c>
      <c r="G1435" s="278" t="s">
        <v>4108</v>
      </c>
      <c r="H1435" s="306" t="s">
        <v>11315</v>
      </c>
      <c r="I1435" s="269" t="s">
        <v>11316</v>
      </c>
      <c r="J1435" s="306" t="s">
        <v>10969</v>
      </c>
    </row>
    <row r="1436" spans="1:10" ht="14.5" customHeight="1" x14ac:dyDescent="0.25">
      <c r="A1436" s="278" t="s">
        <v>3705</v>
      </c>
      <c r="B1436" s="278" t="s">
        <v>10904</v>
      </c>
      <c r="C1436" s="278" t="s">
        <v>10566</v>
      </c>
      <c r="D1436" s="279" t="s">
        <v>10567</v>
      </c>
      <c r="E1436" s="306" t="s">
        <v>10969</v>
      </c>
      <c r="F1436" s="278" t="s">
        <v>4109</v>
      </c>
      <c r="G1436" s="278" t="s">
        <v>4108</v>
      </c>
      <c r="H1436" s="306" t="s">
        <v>11317</v>
      </c>
      <c r="I1436" s="269" t="s">
        <v>11318</v>
      </c>
      <c r="J1436" s="306" t="s">
        <v>10969</v>
      </c>
    </row>
    <row r="1437" spans="1:10" ht="14.5" customHeight="1" x14ac:dyDescent="0.25">
      <c r="A1437" s="278" t="s">
        <v>3705</v>
      </c>
      <c r="B1437" s="278" t="s">
        <v>10904</v>
      </c>
      <c r="C1437" s="278" t="s">
        <v>10566</v>
      </c>
      <c r="D1437" s="279" t="s">
        <v>10567</v>
      </c>
      <c r="E1437" s="306" t="s">
        <v>10969</v>
      </c>
      <c r="F1437" s="278" t="s">
        <v>4109</v>
      </c>
      <c r="G1437" s="278" t="s">
        <v>4108</v>
      </c>
      <c r="H1437" s="306" t="s">
        <v>11221</v>
      </c>
      <c r="I1437" s="269" t="s">
        <v>11222</v>
      </c>
      <c r="J1437" s="306" t="s">
        <v>10969</v>
      </c>
    </row>
    <row r="1438" spans="1:10" ht="14.5" customHeight="1" x14ac:dyDescent="0.25">
      <c r="A1438" s="278" t="s">
        <v>3705</v>
      </c>
      <c r="B1438" s="278" t="s">
        <v>10904</v>
      </c>
      <c r="C1438" s="278" t="s">
        <v>10566</v>
      </c>
      <c r="D1438" s="279" t="s">
        <v>10567</v>
      </c>
      <c r="E1438" s="306" t="s">
        <v>10969</v>
      </c>
      <c r="F1438" s="278" t="s">
        <v>4109</v>
      </c>
      <c r="G1438" s="278" t="s">
        <v>4108</v>
      </c>
      <c r="H1438" s="306" t="s">
        <v>11321</v>
      </c>
      <c r="I1438" s="269" t="s">
        <v>11322</v>
      </c>
      <c r="J1438" s="306" t="s">
        <v>10969</v>
      </c>
    </row>
    <row r="1439" spans="1:10" ht="14.5" customHeight="1" x14ac:dyDescent="0.25">
      <c r="A1439" s="278" t="s">
        <v>3705</v>
      </c>
      <c r="B1439" s="278" t="s">
        <v>10904</v>
      </c>
      <c r="C1439" s="278" t="s">
        <v>10568</v>
      </c>
      <c r="D1439" s="279" t="s">
        <v>10569</v>
      </c>
      <c r="E1439" s="306" t="s">
        <v>10969</v>
      </c>
      <c r="F1439" s="278" t="s">
        <v>4109</v>
      </c>
      <c r="G1439" s="278" t="s">
        <v>4108</v>
      </c>
      <c r="H1439" s="306" t="s">
        <v>11219</v>
      </c>
      <c r="I1439" s="269" t="s">
        <v>11220</v>
      </c>
      <c r="J1439" s="306" t="s">
        <v>10969</v>
      </c>
    </row>
    <row r="1440" spans="1:10" ht="14.5" customHeight="1" x14ac:dyDescent="0.25">
      <c r="A1440" s="278" t="s">
        <v>3705</v>
      </c>
      <c r="B1440" s="278" t="s">
        <v>10904</v>
      </c>
      <c r="C1440" s="278" t="s">
        <v>10568</v>
      </c>
      <c r="D1440" s="279" t="s">
        <v>10569</v>
      </c>
      <c r="E1440" s="306" t="s">
        <v>10969</v>
      </c>
      <c r="F1440" s="278" t="s">
        <v>4109</v>
      </c>
      <c r="G1440" s="278" t="s">
        <v>4108</v>
      </c>
      <c r="H1440" s="306" t="s">
        <v>11301</v>
      </c>
      <c r="I1440" s="269" t="s">
        <v>11302</v>
      </c>
      <c r="J1440" s="306" t="s">
        <v>10969</v>
      </c>
    </row>
    <row r="1441" spans="1:10" ht="14.5" customHeight="1" x14ac:dyDescent="0.25">
      <c r="A1441" s="278" t="s">
        <v>3705</v>
      </c>
      <c r="B1441" s="278" t="s">
        <v>10904</v>
      </c>
      <c r="C1441" s="278" t="s">
        <v>10568</v>
      </c>
      <c r="D1441" s="279" t="s">
        <v>10569</v>
      </c>
      <c r="E1441" s="306" t="s">
        <v>10969</v>
      </c>
      <c r="F1441" s="278" t="s">
        <v>4109</v>
      </c>
      <c r="G1441" s="278" t="s">
        <v>4108</v>
      </c>
      <c r="H1441" s="306" t="s">
        <v>11309</v>
      </c>
      <c r="I1441" s="269" t="s">
        <v>11310</v>
      </c>
      <c r="J1441" s="306" t="s">
        <v>10969</v>
      </c>
    </row>
    <row r="1442" spans="1:10" ht="14.5" customHeight="1" x14ac:dyDescent="0.25">
      <c r="A1442" s="278" t="s">
        <v>3705</v>
      </c>
      <c r="B1442" s="278" t="s">
        <v>10904</v>
      </c>
      <c r="C1442" s="278" t="s">
        <v>10568</v>
      </c>
      <c r="D1442" s="279" t="s">
        <v>10569</v>
      </c>
      <c r="E1442" s="306" t="s">
        <v>10969</v>
      </c>
      <c r="F1442" s="278" t="s">
        <v>4109</v>
      </c>
      <c r="G1442" s="278" t="s">
        <v>4108</v>
      </c>
      <c r="H1442" s="306" t="s">
        <v>11311</v>
      </c>
      <c r="I1442" s="269" t="s">
        <v>11312</v>
      </c>
      <c r="J1442" s="306" t="s">
        <v>10969</v>
      </c>
    </row>
    <row r="1443" spans="1:10" ht="14.5" customHeight="1" x14ac:dyDescent="0.25">
      <c r="A1443" s="278" t="s">
        <v>3705</v>
      </c>
      <c r="B1443" s="278" t="s">
        <v>10904</v>
      </c>
      <c r="C1443" s="278" t="s">
        <v>10568</v>
      </c>
      <c r="D1443" s="279" t="s">
        <v>10569</v>
      </c>
      <c r="E1443" s="306" t="s">
        <v>10969</v>
      </c>
      <c r="F1443" s="278" t="s">
        <v>4109</v>
      </c>
      <c r="G1443" s="278" t="s">
        <v>4108</v>
      </c>
      <c r="H1443" s="306" t="s">
        <v>11315</v>
      </c>
      <c r="I1443" s="269" t="s">
        <v>11316</v>
      </c>
      <c r="J1443" s="306" t="s">
        <v>10969</v>
      </c>
    </row>
    <row r="1444" spans="1:10" ht="14.5" customHeight="1" x14ac:dyDescent="0.25">
      <c r="A1444" s="278" t="s">
        <v>3705</v>
      </c>
      <c r="B1444" s="278" t="s">
        <v>10904</v>
      </c>
      <c r="C1444" s="278" t="s">
        <v>10568</v>
      </c>
      <c r="D1444" s="279" t="s">
        <v>10569</v>
      </c>
      <c r="E1444" s="306" t="s">
        <v>10969</v>
      </c>
      <c r="F1444" s="278" t="s">
        <v>4109</v>
      </c>
      <c r="G1444" s="278" t="s">
        <v>4108</v>
      </c>
      <c r="H1444" s="306" t="s">
        <v>11317</v>
      </c>
      <c r="I1444" s="269" t="s">
        <v>11318</v>
      </c>
      <c r="J1444" s="306" t="s">
        <v>10969</v>
      </c>
    </row>
    <row r="1445" spans="1:10" ht="14.5" customHeight="1" x14ac:dyDescent="0.25">
      <c r="A1445" s="278" t="s">
        <v>3705</v>
      </c>
      <c r="B1445" s="278" t="s">
        <v>10904</v>
      </c>
      <c r="C1445" s="278" t="s">
        <v>10568</v>
      </c>
      <c r="D1445" s="279" t="s">
        <v>10569</v>
      </c>
      <c r="E1445" s="306" t="s">
        <v>10969</v>
      </c>
      <c r="F1445" s="278" t="s">
        <v>4109</v>
      </c>
      <c r="G1445" s="278" t="s">
        <v>4108</v>
      </c>
      <c r="H1445" s="306" t="s">
        <v>11221</v>
      </c>
      <c r="I1445" s="269" t="s">
        <v>11222</v>
      </c>
      <c r="J1445" s="306" t="s">
        <v>10969</v>
      </c>
    </row>
    <row r="1446" spans="1:10" ht="14.5" customHeight="1" x14ac:dyDescent="0.25">
      <c r="A1446" s="278" t="s">
        <v>3705</v>
      </c>
      <c r="B1446" s="278" t="s">
        <v>10904</v>
      </c>
      <c r="C1446" s="278" t="s">
        <v>10568</v>
      </c>
      <c r="D1446" s="279" t="s">
        <v>10569</v>
      </c>
      <c r="E1446" s="306" t="s">
        <v>10969</v>
      </c>
      <c r="F1446" s="278" t="s">
        <v>4109</v>
      </c>
      <c r="G1446" s="278" t="s">
        <v>4108</v>
      </c>
      <c r="H1446" s="306" t="s">
        <v>11321</v>
      </c>
      <c r="I1446" s="269" t="s">
        <v>11322</v>
      </c>
      <c r="J1446" s="306" t="s">
        <v>10969</v>
      </c>
    </row>
    <row r="1447" spans="1:10" ht="14.5" customHeight="1" x14ac:dyDescent="0.25">
      <c r="A1447" s="278" t="s">
        <v>3705</v>
      </c>
      <c r="B1447" s="278" t="s">
        <v>10904</v>
      </c>
      <c r="C1447" s="278" t="s">
        <v>10570</v>
      </c>
      <c r="D1447" s="279" t="s">
        <v>10571</v>
      </c>
      <c r="E1447" s="306" t="s">
        <v>10969</v>
      </c>
      <c r="F1447" s="278" t="s">
        <v>4109</v>
      </c>
      <c r="G1447" s="278" t="s">
        <v>4108</v>
      </c>
      <c r="H1447" s="306" t="s">
        <v>11297</v>
      </c>
      <c r="I1447" s="269" t="s">
        <v>11298</v>
      </c>
      <c r="J1447" s="306" t="s">
        <v>10969</v>
      </c>
    </row>
    <row r="1448" spans="1:10" ht="14.5" customHeight="1" x14ac:dyDescent="0.25">
      <c r="A1448" s="278" t="s">
        <v>3705</v>
      </c>
      <c r="B1448" s="278" t="s">
        <v>10904</v>
      </c>
      <c r="C1448" s="278" t="s">
        <v>10570</v>
      </c>
      <c r="D1448" s="279" t="s">
        <v>10571</v>
      </c>
      <c r="E1448" s="306" t="s">
        <v>10969</v>
      </c>
      <c r="F1448" s="278" t="s">
        <v>4109</v>
      </c>
      <c r="G1448" s="278" t="s">
        <v>4108</v>
      </c>
      <c r="H1448" s="306" t="s">
        <v>11299</v>
      </c>
      <c r="I1448" s="269" t="s">
        <v>11300</v>
      </c>
      <c r="J1448" s="306" t="s">
        <v>10969</v>
      </c>
    </row>
    <row r="1449" spans="1:10" ht="14.5" customHeight="1" x14ac:dyDescent="0.25">
      <c r="A1449" s="278" t="s">
        <v>3705</v>
      </c>
      <c r="B1449" s="278" t="s">
        <v>10904</v>
      </c>
      <c r="C1449" s="278" t="s">
        <v>10570</v>
      </c>
      <c r="D1449" s="279" t="s">
        <v>10571</v>
      </c>
      <c r="E1449" s="306" t="s">
        <v>10969</v>
      </c>
      <c r="F1449" s="278" t="s">
        <v>4109</v>
      </c>
      <c r="G1449" s="278" t="s">
        <v>4108</v>
      </c>
      <c r="H1449" s="306" t="s">
        <v>11301</v>
      </c>
      <c r="I1449" s="269" t="s">
        <v>11302</v>
      </c>
      <c r="J1449" s="306" t="s">
        <v>10969</v>
      </c>
    </row>
    <row r="1450" spans="1:10" ht="14.5" customHeight="1" x14ac:dyDescent="0.25">
      <c r="A1450" s="278" t="s">
        <v>3705</v>
      </c>
      <c r="B1450" s="278" t="s">
        <v>10904</v>
      </c>
      <c r="C1450" s="278" t="s">
        <v>10570</v>
      </c>
      <c r="D1450" s="279" t="s">
        <v>10571</v>
      </c>
      <c r="E1450" s="306" t="s">
        <v>10969</v>
      </c>
      <c r="F1450" s="278" t="s">
        <v>4109</v>
      </c>
      <c r="G1450" s="278" t="s">
        <v>4108</v>
      </c>
      <c r="H1450" s="306" t="s">
        <v>11303</v>
      </c>
      <c r="I1450" s="269" t="s">
        <v>11304</v>
      </c>
      <c r="J1450" s="306" t="s">
        <v>10969</v>
      </c>
    </row>
    <row r="1451" spans="1:10" ht="14.5" customHeight="1" x14ac:dyDescent="0.25">
      <c r="A1451" s="278" t="s">
        <v>3705</v>
      </c>
      <c r="B1451" s="278" t="s">
        <v>10904</v>
      </c>
      <c r="C1451" s="278" t="s">
        <v>10570</v>
      </c>
      <c r="D1451" s="279" t="s">
        <v>10571</v>
      </c>
      <c r="E1451" s="306" t="s">
        <v>10969</v>
      </c>
      <c r="F1451" s="278" t="s">
        <v>4109</v>
      </c>
      <c r="G1451" s="278" t="s">
        <v>4108</v>
      </c>
      <c r="H1451" s="306" t="s">
        <v>11323</v>
      </c>
      <c r="I1451" s="269" t="s">
        <v>11324</v>
      </c>
      <c r="J1451" s="306" t="s">
        <v>10969</v>
      </c>
    </row>
    <row r="1452" spans="1:10" ht="14.5" customHeight="1" x14ac:dyDescent="0.25">
      <c r="A1452" s="278" t="s">
        <v>3705</v>
      </c>
      <c r="B1452" s="278" t="s">
        <v>10904</v>
      </c>
      <c r="C1452" s="278" t="s">
        <v>10570</v>
      </c>
      <c r="D1452" s="279" t="s">
        <v>10571</v>
      </c>
      <c r="E1452" s="306" t="s">
        <v>10969</v>
      </c>
      <c r="F1452" s="278" t="s">
        <v>4109</v>
      </c>
      <c r="G1452" s="278" t="s">
        <v>4108</v>
      </c>
      <c r="H1452" s="306" t="s">
        <v>11325</v>
      </c>
      <c r="I1452" s="269" t="s">
        <v>11326</v>
      </c>
      <c r="J1452" s="306" t="s">
        <v>10969</v>
      </c>
    </row>
    <row r="1453" spans="1:10" ht="14.5" customHeight="1" x14ac:dyDescent="0.25">
      <c r="A1453" s="278" t="s">
        <v>3705</v>
      </c>
      <c r="B1453" s="278" t="s">
        <v>10904</v>
      </c>
      <c r="C1453" s="278" t="s">
        <v>10570</v>
      </c>
      <c r="D1453" s="279" t="s">
        <v>10571</v>
      </c>
      <c r="E1453" s="306" t="s">
        <v>10969</v>
      </c>
      <c r="F1453" s="278" t="s">
        <v>4109</v>
      </c>
      <c r="G1453" s="278" t="s">
        <v>4108</v>
      </c>
      <c r="H1453" s="306" t="s">
        <v>11305</v>
      </c>
      <c r="I1453" s="269" t="s">
        <v>11306</v>
      </c>
      <c r="J1453" s="306" t="s">
        <v>10969</v>
      </c>
    </row>
    <row r="1454" spans="1:10" ht="14.5" customHeight="1" x14ac:dyDescent="0.25">
      <c r="A1454" s="278" t="s">
        <v>3705</v>
      </c>
      <c r="B1454" s="278" t="s">
        <v>10904</v>
      </c>
      <c r="C1454" s="278" t="s">
        <v>10570</v>
      </c>
      <c r="D1454" s="279" t="s">
        <v>10571</v>
      </c>
      <c r="E1454" s="306" t="s">
        <v>10969</v>
      </c>
      <c r="F1454" s="278" t="s">
        <v>4109</v>
      </c>
      <c r="G1454" s="278" t="s">
        <v>4108</v>
      </c>
      <c r="H1454" s="306" t="s">
        <v>11307</v>
      </c>
      <c r="I1454" s="269" t="s">
        <v>11308</v>
      </c>
      <c r="J1454" s="306" t="s">
        <v>10969</v>
      </c>
    </row>
    <row r="1455" spans="1:10" ht="14.5" customHeight="1" x14ac:dyDescent="0.25">
      <c r="A1455" s="278" t="s">
        <v>3705</v>
      </c>
      <c r="B1455" s="278" t="s">
        <v>10904</v>
      </c>
      <c r="C1455" s="278" t="s">
        <v>10570</v>
      </c>
      <c r="D1455" s="279" t="s">
        <v>10571</v>
      </c>
      <c r="E1455" s="306" t="s">
        <v>10969</v>
      </c>
      <c r="F1455" s="278" t="s">
        <v>4109</v>
      </c>
      <c r="G1455" s="278" t="s">
        <v>4108</v>
      </c>
      <c r="H1455" s="306" t="s">
        <v>11309</v>
      </c>
      <c r="I1455" s="269" t="s">
        <v>11310</v>
      </c>
      <c r="J1455" s="306" t="s">
        <v>10969</v>
      </c>
    </row>
    <row r="1456" spans="1:10" ht="14.5" customHeight="1" x14ac:dyDescent="0.25">
      <c r="A1456" s="278" t="s">
        <v>3705</v>
      </c>
      <c r="B1456" s="278" t="s">
        <v>10904</v>
      </c>
      <c r="C1456" s="278" t="s">
        <v>10570</v>
      </c>
      <c r="D1456" s="279" t="s">
        <v>10571</v>
      </c>
      <c r="E1456" s="306" t="s">
        <v>10969</v>
      </c>
      <c r="F1456" s="278" t="s">
        <v>4109</v>
      </c>
      <c r="G1456" s="278" t="s">
        <v>4108</v>
      </c>
      <c r="H1456" s="306" t="s">
        <v>11313</v>
      </c>
      <c r="I1456" s="269" t="s">
        <v>11314</v>
      </c>
      <c r="J1456" s="306" t="s">
        <v>10969</v>
      </c>
    </row>
    <row r="1457" spans="1:10" ht="14.5" customHeight="1" x14ac:dyDescent="0.25">
      <c r="A1457" s="278" t="s">
        <v>3705</v>
      </c>
      <c r="B1457" s="278" t="s">
        <v>10904</v>
      </c>
      <c r="C1457" s="278" t="s">
        <v>10570</v>
      </c>
      <c r="D1457" s="279" t="s">
        <v>10571</v>
      </c>
      <c r="E1457" s="306" t="s">
        <v>10969</v>
      </c>
      <c r="F1457" s="278" t="s">
        <v>4109</v>
      </c>
      <c r="G1457" s="278" t="s">
        <v>4108</v>
      </c>
      <c r="H1457" s="306" t="s">
        <v>11315</v>
      </c>
      <c r="I1457" s="269" t="s">
        <v>11316</v>
      </c>
      <c r="J1457" s="306" t="s">
        <v>10969</v>
      </c>
    </row>
    <row r="1458" spans="1:10" ht="14.5" customHeight="1" x14ac:dyDescent="0.25">
      <c r="A1458" s="278" t="s">
        <v>3705</v>
      </c>
      <c r="B1458" s="278" t="s">
        <v>10904</v>
      </c>
      <c r="C1458" s="278" t="s">
        <v>10570</v>
      </c>
      <c r="D1458" s="279" t="s">
        <v>10571</v>
      </c>
      <c r="E1458" s="306" t="s">
        <v>10969</v>
      </c>
      <c r="F1458" s="278" t="s">
        <v>4109</v>
      </c>
      <c r="G1458" s="278" t="s">
        <v>4108</v>
      </c>
      <c r="H1458" s="306" t="s">
        <v>11317</v>
      </c>
      <c r="I1458" s="269" t="s">
        <v>11318</v>
      </c>
      <c r="J1458" s="306" t="s">
        <v>10969</v>
      </c>
    </row>
    <row r="1459" spans="1:10" ht="14.5" customHeight="1" x14ac:dyDescent="0.25">
      <c r="A1459" s="278" t="s">
        <v>3705</v>
      </c>
      <c r="B1459" s="278" t="s">
        <v>10904</v>
      </c>
      <c r="C1459" s="278" t="s">
        <v>10570</v>
      </c>
      <c r="D1459" s="279" t="s">
        <v>10571</v>
      </c>
      <c r="E1459" s="306" t="s">
        <v>10969</v>
      </c>
      <c r="F1459" s="278" t="s">
        <v>4109</v>
      </c>
      <c r="G1459" s="278" t="s">
        <v>4108</v>
      </c>
      <c r="H1459" s="306" t="s">
        <v>11321</v>
      </c>
      <c r="I1459" s="269" t="s">
        <v>11322</v>
      </c>
      <c r="J1459" s="306" t="s">
        <v>10969</v>
      </c>
    </row>
    <row r="1460" spans="1:10" ht="14.5" customHeight="1" x14ac:dyDescent="0.25">
      <c r="A1460" s="278" t="s">
        <v>3705</v>
      </c>
      <c r="B1460" s="278" t="s">
        <v>10904</v>
      </c>
      <c r="C1460" s="278" t="s">
        <v>10572</v>
      </c>
      <c r="D1460" s="279" t="s">
        <v>10573</v>
      </c>
      <c r="E1460" s="306" t="s">
        <v>10969</v>
      </c>
      <c r="F1460" s="278" t="s">
        <v>4109</v>
      </c>
      <c r="G1460" s="278" t="s">
        <v>4108</v>
      </c>
      <c r="H1460" s="306" t="s">
        <v>11297</v>
      </c>
      <c r="I1460" s="269" t="s">
        <v>11298</v>
      </c>
      <c r="J1460" s="306" t="s">
        <v>10969</v>
      </c>
    </row>
    <row r="1461" spans="1:10" ht="14.5" customHeight="1" x14ac:dyDescent="0.25">
      <c r="A1461" s="278" t="s">
        <v>3705</v>
      </c>
      <c r="B1461" s="278" t="s">
        <v>10904</v>
      </c>
      <c r="C1461" s="278" t="s">
        <v>10572</v>
      </c>
      <c r="D1461" s="279" t="s">
        <v>10573</v>
      </c>
      <c r="E1461" s="306" t="s">
        <v>10969</v>
      </c>
      <c r="F1461" s="278" t="s">
        <v>4109</v>
      </c>
      <c r="G1461" s="278" t="s">
        <v>4108</v>
      </c>
      <c r="H1461" s="306" t="s">
        <v>11301</v>
      </c>
      <c r="I1461" s="269" t="s">
        <v>11302</v>
      </c>
      <c r="J1461" s="306" t="s">
        <v>10969</v>
      </c>
    </row>
    <row r="1462" spans="1:10" ht="14.5" customHeight="1" x14ac:dyDescent="0.25">
      <c r="A1462" s="278" t="s">
        <v>3705</v>
      </c>
      <c r="B1462" s="278" t="s">
        <v>10904</v>
      </c>
      <c r="C1462" s="278" t="s">
        <v>10572</v>
      </c>
      <c r="D1462" s="279" t="s">
        <v>10573</v>
      </c>
      <c r="E1462" s="306" t="s">
        <v>10969</v>
      </c>
      <c r="F1462" s="278" t="s">
        <v>4109</v>
      </c>
      <c r="G1462" s="278" t="s">
        <v>4108</v>
      </c>
      <c r="H1462" s="306" t="s">
        <v>11323</v>
      </c>
      <c r="I1462" s="269" t="s">
        <v>11324</v>
      </c>
      <c r="J1462" s="306" t="s">
        <v>10969</v>
      </c>
    </row>
    <row r="1463" spans="1:10" ht="14.5" customHeight="1" x14ac:dyDescent="0.25">
      <c r="A1463" s="278" t="s">
        <v>3705</v>
      </c>
      <c r="B1463" s="278" t="s">
        <v>10904</v>
      </c>
      <c r="C1463" s="278" t="s">
        <v>10572</v>
      </c>
      <c r="D1463" s="279" t="s">
        <v>10573</v>
      </c>
      <c r="E1463" s="306" t="s">
        <v>10969</v>
      </c>
      <c r="F1463" s="278" t="s">
        <v>4109</v>
      </c>
      <c r="G1463" s="278" t="s">
        <v>4108</v>
      </c>
      <c r="H1463" s="306" t="s">
        <v>11325</v>
      </c>
      <c r="I1463" s="269" t="s">
        <v>11326</v>
      </c>
      <c r="J1463" s="306" t="s">
        <v>10969</v>
      </c>
    </row>
    <row r="1464" spans="1:10" ht="14.5" customHeight="1" x14ac:dyDescent="0.25">
      <c r="A1464" s="278" t="s">
        <v>3705</v>
      </c>
      <c r="B1464" s="278" t="s">
        <v>10904</v>
      </c>
      <c r="C1464" s="278" t="s">
        <v>10572</v>
      </c>
      <c r="D1464" s="279" t="s">
        <v>10573</v>
      </c>
      <c r="E1464" s="306" t="s">
        <v>10969</v>
      </c>
      <c r="F1464" s="278" t="s">
        <v>4109</v>
      </c>
      <c r="G1464" s="278" t="s">
        <v>4108</v>
      </c>
      <c r="H1464" s="306" t="s">
        <v>11305</v>
      </c>
      <c r="I1464" s="269" t="s">
        <v>11306</v>
      </c>
      <c r="J1464" s="306" t="s">
        <v>10969</v>
      </c>
    </row>
    <row r="1465" spans="1:10" ht="14.5" customHeight="1" x14ac:dyDescent="0.25">
      <c r="A1465" s="278" t="s">
        <v>3705</v>
      </c>
      <c r="B1465" s="278" t="s">
        <v>10904</v>
      </c>
      <c r="C1465" s="278" t="s">
        <v>10572</v>
      </c>
      <c r="D1465" s="279" t="s">
        <v>10573</v>
      </c>
      <c r="E1465" s="306" t="s">
        <v>10969</v>
      </c>
      <c r="F1465" s="278" t="s">
        <v>4109</v>
      </c>
      <c r="G1465" s="278" t="s">
        <v>4108</v>
      </c>
      <c r="H1465" s="306" t="s">
        <v>11329</v>
      </c>
      <c r="I1465" s="269" t="s">
        <v>11330</v>
      </c>
      <c r="J1465" s="306" t="s">
        <v>10969</v>
      </c>
    </row>
    <row r="1466" spans="1:10" ht="14.5" customHeight="1" x14ac:dyDescent="0.25">
      <c r="A1466" s="278" t="s">
        <v>3705</v>
      </c>
      <c r="B1466" s="278" t="s">
        <v>10904</v>
      </c>
      <c r="C1466" s="278" t="s">
        <v>10572</v>
      </c>
      <c r="D1466" s="279" t="s">
        <v>10573</v>
      </c>
      <c r="E1466" s="306" t="s">
        <v>10969</v>
      </c>
      <c r="F1466" s="278" t="s">
        <v>4109</v>
      </c>
      <c r="G1466" s="278" t="s">
        <v>4108</v>
      </c>
      <c r="H1466" s="306" t="s">
        <v>11313</v>
      </c>
      <c r="I1466" s="269" t="s">
        <v>11314</v>
      </c>
      <c r="J1466" s="306" t="s">
        <v>10969</v>
      </c>
    </row>
    <row r="1467" spans="1:10" ht="14.5" customHeight="1" x14ac:dyDescent="0.25">
      <c r="A1467" s="278" t="s">
        <v>3705</v>
      </c>
      <c r="B1467" s="278" t="s">
        <v>10904</v>
      </c>
      <c r="C1467" s="278" t="s">
        <v>10572</v>
      </c>
      <c r="D1467" s="279" t="s">
        <v>10573</v>
      </c>
      <c r="E1467" s="306" t="s">
        <v>10969</v>
      </c>
      <c r="F1467" s="278" t="s">
        <v>4109</v>
      </c>
      <c r="G1467" s="278" t="s">
        <v>4108</v>
      </c>
      <c r="H1467" s="306" t="s">
        <v>11321</v>
      </c>
      <c r="I1467" s="269" t="s">
        <v>11322</v>
      </c>
      <c r="J1467" s="306" t="s">
        <v>10969</v>
      </c>
    </row>
    <row r="1468" spans="1:10" ht="14.5" customHeight="1" x14ac:dyDescent="0.25">
      <c r="A1468" s="278" t="s">
        <v>3705</v>
      </c>
      <c r="B1468" s="278" t="s">
        <v>10904</v>
      </c>
      <c r="C1468" s="278" t="s">
        <v>10574</v>
      </c>
      <c r="D1468" s="279" t="s">
        <v>10575</v>
      </c>
      <c r="E1468" s="306" t="s">
        <v>10969</v>
      </c>
      <c r="F1468" s="278" t="s">
        <v>4109</v>
      </c>
      <c r="G1468" s="278" t="s">
        <v>4108</v>
      </c>
      <c r="H1468" s="306" t="s">
        <v>11297</v>
      </c>
      <c r="I1468" s="269" t="s">
        <v>11298</v>
      </c>
      <c r="J1468" s="306" t="s">
        <v>10969</v>
      </c>
    </row>
    <row r="1469" spans="1:10" ht="14.5" customHeight="1" x14ac:dyDescent="0.25">
      <c r="A1469" s="278" t="s">
        <v>3705</v>
      </c>
      <c r="B1469" s="278" t="s">
        <v>10904</v>
      </c>
      <c r="C1469" s="278" t="s">
        <v>10574</v>
      </c>
      <c r="D1469" s="279" t="s">
        <v>10575</v>
      </c>
      <c r="E1469" s="306" t="s">
        <v>10969</v>
      </c>
      <c r="F1469" s="278" t="s">
        <v>4109</v>
      </c>
      <c r="G1469" s="278" t="s">
        <v>4108</v>
      </c>
      <c r="H1469" s="306" t="s">
        <v>11299</v>
      </c>
      <c r="I1469" s="269" t="s">
        <v>11300</v>
      </c>
      <c r="J1469" s="306" t="s">
        <v>10969</v>
      </c>
    </row>
    <row r="1470" spans="1:10" ht="14.5" customHeight="1" x14ac:dyDescent="0.25">
      <c r="A1470" s="278" t="s">
        <v>3705</v>
      </c>
      <c r="B1470" s="278" t="s">
        <v>10904</v>
      </c>
      <c r="C1470" s="278" t="s">
        <v>10574</v>
      </c>
      <c r="D1470" s="279" t="s">
        <v>10575</v>
      </c>
      <c r="E1470" s="306" t="s">
        <v>10969</v>
      </c>
      <c r="F1470" s="278" t="s">
        <v>4109</v>
      </c>
      <c r="G1470" s="278" t="s">
        <v>4108</v>
      </c>
      <c r="H1470" s="306" t="s">
        <v>11301</v>
      </c>
      <c r="I1470" s="269" t="s">
        <v>11302</v>
      </c>
      <c r="J1470" s="306" t="s">
        <v>10969</v>
      </c>
    </row>
    <row r="1471" spans="1:10" ht="14.5" customHeight="1" x14ac:dyDescent="0.25">
      <c r="A1471" s="278" t="s">
        <v>3705</v>
      </c>
      <c r="B1471" s="278" t="s">
        <v>10904</v>
      </c>
      <c r="C1471" s="278" t="s">
        <v>10574</v>
      </c>
      <c r="D1471" s="279" t="s">
        <v>10575</v>
      </c>
      <c r="E1471" s="306" t="s">
        <v>10969</v>
      </c>
      <c r="F1471" s="278" t="s">
        <v>4109</v>
      </c>
      <c r="G1471" s="278" t="s">
        <v>4108</v>
      </c>
      <c r="H1471" s="306" t="s">
        <v>11303</v>
      </c>
      <c r="I1471" s="269" t="s">
        <v>11304</v>
      </c>
      <c r="J1471" s="306" t="s">
        <v>10969</v>
      </c>
    </row>
    <row r="1472" spans="1:10" ht="14.5" customHeight="1" x14ac:dyDescent="0.25">
      <c r="A1472" s="278" t="s">
        <v>3705</v>
      </c>
      <c r="B1472" s="278" t="s">
        <v>10904</v>
      </c>
      <c r="C1472" s="278" t="s">
        <v>10574</v>
      </c>
      <c r="D1472" s="279" t="s">
        <v>10575</v>
      </c>
      <c r="E1472" s="306" t="s">
        <v>10969</v>
      </c>
      <c r="F1472" s="278" t="s">
        <v>4109</v>
      </c>
      <c r="G1472" s="278" t="s">
        <v>4108</v>
      </c>
      <c r="H1472" s="306" t="s">
        <v>11323</v>
      </c>
      <c r="I1472" s="269" t="s">
        <v>11324</v>
      </c>
      <c r="J1472" s="306" t="s">
        <v>10969</v>
      </c>
    </row>
    <row r="1473" spans="1:10" ht="14.5" customHeight="1" x14ac:dyDescent="0.25">
      <c r="A1473" s="278" t="s">
        <v>3705</v>
      </c>
      <c r="B1473" s="278" t="s">
        <v>10904</v>
      </c>
      <c r="C1473" s="278" t="s">
        <v>10574</v>
      </c>
      <c r="D1473" s="279" t="s">
        <v>10575</v>
      </c>
      <c r="E1473" s="306" t="s">
        <v>10969</v>
      </c>
      <c r="F1473" s="278" t="s">
        <v>4109</v>
      </c>
      <c r="G1473" s="278" t="s">
        <v>4108</v>
      </c>
      <c r="H1473" s="306" t="s">
        <v>11305</v>
      </c>
      <c r="I1473" s="269" t="s">
        <v>11306</v>
      </c>
      <c r="J1473" s="306" t="s">
        <v>10969</v>
      </c>
    </row>
    <row r="1474" spans="1:10" ht="14.5" customHeight="1" x14ac:dyDescent="0.25">
      <c r="A1474" s="278" t="s">
        <v>3705</v>
      </c>
      <c r="B1474" s="278" t="s">
        <v>10904</v>
      </c>
      <c r="C1474" s="278" t="s">
        <v>10574</v>
      </c>
      <c r="D1474" s="279" t="s">
        <v>10575</v>
      </c>
      <c r="E1474" s="306" t="s">
        <v>10969</v>
      </c>
      <c r="F1474" s="278" t="s">
        <v>4109</v>
      </c>
      <c r="G1474" s="278" t="s">
        <v>4108</v>
      </c>
      <c r="H1474" s="306" t="s">
        <v>11315</v>
      </c>
      <c r="I1474" s="269" t="s">
        <v>11316</v>
      </c>
      <c r="J1474" s="306" t="s">
        <v>10969</v>
      </c>
    </row>
    <row r="1475" spans="1:10" ht="14.5" customHeight="1" x14ac:dyDescent="0.25">
      <c r="A1475" s="278" t="s">
        <v>3705</v>
      </c>
      <c r="B1475" s="278" t="s">
        <v>10904</v>
      </c>
      <c r="C1475" s="278" t="s">
        <v>10574</v>
      </c>
      <c r="D1475" s="279" t="s">
        <v>10575</v>
      </c>
      <c r="E1475" s="306" t="s">
        <v>10969</v>
      </c>
      <c r="F1475" s="278" t="s">
        <v>4109</v>
      </c>
      <c r="G1475" s="278" t="s">
        <v>4108</v>
      </c>
      <c r="H1475" s="306" t="s">
        <v>11317</v>
      </c>
      <c r="I1475" s="269" t="s">
        <v>11318</v>
      </c>
      <c r="J1475" s="306" t="s">
        <v>10969</v>
      </c>
    </row>
    <row r="1476" spans="1:10" ht="14.5" customHeight="1" x14ac:dyDescent="0.25">
      <c r="A1476" s="278" t="s">
        <v>3705</v>
      </c>
      <c r="B1476" s="278" t="s">
        <v>10904</v>
      </c>
      <c r="C1476" s="278" t="s">
        <v>10574</v>
      </c>
      <c r="D1476" s="279" t="s">
        <v>10575</v>
      </c>
      <c r="E1476" s="306" t="s">
        <v>10969</v>
      </c>
      <c r="F1476" s="278" t="s">
        <v>4109</v>
      </c>
      <c r="G1476" s="278" t="s">
        <v>4108</v>
      </c>
      <c r="H1476" s="306" t="s">
        <v>11321</v>
      </c>
      <c r="I1476" s="269" t="s">
        <v>11322</v>
      </c>
      <c r="J1476" s="306" t="s">
        <v>10969</v>
      </c>
    </row>
    <row r="1477" spans="1:10" ht="14.5" customHeight="1" x14ac:dyDescent="0.25">
      <c r="A1477" s="278" t="s">
        <v>3705</v>
      </c>
      <c r="B1477" s="278" t="s">
        <v>10904</v>
      </c>
      <c r="C1477" s="278" t="s">
        <v>10576</v>
      </c>
      <c r="D1477" s="279" t="s">
        <v>10577</v>
      </c>
      <c r="E1477" s="306" t="s">
        <v>10969</v>
      </c>
      <c r="F1477" s="278" t="s">
        <v>4109</v>
      </c>
      <c r="G1477" s="278" t="s">
        <v>4108</v>
      </c>
      <c r="H1477" s="306" t="s">
        <v>11297</v>
      </c>
      <c r="I1477" s="269" t="s">
        <v>11298</v>
      </c>
      <c r="J1477" s="306" t="s">
        <v>10969</v>
      </c>
    </row>
    <row r="1478" spans="1:10" ht="14.5" customHeight="1" x14ac:dyDescent="0.25">
      <c r="A1478" s="278" t="s">
        <v>3705</v>
      </c>
      <c r="B1478" s="278" t="s">
        <v>10904</v>
      </c>
      <c r="C1478" s="278" t="s">
        <v>10576</v>
      </c>
      <c r="D1478" s="279" t="s">
        <v>10577</v>
      </c>
      <c r="E1478" s="306" t="s">
        <v>10969</v>
      </c>
      <c r="F1478" s="278" t="s">
        <v>4109</v>
      </c>
      <c r="G1478" s="278" t="s">
        <v>4108</v>
      </c>
      <c r="H1478" s="306" t="s">
        <v>11301</v>
      </c>
      <c r="I1478" s="269" t="s">
        <v>11302</v>
      </c>
      <c r="J1478" s="306" t="s">
        <v>10969</v>
      </c>
    </row>
    <row r="1479" spans="1:10" ht="14.5" customHeight="1" x14ac:dyDescent="0.25">
      <c r="A1479" s="278" t="s">
        <v>3705</v>
      </c>
      <c r="B1479" s="278" t="s">
        <v>10904</v>
      </c>
      <c r="C1479" s="278" t="s">
        <v>10576</v>
      </c>
      <c r="D1479" s="279" t="s">
        <v>10577</v>
      </c>
      <c r="E1479" s="306" t="s">
        <v>10969</v>
      </c>
      <c r="F1479" s="278" t="s">
        <v>4109</v>
      </c>
      <c r="G1479" s="278" t="s">
        <v>4108</v>
      </c>
      <c r="H1479" s="306" t="s">
        <v>11323</v>
      </c>
      <c r="I1479" s="269" t="s">
        <v>11324</v>
      </c>
      <c r="J1479" s="306" t="s">
        <v>10969</v>
      </c>
    </row>
    <row r="1480" spans="1:10" ht="14.5" customHeight="1" x14ac:dyDescent="0.25">
      <c r="A1480" s="278" t="s">
        <v>3705</v>
      </c>
      <c r="B1480" s="278" t="s">
        <v>10904</v>
      </c>
      <c r="C1480" s="278" t="s">
        <v>10576</v>
      </c>
      <c r="D1480" s="279" t="s">
        <v>10577</v>
      </c>
      <c r="E1480" s="306" t="s">
        <v>10969</v>
      </c>
      <c r="F1480" s="278" t="s">
        <v>4109</v>
      </c>
      <c r="G1480" s="278" t="s">
        <v>4108</v>
      </c>
      <c r="H1480" s="306" t="s">
        <v>11313</v>
      </c>
      <c r="I1480" s="269" t="s">
        <v>11314</v>
      </c>
      <c r="J1480" s="306" t="s">
        <v>10969</v>
      </c>
    </row>
    <row r="1481" spans="1:10" ht="14.5" customHeight="1" x14ac:dyDescent="0.25">
      <c r="A1481" s="278" t="s">
        <v>3705</v>
      </c>
      <c r="B1481" s="278" t="s">
        <v>10904</v>
      </c>
      <c r="C1481" s="278" t="s">
        <v>10576</v>
      </c>
      <c r="D1481" s="279" t="s">
        <v>10577</v>
      </c>
      <c r="E1481" s="306" t="s">
        <v>10969</v>
      </c>
      <c r="F1481" s="278" t="s">
        <v>4109</v>
      </c>
      <c r="G1481" s="278" t="s">
        <v>4108</v>
      </c>
      <c r="H1481" s="306" t="s">
        <v>11321</v>
      </c>
      <c r="I1481" s="269" t="s">
        <v>11322</v>
      </c>
      <c r="J1481" s="306" t="s">
        <v>10969</v>
      </c>
    </row>
    <row r="1482" spans="1:10" ht="14.5" customHeight="1" x14ac:dyDescent="0.25">
      <c r="A1482" s="278" t="s">
        <v>3705</v>
      </c>
      <c r="B1482" s="278" t="s">
        <v>10904</v>
      </c>
      <c r="C1482" s="278" t="s">
        <v>10578</v>
      </c>
      <c r="D1482" s="279" t="s">
        <v>10579</v>
      </c>
      <c r="E1482" s="306" t="s">
        <v>10969</v>
      </c>
      <c r="F1482" s="278" t="s">
        <v>4109</v>
      </c>
      <c r="G1482" s="278" t="s">
        <v>4109</v>
      </c>
      <c r="H1482" s="306" t="s">
        <v>11297</v>
      </c>
      <c r="I1482" s="269" t="s">
        <v>11298</v>
      </c>
      <c r="J1482" s="306" t="s">
        <v>10969</v>
      </c>
    </row>
    <row r="1483" spans="1:10" ht="14.5" customHeight="1" x14ac:dyDescent="0.25">
      <c r="A1483" s="278" t="s">
        <v>3705</v>
      </c>
      <c r="B1483" s="278" t="s">
        <v>10904</v>
      </c>
      <c r="C1483" s="278" t="s">
        <v>10578</v>
      </c>
      <c r="D1483" s="279" t="s">
        <v>10579</v>
      </c>
      <c r="E1483" s="306" t="s">
        <v>10969</v>
      </c>
      <c r="F1483" s="278" t="s">
        <v>4109</v>
      </c>
      <c r="G1483" s="278" t="s">
        <v>4109</v>
      </c>
      <c r="H1483" s="306" t="s">
        <v>11301</v>
      </c>
      <c r="I1483" s="269" t="s">
        <v>11302</v>
      </c>
      <c r="J1483" s="306" t="s">
        <v>10969</v>
      </c>
    </row>
    <row r="1484" spans="1:10" ht="14.5" customHeight="1" x14ac:dyDescent="0.25">
      <c r="A1484" s="278" t="s">
        <v>3705</v>
      </c>
      <c r="B1484" s="278" t="s">
        <v>10904</v>
      </c>
      <c r="C1484" s="278" t="s">
        <v>10578</v>
      </c>
      <c r="D1484" s="279" t="s">
        <v>10579</v>
      </c>
      <c r="E1484" s="306" t="s">
        <v>10969</v>
      </c>
      <c r="F1484" s="278" t="s">
        <v>4109</v>
      </c>
      <c r="G1484" s="278" t="s">
        <v>4109</v>
      </c>
      <c r="H1484" s="306" t="s">
        <v>11303</v>
      </c>
      <c r="I1484" s="269" t="s">
        <v>11304</v>
      </c>
      <c r="J1484" s="306" t="s">
        <v>10969</v>
      </c>
    </row>
    <row r="1485" spans="1:10" ht="14.5" customHeight="1" x14ac:dyDescent="0.25">
      <c r="A1485" s="278" t="s">
        <v>3705</v>
      </c>
      <c r="B1485" s="278" t="s">
        <v>10904</v>
      </c>
      <c r="C1485" s="278" t="s">
        <v>10578</v>
      </c>
      <c r="D1485" s="279" t="s">
        <v>10579</v>
      </c>
      <c r="E1485" s="306" t="s">
        <v>10969</v>
      </c>
      <c r="F1485" s="278" t="s">
        <v>4109</v>
      </c>
      <c r="G1485" s="278" t="s">
        <v>4109</v>
      </c>
      <c r="H1485" s="306" t="s">
        <v>11323</v>
      </c>
      <c r="I1485" s="269" t="s">
        <v>11324</v>
      </c>
      <c r="J1485" s="306" t="s">
        <v>10969</v>
      </c>
    </row>
    <row r="1486" spans="1:10" ht="14.5" customHeight="1" x14ac:dyDescent="0.25">
      <c r="A1486" s="278" t="s">
        <v>3705</v>
      </c>
      <c r="B1486" s="278" t="s">
        <v>10904</v>
      </c>
      <c r="C1486" s="278" t="s">
        <v>10578</v>
      </c>
      <c r="D1486" s="279" t="s">
        <v>10579</v>
      </c>
      <c r="E1486" s="306" t="s">
        <v>10969</v>
      </c>
      <c r="F1486" s="278" t="s">
        <v>4109</v>
      </c>
      <c r="G1486" s="278" t="s">
        <v>4109</v>
      </c>
      <c r="H1486" s="306" t="s">
        <v>11313</v>
      </c>
      <c r="I1486" s="269" t="s">
        <v>11314</v>
      </c>
      <c r="J1486" s="306" t="s">
        <v>10969</v>
      </c>
    </row>
    <row r="1487" spans="1:10" ht="14.5" customHeight="1" x14ac:dyDescent="0.25">
      <c r="A1487" s="278" t="s">
        <v>3705</v>
      </c>
      <c r="B1487" s="278" t="s">
        <v>10904</v>
      </c>
      <c r="C1487" s="278" t="s">
        <v>10578</v>
      </c>
      <c r="D1487" s="279" t="s">
        <v>10579</v>
      </c>
      <c r="E1487" s="306" t="s">
        <v>10969</v>
      </c>
      <c r="F1487" s="278" t="s">
        <v>4109</v>
      </c>
      <c r="G1487" s="278" t="s">
        <v>4109</v>
      </c>
      <c r="H1487" s="306" t="s">
        <v>11321</v>
      </c>
      <c r="I1487" s="269" t="s">
        <v>11322</v>
      </c>
      <c r="J1487" s="306" t="s">
        <v>10969</v>
      </c>
    </row>
    <row r="1488" spans="1:10" ht="14.5" customHeight="1" x14ac:dyDescent="0.25">
      <c r="A1488" s="278" t="s">
        <v>3705</v>
      </c>
      <c r="B1488" s="278" t="s">
        <v>10904</v>
      </c>
      <c r="C1488" s="278" t="s">
        <v>10580</v>
      </c>
      <c r="D1488" s="279" t="s">
        <v>10581</v>
      </c>
      <c r="E1488" s="306" t="s">
        <v>10969</v>
      </c>
      <c r="F1488" s="278" t="s">
        <v>4109</v>
      </c>
      <c r="G1488" s="278" t="s">
        <v>4108</v>
      </c>
      <c r="H1488" s="306" t="s">
        <v>11297</v>
      </c>
      <c r="I1488" s="269" t="s">
        <v>11298</v>
      </c>
      <c r="J1488" s="306" t="s">
        <v>10969</v>
      </c>
    </row>
    <row r="1489" spans="1:10" ht="14.5" customHeight="1" x14ac:dyDescent="0.25">
      <c r="A1489" s="278" t="s">
        <v>3705</v>
      </c>
      <c r="B1489" s="278" t="s">
        <v>10904</v>
      </c>
      <c r="C1489" s="278" t="s">
        <v>10580</v>
      </c>
      <c r="D1489" s="279" t="s">
        <v>10581</v>
      </c>
      <c r="E1489" s="306" t="s">
        <v>10969</v>
      </c>
      <c r="F1489" s="278" t="s">
        <v>4109</v>
      </c>
      <c r="G1489" s="278" t="s">
        <v>4108</v>
      </c>
      <c r="H1489" s="306" t="s">
        <v>11301</v>
      </c>
      <c r="I1489" s="269" t="s">
        <v>11302</v>
      </c>
      <c r="J1489" s="306" t="s">
        <v>10969</v>
      </c>
    </row>
    <row r="1490" spans="1:10" ht="14.5" customHeight="1" x14ac:dyDescent="0.25">
      <c r="A1490" s="278" t="s">
        <v>3705</v>
      </c>
      <c r="B1490" s="278" t="s">
        <v>10904</v>
      </c>
      <c r="C1490" s="278" t="s">
        <v>10580</v>
      </c>
      <c r="D1490" s="279" t="s">
        <v>10581</v>
      </c>
      <c r="E1490" s="306" t="s">
        <v>10969</v>
      </c>
      <c r="F1490" s="278" t="s">
        <v>4109</v>
      </c>
      <c r="G1490" s="278" t="s">
        <v>4108</v>
      </c>
      <c r="H1490" s="306" t="s">
        <v>11323</v>
      </c>
      <c r="I1490" s="269" t="s">
        <v>11324</v>
      </c>
      <c r="J1490" s="306" t="s">
        <v>10969</v>
      </c>
    </row>
    <row r="1491" spans="1:10" ht="14.5" customHeight="1" x14ac:dyDescent="0.25">
      <c r="A1491" s="278" t="s">
        <v>3705</v>
      </c>
      <c r="B1491" s="278" t="s">
        <v>10904</v>
      </c>
      <c r="C1491" s="278" t="s">
        <v>10580</v>
      </c>
      <c r="D1491" s="279" t="s">
        <v>10581</v>
      </c>
      <c r="E1491" s="306" t="s">
        <v>10969</v>
      </c>
      <c r="F1491" s="278" t="s">
        <v>4109</v>
      </c>
      <c r="G1491" s="278" t="s">
        <v>4108</v>
      </c>
      <c r="H1491" s="306" t="s">
        <v>11313</v>
      </c>
      <c r="I1491" s="269" t="s">
        <v>11314</v>
      </c>
      <c r="J1491" s="306" t="s">
        <v>10969</v>
      </c>
    </row>
    <row r="1492" spans="1:10" ht="14.5" customHeight="1" x14ac:dyDescent="0.25">
      <c r="A1492" s="278" t="s">
        <v>3705</v>
      </c>
      <c r="B1492" s="278" t="s">
        <v>10904</v>
      </c>
      <c r="C1492" s="278" t="s">
        <v>10580</v>
      </c>
      <c r="D1492" s="279" t="s">
        <v>10581</v>
      </c>
      <c r="E1492" s="306" t="s">
        <v>10969</v>
      </c>
      <c r="F1492" s="278" t="s">
        <v>4109</v>
      </c>
      <c r="G1492" s="278" t="s">
        <v>4108</v>
      </c>
      <c r="H1492" s="306" t="s">
        <v>11321</v>
      </c>
      <c r="I1492" s="269" t="s">
        <v>11322</v>
      </c>
      <c r="J1492" s="306" t="s">
        <v>10969</v>
      </c>
    </row>
    <row r="1493" spans="1:10" ht="14.5" customHeight="1" x14ac:dyDescent="0.25">
      <c r="A1493" s="278" t="s">
        <v>3705</v>
      </c>
      <c r="B1493" s="278" t="s">
        <v>10904</v>
      </c>
      <c r="C1493" s="278" t="s">
        <v>10582</v>
      </c>
      <c r="D1493" s="279" t="s">
        <v>10583</v>
      </c>
      <c r="E1493" s="306" t="s">
        <v>10969</v>
      </c>
      <c r="F1493" s="278" t="s">
        <v>4109</v>
      </c>
      <c r="G1493" s="278" t="s">
        <v>4108</v>
      </c>
      <c r="H1493" s="306" t="s">
        <v>11297</v>
      </c>
      <c r="I1493" s="269" t="s">
        <v>11298</v>
      </c>
      <c r="J1493" s="306" t="s">
        <v>10969</v>
      </c>
    </row>
    <row r="1494" spans="1:10" ht="14.5" customHeight="1" x14ac:dyDescent="0.25">
      <c r="A1494" s="278" t="s">
        <v>3705</v>
      </c>
      <c r="B1494" s="278" t="s">
        <v>10904</v>
      </c>
      <c r="C1494" s="278" t="s">
        <v>10582</v>
      </c>
      <c r="D1494" s="279" t="s">
        <v>10583</v>
      </c>
      <c r="E1494" s="306" t="s">
        <v>10969</v>
      </c>
      <c r="F1494" s="278" t="s">
        <v>4109</v>
      </c>
      <c r="G1494" s="278" t="s">
        <v>4108</v>
      </c>
      <c r="H1494" s="306" t="s">
        <v>11301</v>
      </c>
      <c r="I1494" s="269" t="s">
        <v>11302</v>
      </c>
      <c r="J1494" s="306" t="s">
        <v>10969</v>
      </c>
    </row>
    <row r="1495" spans="1:10" ht="14.5" customHeight="1" x14ac:dyDescent="0.25">
      <c r="A1495" s="278" t="s">
        <v>3705</v>
      </c>
      <c r="B1495" s="278" t="s">
        <v>10904</v>
      </c>
      <c r="C1495" s="278" t="s">
        <v>10582</v>
      </c>
      <c r="D1495" s="279" t="s">
        <v>10583</v>
      </c>
      <c r="E1495" s="306" t="s">
        <v>10969</v>
      </c>
      <c r="F1495" s="278" t="s">
        <v>4109</v>
      </c>
      <c r="G1495" s="278" t="s">
        <v>4108</v>
      </c>
      <c r="H1495" s="306" t="s">
        <v>11323</v>
      </c>
      <c r="I1495" s="269" t="s">
        <v>11324</v>
      </c>
      <c r="J1495" s="306" t="s">
        <v>10969</v>
      </c>
    </row>
    <row r="1496" spans="1:10" ht="14.5" customHeight="1" x14ac:dyDescent="0.25">
      <c r="A1496" s="278" t="s">
        <v>3705</v>
      </c>
      <c r="B1496" s="278" t="s">
        <v>10904</v>
      </c>
      <c r="C1496" s="278" t="s">
        <v>10582</v>
      </c>
      <c r="D1496" s="279" t="s">
        <v>10583</v>
      </c>
      <c r="E1496" s="306" t="s">
        <v>10969</v>
      </c>
      <c r="F1496" s="278" t="s">
        <v>4109</v>
      </c>
      <c r="G1496" s="278" t="s">
        <v>4108</v>
      </c>
      <c r="H1496" s="306" t="s">
        <v>11321</v>
      </c>
      <c r="I1496" s="269" t="s">
        <v>11322</v>
      </c>
      <c r="J1496" s="306" t="s">
        <v>10969</v>
      </c>
    </row>
    <row r="1497" spans="1:10" ht="14.5" customHeight="1" x14ac:dyDescent="0.25">
      <c r="A1497" s="278" t="s">
        <v>3705</v>
      </c>
      <c r="B1497" s="278" t="s">
        <v>10904</v>
      </c>
      <c r="C1497" s="278" t="s">
        <v>10584</v>
      </c>
      <c r="D1497" s="279" t="s">
        <v>10585</v>
      </c>
      <c r="E1497" s="306" t="s">
        <v>10969</v>
      </c>
      <c r="F1497" s="278" t="s">
        <v>4109</v>
      </c>
      <c r="G1497" s="278" t="s">
        <v>4108</v>
      </c>
      <c r="H1497" s="306" t="s">
        <v>11297</v>
      </c>
      <c r="I1497" s="269" t="s">
        <v>11298</v>
      </c>
      <c r="J1497" s="306" t="s">
        <v>10969</v>
      </c>
    </row>
    <row r="1498" spans="1:10" ht="14.5" customHeight="1" x14ac:dyDescent="0.25">
      <c r="A1498" s="278" t="s">
        <v>3705</v>
      </c>
      <c r="B1498" s="278" t="s">
        <v>10904</v>
      </c>
      <c r="C1498" s="278" t="s">
        <v>10584</v>
      </c>
      <c r="D1498" s="279" t="s">
        <v>10585</v>
      </c>
      <c r="E1498" s="306" t="s">
        <v>10969</v>
      </c>
      <c r="F1498" s="278" t="s">
        <v>4109</v>
      </c>
      <c r="G1498" s="278" t="s">
        <v>4108</v>
      </c>
      <c r="H1498" s="306" t="s">
        <v>11301</v>
      </c>
      <c r="I1498" s="269" t="s">
        <v>11302</v>
      </c>
      <c r="J1498" s="306" t="s">
        <v>10969</v>
      </c>
    </row>
    <row r="1499" spans="1:10" ht="14.5" customHeight="1" x14ac:dyDescent="0.25">
      <c r="A1499" s="278" t="s">
        <v>3705</v>
      </c>
      <c r="B1499" s="278" t="s">
        <v>10904</v>
      </c>
      <c r="C1499" s="278" t="s">
        <v>10584</v>
      </c>
      <c r="D1499" s="279" t="s">
        <v>10585</v>
      </c>
      <c r="E1499" s="306" t="s">
        <v>10969</v>
      </c>
      <c r="F1499" s="278" t="s">
        <v>4109</v>
      </c>
      <c r="G1499" s="278" t="s">
        <v>4108</v>
      </c>
      <c r="H1499" s="306" t="s">
        <v>11323</v>
      </c>
      <c r="I1499" s="269" t="s">
        <v>11324</v>
      </c>
      <c r="J1499" s="306" t="s">
        <v>10969</v>
      </c>
    </row>
    <row r="1500" spans="1:10" ht="14.5" customHeight="1" x14ac:dyDescent="0.25">
      <c r="A1500" s="278" t="s">
        <v>3705</v>
      </c>
      <c r="B1500" s="278" t="s">
        <v>10904</v>
      </c>
      <c r="C1500" s="278" t="s">
        <v>10584</v>
      </c>
      <c r="D1500" s="279" t="s">
        <v>10585</v>
      </c>
      <c r="E1500" s="306" t="s">
        <v>10969</v>
      </c>
      <c r="F1500" s="278" t="s">
        <v>4109</v>
      </c>
      <c r="G1500" s="278" t="s">
        <v>4108</v>
      </c>
      <c r="H1500" s="306" t="s">
        <v>11321</v>
      </c>
      <c r="I1500" s="269" t="s">
        <v>11322</v>
      </c>
      <c r="J1500" s="306" t="s">
        <v>10969</v>
      </c>
    </row>
    <row r="1501" spans="1:10" ht="14.5" customHeight="1" x14ac:dyDescent="0.25">
      <c r="A1501" s="278" t="s">
        <v>3705</v>
      </c>
      <c r="B1501" s="278" t="s">
        <v>10904</v>
      </c>
      <c r="C1501" s="278" t="s">
        <v>10586</v>
      </c>
      <c r="D1501" s="279" t="s">
        <v>10587</v>
      </c>
      <c r="E1501" s="306" t="s">
        <v>10969</v>
      </c>
      <c r="F1501" s="278" t="s">
        <v>4109</v>
      </c>
      <c r="G1501" s="278" t="s">
        <v>4108</v>
      </c>
      <c r="H1501" s="306" t="s">
        <v>11297</v>
      </c>
      <c r="I1501" s="269" t="s">
        <v>11298</v>
      </c>
      <c r="J1501" s="306" t="s">
        <v>10969</v>
      </c>
    </row>
    <row r="1502" spans="1:10" ht="14.5" customHeight="1" x14ac:dyDescent="0.25">
      <c r="A1502" s="278" t="s">
        <v>3705</v>
      </c>
      <c r="B1502" s="278" t="s">
        <v>10904</v>
      </c>
      <c r="C1502" s="278" t="s">
        <v>10586</v>
      </c>
      <c r="D1502" s="279" t="s">
        <v>10587</v>
      </c>
      <c r="E1502" s="306" t="s">
        <v>10969</v>
      </c>
      <c r="F1502" s="278" t="s">
        <v>4109</v>
      </c>
      <c r="G1502" s="278" t="s">
        <v>4108</v>
      </c>
      <c r="H1502" s="306" t="s">
        <v>11301</v>
      </c>
      <c r="I1502" s="269" t="s">
        <v>11302</v>
      </c>
      <c r="J1502" s="306" t="s">
        <v>10969</v>
      </c>
    </row>
    <row r="1503" spans="1:10" ht="14.5" customHeight="1" x14ac:dyDescent="0.25">
      <c r="A1503" s="278" t="s">
        <v>3705</v>
      </c>
      <c r="B1503" s="278" t="s">
        <v>10904</v>
      </c>
      <c r="C1503" s="278" t="s">
        <v>10586</v>
      </c>
      <c r="D1503" s="279" t="s">
        <v>10587</v>
      </c>
      <c r="E1503" s="306" t="s">
        <v>10969</v>
      </c>
      <c r="F1503" s="278" t="s">
        <v>4109</v>
      </c>
      <c r="G1503" s="278" t="s">
        <v>4108</v>
      </c>
      <c r="H1503" s="306" t="s">
        <v>11303</v>
      </c>
      <c r="I1503" s="269" t="s">
        <v>11304</v>
      </c>
      <c r="J1503" s="306" t="s">
        <v>10969</v>
      </c>
    </row>
    <row r="1504" spans="1:10" ht="14.5" customHeight="1" x14ac:dyDescent="0.25">
      <c r="A1504" s="278" t="s">
        <v>3705</v>
      </c>
      <c r="B1504" s="278" t="s">
        <v>10904</v>
      </c>
      <c r="C1504" s="278" t="s">
        <v>10586</v>
      </c>
      <c r="D1504" s="279" t="s">
        <v>10587</v>
      </c>
      <c r="E1504" s="306" t="s">
        <v>10969</v>
      </c>
      <c r="F1504" s="278" t="s">
        <v>4109</v>
      </c>
      <c r="G1504" s="278" t="s">
        <v>4108</v>
      </c>
      <c r="H1504" s="306" t="s">
        <v>11323</v>
      </c>
      <c r="I1504" s="269" t="s">
        <v>11324</v>
      </c>
      <c r="J1504" s="306" t="s">
        <v>10969</v>
      </c>
    </row>
    <row r="1505" spans="1:10" ht="14.5" customHeight="1" x14ac:dyDescent="0.25">
      <c r="A1505" s="278" t="s">
        <v>3705</v>
      </c>
      <c r="B1505" s="278" t="s">
        <v>10904</v>
      </c>
      <c r="C1505" s="278" t="s">
        <v>10586</v>
      </c>
      <c r="D1505" s="279" t="s">
        <v>10587</v>
      </c>
      <c r="E1505" s="306" t="s">
        <v>10969</v>
      </c>
      <c r="F1505" s="278" t="s">
        <v>4109</v>
      </c>
      <c r="G1505" s="278" t="s">
        <v>4108</v>
      </c>
      <c r="H1505" s="306" t="s">
        <v>11321</v>
      </c>
      <c r="I1505" s="269" t="s">
        <v>11322</v>
      </c>
      <c r="J1505" s="306" t="s">
        <v>10969</v>
      </c>
    </row>
    <row r="1506" spans="1:10" ht="14.5" customHeight="1" x14ac:dyDescent="0.25">
      <c r="A1506" s="278" t="s">
        <v>3705</v>
      </c>
      <c r="B1506" s="278" t="s">
        <v>10904</v>
      </c>
      <c r="C1506" s="278" t="s">
        <v>10588</v>
      </c>
      <c r="D1506" s="279" t="s">
        <v>10589</v>
      </c>
      <c r="E1506" s="306" t="s">
        <v>10969</v>
      </c>
      <c r="F1506" s="278" t="s">
        <v>4109</v>
      </c>
      <c r="G1506" s="278" t="s">
        <v>4108</v>
      </c>
      <c r="H1506" s="306" t="s">
        <v>11297</v>
      </c>
      <c r="I1506" s="269" t="s">
        <v>11298</v>
      </c>
      <c r="J1506" s="306" t="s">
        <v>10969</v>
      </c>
    </row>
    <row r="1507" spans="1:10" ht="14.5" customHeight="1" x14ac:dyDescent="0.25">
      <c r="A1507" s="278" t="s">
        <v>3705</v>
      </c>
      <c r="B1507" s="278" t="s">
        <v>10904</v>
      </c>
      <c r="C1507" s="278" t="s">
        <v>10588</v>
      </c>
      <c r="D1507" s="279" t="s">
        <v>10589</v>
      </c>
      <c r="E1507" s="306" t="s">
        <v>10969</v>
      </c>
      <c r="F1507" s="278" t="s">
        <v>4109</v>
      </c>
      <c r="G1507" s="278" t="s">
        <v>4108</v>
      </c>
      <c r="H1507" s="306" t="s">
        <v>11301</v>
      </c>
      <c r="I1507" s="269" t="s">
        <v>11302</v>
      </c>
      <c r="J1507" s="306" t="s">
        <v>10969</v>
      </c>
    </row>
    <row r="1508" spans="1:10" ht="14.5" customHeight="1" x14ac:dyDescent="0.25">
      <c r="A1508" s="278" t="s">
        <v>3705</v>
      </c>
      <c r="B1508" s="278" t="s">
        <v>10904</v>
      </c>
      <c r="C1508" s="278" t="s">
        <v>10588</v>
      </c>
      <c r="D1508" s="279" t="s">
        <v>10589</v>
      </c>
      <c r="E1508" s="306" t="s">
        <v>10969</v>
      </c>
      <c r="F1508" s="278" t="s">
        <v>4109</v>
      </c>
      <c r="G1508" s="278" t="s">
        <v>4108</v>
      </c>
      <c r="H1508" s="306" t="s">
        <v>11323</v>
      </c>
      <c r="I1508" s="269" t="s">
        <v>11324</v>
      </c>
      <c r="J1508" s="306" t="s">
        <v>10969</v>
      </c>
    </row>
    <row r="1509" spans="1:10" ht="14.5" customHeight="1" x14ac:dyDescent="0.25">
      <c r="A1509" s="278" t="s">
        <v>3705</v>
      </c>
      <c r="B1509" s="278" t="s">
        <v>10904</v>
      </c>
      <c r="C1509" s="278" t="s">
        <v>10588</v>
      </c>
      <c r="D1509" s="279" t="s">
        <v>10589</v>
      </c>
      <c r="E1509" s="306" t="s">
        <v>10969</v>
      </c>
      <c r="F1509" s="278" t="s">
        <v>4109</v>
      </c>
      <c r="G1509" s="278" t="s">
        <v>4108</v>
      </c>
      <c r="H1509" s="306" t="s">
        <v>11313</v>
      </c>
      <c r="I1509" s="269" t="s">
        <v>11314</v>
      </c>
      <c r="J1509" s="306" t="s">
        <v>10969</v>
      </c>
    </row>
    <row r="1510" spans="1:10" ht="14.5" customHeight="1" x14ac:dyDescent="0.25">
      <c r="A1510" s="278" t="s">
        <v>3705</v>
      </c>
      <c r="B1510" s="278" t="s">
        <v>10904</v>
      </c>
      <c r="C1510" s="278" t="s">
        <v>10588</v>
      </c>
      <c r="D1510" s="279" t="s">
        <v>10589</v>
      </c>
      <c r="E1510" s="306" t="s">
        <v>10969</v>
      </c>
      <c r="F1510" s="278" t="s">
        <v>4109</v>
      </c>
      <c r="G1510" s="278" t="s">
        <v>4108</v>
      </c>
      <c r="H1510" s="306" t="s">
        <v>11321</v>
      </c>
      <c r="I1510" s="269" t="s">
        <v>11322</v>
      </c>
      <c r="J1510" s="306" t="s">
        <v>10969</v>
      </c>
    </row>
    <row r="1511" spans="1:10" ht="14.5" customHeight="1" x14ac:dyDescent="0.25">
      <c r="A1511" s="278" t="s">
        <v>3705</v>
      </c>
      <c r="B1511" s="278" t="s">
        <v>10904</v>
      </c>
      <c r="C1511" s="278" t="s">
        <v>10590</v>
      </c>
      <c r="D1511" s="279" t="s">
        <v>10591</v>
      </c>
      <c r="E1511" s="306" t="s">
        <v>10969</v>
      </c>
      <c r="F1511" s="278" t="s">
        <v>4109</v>
      </c>
      <c r="G1511" s="278" t="s">
        <v>4108</v>
      </c>
      <c r="H1511" s="306" t="s">
        <v>11219</v>
      </c>
      <c r="I1511" s="269" t="s">
        <v>11220</v>
      </c>
      <c r="J1511" s="306" t="s">
        <v>10969</v>
      </c>
    </row>
    <row r="1512" spans="1:10" ht="14.5" customHeight="1" x14ac:dyDescent="0.25">
      <c r="A1512" s="278" t="s">
        <v>3705</v>
      </c>
      <c r="B1512" s="278" t="s">
        <v>10904</v>
      </c>
      <c r="C1512" s="278" t="s">
        <v>10590</v>
      </c>
      <c r="D1512" s="279" t="s">
        <v>10591</v>
      </c>
      <c r="E1512" s="306" t="s">
        <v>10969</v>
      </c>
      <c r="F1512" s="278" t="s">
        <v>4109</v>
      </c>
      <c r="G1512" s="278" t="s">
        <v>4108</v>
      </c>
      <c r="H1512" s="306" t="s">
        <v>11297</v>
      </c>
      <c r="I1512" s="269" t="s">
        <v>11298</v>
      </c>
      <c r="J1512" s="306" t="s">
        <v>10969</v>
      </c>
    </row>
    <row r="1513" spans="1:10" ht="14.5" customHeight="1" x14ac:dyDescent="0.25">
      <c r="A1513" s="278" t="s">
        <v>3705</v>
      </c>
      <c r="B1513" s="278" t="s">
        <v>10904</v>
      </c>
      <c r="C1513" s="278" t="s">
        <v>10590</v>
      </c>
      <c r="D1513" s="279" t="s">
        <v>10591</v>
      </c>
      <c r="E1513" s="306" t="s">
        <v>10969</v>
      </c>
      <c r="F1513" s="278" t="s">
        <v>4109</v>
      </c>
      <c r="G1513" s="278" t="s">
        <v>4108</v>
      </c>
      <c r="H1513" s="306" t="s">
        <v>11323</v>
      </c>
      <c r="I1513" s="269" t="s">
        <v>11324</v>
      </c>
      <c r="J1513" s="306" t="s">
        <v>10969</v>
      </c>
    </row>
    <row r="1514" spans="1:10" ht="14.5" customHeight="1" x14ac:dyDescent="0.25">
      <c r="A1514" s="278" t="s">
        <v>3705</v>
      </c>
      <c r="B1514" s="278" t="s">
        <v>10904</v>
      </c>
      <c r="C1514" s="278" t="s">
        <v>10590</v>
      </c>
      <c r="D1514" s="279" t="s">
        <v>10591</v>
      </c>
      <c r="E1514" s="306" t="s">
        <v>10969</v>
      </c>
      <c r="F1514" s="278" t="s">
        <v>4109</v>
      </c>
      <c r="G1514" s="278" t="s">
        <v>4108</v>
      </c>
      <c r="H1514" s="306" t="s">
        <v>11313</v>
      </c>
      <c r="I1514" s="269" t="s">
        <v>11314</v>
      </c>
      <c r="J1514" s="306" t="s">
        <v>10969</v>
      </c>
    </row>
    <row r="1515" spans="1:10" ht="14.5" customHeight="1" x14ac:dyDescent="0.25">
      <c r="A1515" s="278" t="s">
        <v>3705</v>
      </c>
      <c r="B1515" s="278" t="s">
        <v>10904</v>
      </c>
      <c r="C1515" s="278" t="s">
        <v>10590</v>
      </c>
      <c r="D1515" s="279" t="s">
        <v>10591</v>
      </c>
      <c r="E1515" s="306" t="s">
        <v>10969</v>
      </c>
      <c r="F1515" s="278" t="s">
        <v>4109</v>
      </c>
      <c r="G1515" s="278" t="s">
        <v>4108</v>
      </c>
      <c r="H1515" s="306" t="s">
        <v>11221</v>
      </c>
      <c r="I1515" s="269" t="s">
        <v>11222</v>
      </c>
      <c r="J1515" s="306" t="s">
        <v>10969</v>
      </c>
    </row>
    <row r="1516" spans="1:10" ht="14.5" customHeight="1" x14ac:dyDescent="0.25">
      <c r="A1516" s="278" t="s">
        <v>3705</v>
      </c>
      <c r="B1516" s="278" t="s">
        <v>10904</v>
      </c>
      <c r="C1516" s="278" t="s">
        <v>10590</v>
      </c>
      <c r="D1516" s="279" t="s">
        <v>10591</v>
      </c>
      <c r="E1516" s="306" t="s">
        <v>10969</v>
      </c>
      <c r="F1516" s="278" t="s">
        <v>4109</v>
      </c>
      <c r="G1516" s="278" t="s">
        <v>4108</v>
      </c>
      <c r="H1516" s="306" t="s">
        <v>11321</v>
      </c>
      <c r="I1516" s="269" t="s">
        <v>11322</v>
      </c>
      <c r="J1516" s="306" t="s">
        <v>10969</v>
      </c>
    </row>
    <row r="1517" spans="1:10" ht="14.5" customHeight="1" x14ac:dyDescent="0.25">
      <c r="A1517" s="278" t="s">
        <v>3705</v>
      </c>
      <c r="B1517" s="278" t="s">
        <v>10904</v>
      </c>
      <c r="C1517" s="278" t="s">
        <v>10592</v>
      </c>
      <c r="D1517" s="279" t="s">
        <v>10593</v>
      </c>
      <c r="E1517" s="306" t="s">
        <v>10969</v>
      </c>
      <c r="F1517" s="278" t="s">
        <v>4109</v>
      </c>
      <c r="G1517" s="278" t="s">
        <v>4108</v>
      </c>
      <c r="H1517" s="306" t="s">
        <v>11299</v>
      </c>
      <c r="I1517" s="269" t="s">
        <v>11300</v>
      </c>
      <c r="J1517" s="306" t="s">
        <v>10969</v>
      </c>
    </row>
    <row r="1518" spans="1:10" ht="14.5" customHeight="1" x14ac:dyDescent="0.25">
      <c r="A1518" s="278" t="s">
        <v>3705</v>
      </c>
      <c r="B1518" s="278" t="s">
        <v>10904</v>
      </c>
      <c r="C1518" s="278" t="s">
        <v>10592</v>
      </c>
      <c r="D1518" s="279" t="s">
        <v>10593</v>
      </c>
      <c r="E1518" s="306" t="s">
        <v>10969</v>
      </c>
      <c r="F1518" s="278" t="s">
        <v>4109</v>
      </c>
      <c r="G1518" s="278" t="s">
        <v>4108</v>
      </c>
      <c r="H1518" s="306" t="s">
        <v>11301</v>
      </c>
      <c r="I1518" s="269" t="s">
        <v>11302</v>
      </c>
      <c r="J1518" s="306" t="s">
        <v>10969</v>
      </c>
    </row>
    <row r="1519" spans="1:10" ht="14.5" customHeight="1" x14ac:dyDescent="0.25">
      <c r="A1519" s="278" t="s">
        <v>3705</v>
      </c>
      <c r="B1519" s="278" t="s">
        <v>10904</v>
      </c>
      <c r="C1519" s="278" t="s">
        <v>10592</v>
      </c>
      <c r="D1519" s="279" t="s">
        <v>10593</v>
      </c>
      <c r="E1519" s="306" t="s">
        <v>10969</v>
      </c>
      <c r="F1519" s="278" t="s">
        <v>4109</v>
      </c>
      <c r="G1519" s="278" t="s">
        <v>4108</v>
      </c>
      <c r="H1519" s="306" t="s">
        <v>11303</v>
      </c>
      <c r="I1519" s="269" t="s">
        <v>11304</v>
      </c>
      <c r="J1519" s="306" t="s">
        <v>10969</v>
      </c>
    </row>
    <row r="1520" spans="1:10" ht="14.5" customHeight="1" x14ac:dyDescent="0.25">
      <c r="A1520" s="278" t="s">
        <v>3705</v>
      </c>
      <c r="B1520" s="278" t="s">
        <v>10904</v>
      </c>
      <c r="C1520" s="278" t="s">
        <v>10592</v>
      </c>
      <c r="D1520" s="279" t="s">
        <v>10593</v>
      </c>
      <c r="E1520" s="306" t="s">
        <v>10969</v>
      </c>
      <c r="F1520" s="278" t="s">
        <v>4109</v>
      </c>
      <c r="G1520" s="278" t="s">
        <v>4108</v>
      </c>
      <c r="H1520" s="306" t="s">
        <v>11325</v>
      </c>
      <c r="I1520" s="269" t="s">
        <v>11326</v>
      </c>
      <c r="J1520" s="306" t="s">
        <v>10969</v>
      </c>
    </row>
    <row r="1521" spans="1:10" ht="14.5" customHeight="1" x14ac:dyDescent="0.25">
      <c r="A1521" s="278" t="s">
        <v>3705</v>
      </c>
      <c r="B1521" s="278" t="s">
        <v>10904</v>
      </c>
      <c r="C1521" s="278" t="s">
        <v>10592</v>
      </c>
      <c r="D1521" s="279" t="s">
        <v>10593</v>
      </c>
      <c r="E1521" s="306" t="s">
        <v>10969</v>
      </c>
      <c r="F1521" s="278" t="s">
        <v>4109</v>
      </c>
      <c r="G1521" s="278" t="s">
        <v>4108</v>
      </c>
      <c r="H1521" s="306" t="s">
        <v>11309</v>
      </c>
      <c r="I1521" s="269" t="s">
        <v>11310</v>
      </c>
      <c r="J1521" s="306" t="s">
        <v>10969</v>
      </c>
    </row>
    <row r="1522" spans="1:10" ht="14.5" customHeight="1" x14ac:dyDescent="0.25">
      <c r="A1522" s="278" t="s">
        <v>3705</v>
      </c>
      <c r="B1522" s="278" t="s">
        <v>10904</v>
      </c>
      <c r="C1522" s="278" t="s">
        <v>10592</v>
      </c>
      <c r="D1522" s="279" t="s">
        <v>10593</v>
      </c>
      <c r="E1522" s="306" t="s">
        <v>10969</v>
      </c>
      <c r="F1522" s="278" t="s">
        <v>4109</v>
      </c>
      <c r="G1522" s="278" t="s">
        <v>4108</v>
      </c>
      <c r="H1522" s="306" t="s">
        <v>11321</v>
      </c>
      <c r="I1522" s="269" t="s">
        <v>11322</v>
      </c>
      <c r="J1522" s="306" t="s">
        <v>10969</v>
      </c>
    </row>
    <row r="1523" spans="1:10" ht="14.5" customHeight="1" x14ac:dyDescent="0.25">
      <c r="A1523" s="278" t="s">
        <v>3705</v>
      </c>
      <c r="B1523" s="278" t="s">
        <v>10904</v>
      </c>
      <c r="C1523" s="278" t="s">
        <v>10594</v>
      </c>
      <c r="D1523" s="279" t="s">
        <v>10595</v>
      </c>
      <c r="E1523" s="306" t="s">
        <v>10969</v>
      </c>
      <c r="F1523" s="278" t="s">
        <v>4109</v>
      </c>
      <c r="G1523" s="278" t="s">
        <v>4109</v>
      </c>
      <c r="H1523" s="306" t="s">
        <v>11299</v>
      </c>
      <c r="I1523" s="269" t="s">
        <v>11300</v>
      </c>
      <c r="J1523" s="306" t="s">
        <v>10969</v>
      </c>
    </row>
    <row r="1524" spans="1:10" ht="14.5" customHeight="1" x14ac:dyDescent="0.25">
      <c r="A1524" s="278" t="s">
        <v>3705</v>
      </c>
      <c r="B1524" s="278" t="s">
        <v>10904</v>
      </c>
      <c r="C1524" s="278" t="s">
        <v>10594</v>
      </c>
      <c r="D1524" s="279" t="s">
        <v>10595</v>
      </c>
      <c r="E1524" s="306" t="s">
        <v>10969</v>
      </c>
      <c r="F1524" s="278" t="s">
        <v>4109</v>
      </c>
      <c r="G1524" s="278" t="s">
        <v>4109</v>
      </c>
      <c r="H1524" s="306" t="s">
        <v>11301</v>
      </c>
      <c r="I1524" s="269" t="s">
        <v>11302</v>
      </c>
      <c r="J1524" s="306" t="s">
        <v>10969</v>
      </c>
    </row>
    <row r="1525" spans="1:10" ht="14.5" customHeight="1" x14ac:dyDescent="0.25">
      <c r="A1525" s="278" t="s">
        <v>3705</v>
      </c>
      <c r="B1525" s="278" t="s">
        <v>10904</v>
      </c>
      <c r="C1525" s="278" t="s">
        <v>10594</v>
      </c>
      <c r="D1525" s="279" t="s">
        <v>10595</v>
      </c>
      <c r="E1525" s="306" t="s">
        <v>10969</v>
      </c>
      <c r="F1525" s="278" t="s">
        <v>4109</v>
      </c>
      <c r="G1525" s="278" t="s">
        <v>4109</v>
      </c>
      <c r="H1525" s="306" t="s">
        <v>11303</v>
      </c>
      <c r="I1525" s="269" t="s">
        <v>11304</v>
      </c>
      <c r="J1525" s="306" t="s">
        <v>10969</v>
      </c>
    </row>
    <row r="1526" spans="1:10" ht="14.5" customHeight="1" x14ac:dyDescent="0.25">
      <c r="A1526" s="278" t="s">
        <v>3705</v>
      </c>
      <c r="B1526" s="278" t="s">
        <v>10904</v>
      </c>
      <c r="C1526" s="278" t="s">
        <v>10594</v>
      </c>
      <c r="D1526" s="279" t="s">
        <v>10595</v>
      </c>
      <c r="E1526" s="306" t="s">
        <v>10969</v>
      </c>
      <c r="F1526" s="278" t="s">
        <v>4109</v>
      </c>
      <c r="G1526" s="278" t="s">
        <v>4109</v>
      </c>
      <c r="H1526" s="306" t="s">
        <v>11325</v>
      </c>
      <c r="I1526" s="269" t="s">
        <v>11326</v>
      </c>
      <c r="J1526" s="306" t="s">
        <v>10969</v>
      </c>
    </row>
    <row r="1527" spans="1:10" ht="14.5" customHeight="1" x14ac:dyDescent="0.25">
      <c r="A1527" s="278" t="s">
        <v>3705</v>
      </c>
      <c r="B1527" s="278" t="s">
        <v>10904</v>
      </c>
      <c r="C1527" s="278" t="s">
        <v>10594</v>
      </c>
      <c r="D1527" s="279" t="s">
        <v>10595</v>
      </c>
      <c r="E1527" s="306" t="s">
        <v>10969</v>
      </c>
      <c r="F1527" s="278" t="s">
        <v>4109</v>
      </c>
      <c r="G1527" s="278" t="s">
        <v>4109</v>
      </c>
      <c r="H1527" s="306" t="s">
        <v>11309</v>
      </c>
      <c r="I1527" s="269" t="s">
        <v>11310</v>
      </c>
      <c r="J1527" s="306" t="s">
        <v>10969</v>
      </c>
    </row>
    <row r="1528" spans="1:10" ht="14.5" customHeight="1" x14ac:dyDescent="0.25">
      <c r="A1528" s="278" t="s">
        <v>3705</v>
      </c>
      <c r="B1528" s="278" t="s">
        <v>10904</v>
      </c>
      <c r="C1528" s="278" t="s">
        <v>10594</v>
      </c>
      <c r="D1528" s="279" t="s">
        <v>10595</v>
      </c>
      <c r="E1528" s="306" t="s">
        <v>10969</v>
      </c>
      <c r="F1528" s="278" t="s">
        <v>4109</v>
      </c>
      <c r="G1528" s="278" t="s">
        <v>4109</v>
      </c>
      <c r="H1528" s="306" t="s">
        <v>11321</v>
      </c>
      <c r="I1528" s="269" t="s">
        <v>11322</v>
      </c>
      <c r="J1528" s="306" t="s">
        <v>10969</v>
      </c>
    </row>
    <row r="1529" spans="1:10" ht="14.5" customHeight="1" x14ac:dyDescent="0.25">
      <c r="A1529" s="278" t="s">
        <v>3705</v>
      </c>
      <c r="B1529" s="278" t="s">
        <v>10904</v>
      </c>
      <c r="C1529" s="278" t="s">
        <v>10596</v>
      </c>
      <c r="D1529" s="279" t="s">
        <v>10597</v>
      </c>
      <c r="E1529" s="306" t="s">
        <v>10969</v>
      </c>
      <c r="F1529" s="278" t="s">
        <v>4109</v>
      </c>
      <c r="G1529" s="278" t="s">
        <v>4108</v>
      </c>
      <c r="H1529" s="306" t="s">
        <v>11299</v>
      </c>
      <c r="I1529" s="269" t="s">
        <v>11300</v>
      </c>
      <c r="J1529" s="306" t="s">
        <v>10969</v>
      </c>
    </row>
    <row r="1530" spans="1:10" ht="14.5" customHeight="1" x14ac:dyDescent="0.25">
      <c r="A1530" s="278" t="s">
        <v>3705</v>
      </c>
      <c r="B1530" s="278" t="s">
        <v>10904</v>
      </c>
      <c r="C1530" s="278" t="s">
        <v>10596</v>
      </c>
      <c r="D1530" s="279" t="s">
        <v>10597</v>
      </c>
      <c r="E1530" s="306" t="s">
        <v>10969</v>
      </c>
      <c r="F1530" s="278" t="s">
        <v>4109</v>
      </c>
      <c r="G1530" s="278" t="s">
        <v>4108</v>
      </c>
      <c r="H1530" s="306" t="s">
        <v>11301</v>
      </c>
      <c r="I1530" s="269" t="s">
        <v>11302</v>
      </c>
      <c r="J1530" s="306" t="s">
        <v>10969</v>
      </c>
    </row>
    <row r="1531" spans="1:10" ht="14.5" customHeight="1" x14ac:dyDescent="0.25">
      <c r="A1531" s="278" t="s">
        <v>3705</v>
      </c>
      <c r="B1531" s="278" t="s">
        <v>10904</v>
      </c>
      <c r="C1531" s="278" t="s">
        <v>10596</v>
      </c>
      <c r="D1531" s="279" t="s">
        <v>10597</v>
      </c>
      <c r="E1531" s="306" t="s">
        <v>10969</v>
      </c>
      <c r="F1531" s="278" t="s">
        <v>4109</v>
      </c>
      <c r="G1531" s="278" t="s">
        <v>4108</v>
      </c>
      <c r="H1531" s="306" t="s">
        <v>11303</v>
      </c>
      <c r="I1531" s="269" t="s">
        <v>11304</v>
      </c>
      <c r="J1531" s="306" t="s">
        <v>10969</v>
      </c>
    </row>
    <row r="1532" spans="1:10" ht="14.5" customHeight="1" x14ac:dyDescent="0.25">
      <c r="A1532" s="278" t="s">
        <v>3705</v>
      </c>
      <c r="B1532" s="278" t="s">
        <v>10904</v>
      </c>
      <c r="C1532" s="278" t="s">
        <v>10596</v>
      </c>
      <c r="D1532" s="279" t="s">
        <v>10597</v>
      </c>
      <c r="E1532" s="306" t="s">
        <v>10969</v>
      </c>
      <c r="F1532" s="278" t="s">
        <v>4109</v>
      </c>
      <c r="G1532" s="278" t="s">
        <v>4108</v>
      </c>
      <c r="H1532" s="306" t="s">
        <v>11325</v>
      </c>
      <c r="I1532" s="269" t="s">
        <v>11326</v>
      </c>
      <c r="J1532" s="306" t="s">
        <v>10969</v>
      </c>
    </row>
    <row r="1533" spans="1:10" ht="14.5" customHeight="1" x14ac:dyDescent="0.25">
      <c r="A1533" s="278" t="s">
        <v>3705</v>
      </c>
      <c r="B1533" s="278" t="s">
        <v>10904</v>
      </c>
      <c r="C1533" s="278" t="s">
        <v>10596</v>
      </c>
      <c r="D1533" s="279" t="s">
        <v>10597</v>
      </c>
      <c r="E1533" s="306" t="s">
        <v>10969</v>
      </c>
      <c r="F1533" s="278" t="s">
        <v>4109</v>
      </c>
      <c r="G1533" s="278" t="s">
        <v>4108</v>
      </c>
      <c r="H1533" s="306" t="s">
        <v>11309</v>
      </c>
      <c r="I1533" s="269" t="s">
        <v>11310</v>
      </c>
      <c r="J1533" s="306" t="s">
        <v>10969</v>
      </c>
    </row>
    <row r="1534" spans="1:10" ht="14.5" customHeight="1" x14ac:dyDescent="0.25">
      <c r="A1534" s="278" t="s">
        <v>3705</v>
      </c>
      <c r="B1534" s="278" t="s">
        <v>10904</v>
      </c>
      <c r="C1534" s="278" t="s">
        <v>10596</v>
      </c>
      <c r="D1534" s="279" t="s">
        <v>10597</v>
      </c>
      <c r="E1534" s="306" t="s">
        <v>10969</v>
      </c>
      <c r="F1534" s="278" t="s">
        <v>4109</v>
      </c>
      <c r="G1534" s="278" t="s">
        <v>4108</v>
      </c>
      <c r="H1534" s="306" t="s">
        <v>11331</v>
      </c>
      <c r="I1534" s="269" t="s">
        <v>11332</v>
      </c>
      <c r="J1534" s="306" t="s">
        <v>10969</v>
      </c>
    </row>
    <row r="1535" spans="1:10" ht="14.5" customHeight="1" x14ac:dyDescent="0.25">
      <c r="A1535" s="278" t="s">
        <v>3705</v>
      </c>
      <c r="B1535" s="278" t="s">
        <v>10904</v>
      </c>
      <c r="C1535" s="278" t="s">
        <v>10596</v>
      </c>
      <c r="D1535" s="279" t="s">
        <v>10597</v>
      </c>
      <c r="E1535" s="306" t="s">
        <v>10969</v>
      </c>
      <c r="F1535" s="278" t="s">
        <v>4109</v>
      </c>
      <c r="G1535" s="278" t="s">
        <v>4108</v>
      </c>
      <c r="H1535" s="306" t="s">
        <v>11321</v>
      </c>
      <c r="I1535" s="269" t="s">
        <v>11322</v>
      </c>
      <c r="J1535" s="306" t="s">
        <v>10969</v>
      </c>
    </row>
    <row r="1536" spans="1:10" ht="14.5" customHeight="1" x14ac:dyDescent="0.25">
      <c r="A1536" s="278" t="s">
        <v>3705</v>
      </c>
      <c r="B1536" s="278" t="s">
        <v>10904</v>
      </c>
      <c r="C1536" s="278" t="s">
        <v>10598</v>
      </c>
      <c r="D1536" s="279" t="s">
        <v>10599</v>
      </c>
      <c r="E1536" s="306" t="s">
        <v>10969</v>
      </c>
      <c r="F1536" s="278" t="s">
        <v>4109</v>
      </c>
      <c r="G1536" s="278" t="s">
        <v>4108</v>
      </c>
      <c r="H1536" s="306" t="s">
        <v>11297</v>
      </c>
      <c r="I1536" s="269" t="s">
        <v>11298</v>
      </c>
      <c r="J1536" s="306" t="s">
        <v>10969</v>
      </c>
    </row>
    <row r="1537" spans="1:10" ht="14.5" customHeight="1" x14ac:dyDescent="0.25">
      <c r="A1537" s="278" t="s">
        <v>3705</v>
      </c>
      <c r="B1537" s="278" t="s">
        <v>10904</v>
      </c>
      <c r="C1537" s="278" t="s">
        <v>10598</v>
      </c>
      <c r="D1537" s="279" t="s">
        <v>10599</v>
      </c>
      <c r="E1537" s="306" t="s">
        <v>10969</v>
      </c>
      <c r="F1537" s="278" t="s">
        <v>4109</v>
      </c>
      <c r="G1537" s="278" t="s">
        <v>4108</v>
      </c>
      <c r="H1537" s="306" t="s">
        <v>11299</v>
      </c>
      <c r="I1537" s="269" t="s">
        <v>11300</v>
      </c>
      <c r="J1537" s="306" t="s">
        <v>10969</v>
      </c>
    </row>
    <row r="1538" spans="1:10" ht="14.5" customHeight="1" x14ac:dyDescent="0.25">
      <c r="A1538" s="278" t="s">
        <v>3705</v>
      </c>
      <c r="B1538" s="278" t="s">
        <v>10904</v>
      </c>
      <c r="C1538" s="278" t="s">
        <v>10598</v>
      </c>
      <c r="D1538" s="279" t="s">
        <v>10599</v>
      </c>
      <c r="E1538" s="306" t="s">
        <v>10969</v>
      </c>
      <c r="F1538" s="278" t="s">
        <v>4109</v>
      </c>
      <c r="G1538" s="278" t="s">
        <v>4108</v>
      </c>
      <c r="H1538" s="306" t="s">
        <v>11301</v>
      </c>
      <c r="I1538" s="269" t="s">
        <v>11302</v>
      </c>
      <c r="J1538" s="306" t="s">
        <v>10969</v>
      </c>
    </row>
    <row r="1539" spans="1:10" ht="14.5" customHeight="1" x14ac:dyDescent="0.25">
      <c r="A1539" s="278" t="s">
        <v>3705</v>
      </c>
      <c r="B1539" s="278" t="s">
        <v>10904</v>
      </c>
      <c r="C1539" s="278" t="s">
        <v>10598</v>
      </c>
      <c r="D1539" s="279" t="s">
        <v>10599</v>
      </c>
      <c r="E1539" s="306" t="s">
        <v>10969</v>
      </c>
      <c r="F1539" s="278" t="s">
        <v>4109</v>
      </c>
      <c r="G1539" s="278" t="s">
        <v>4108</v>
      </c>
      <c r="H1539" s="306" t="s">
        <v>11303</v>
      </c>
      <c r="I1539" s="269" t="s">
        <v>11304</v>
      </c>
      <c r="J1539" s="306" t="s">
        <v>10969</v>
      </c>
    </row>
    <row r="1540" spans="1:10" ht="14.5" customHeight="1" x14ac:dyDescent="0.25">
      <c r="A1540" s="278" t="s">
        <v>3705</v>
      </c>
      <c r="B1540" s="278" t="s">
        <v>10904</v>
      </c>
      <c r="C1540" s="278" t="s">
        <v>10598</v>
      </c>
      <c r="D1540" s="279" t="s">
        <v>10599</v>
      </c>
      <c r="E1540" s="306" t="s">
        <v>10969</v>
      </c>
      <c r="F1540" s="278" t="s">
        <v>4109</v>
      </c>
      <c r="G1540" s="278" t="s">
        <v>4108</v>
      </c>
      <c r="H1540" s="306" t="s">
        <v>11305</v>
      </c>
      <c r="I1540" s="269" t="s">
        <v>11306</v>
      </c>
      <c r="J1540" s="306" t="s">
        <v>10969</v>
      </c>
    </row>
    <row r="1541" spans="1:10" ht="14.5" customHeight="1" x14ac:dyDescent="0.25">
      <c r="A1541" s="278" t="s">
        <v>3705</v>
      </c>
      <c r="B1541" s="278" t="s">
        <v>10904</v>
      </c>
      <c r="C1541" s="278" t="s">
        <v>10598</v>
      </c>
      <c r="D1541" s="279" t="s">
        <v>10599</v>
      </c>
      <c r="E1541" s="306" t="s">
        <v>10969</v>
      </c>
      <c r="F1541" s="278" t="s">
        <v>4109</v>
      </c>
      <c r="G1541" s="278" t="s">
        <v>4108</v>
      </c>
      <c r="H1541" s="306" t="s">
        <v>11307</v>
      </c>
      <c r="I1541" s="269" t="s">
        <v>11308</v>
      </c>
      <c r="J1541" s="306" t="s">
        <v>10969</v>
      </c>
    </row>
    <row r="1542" spans="1:10" ht="14.5" customHeight="1" x14ac:dyDescent="0.25">
      <c r="A1542" s="278" t="s">
        <v>3705</v>
      </c>
      <c r="B1542" s="278" t="s">
        <v>10904</v>
      </c>
      <c r="C1542" s="278" t="s">
        <v>10598</v>
      </c>
      <c r="D1542" s="279" t="s">
        <v>10599</v>
      </c>
      <c r="E1542" s="306" t="s">
        <v>10969</v>
      </c>
      <c r="F1542" s="278" t="s">
        <v>4109</v>
      </c>
      <c r="G1542" s="278" t="s">
        <v>4108</v>
      </c>
      <c r="H1542" s="306" t="s">
        <v>11309</v>
      </c>
      <c r="I1542" s="269" t="s">
        <v>11310</v>
      </c>
      <c r="J1542" s="306" t="s">
        <v>10969</v>
      </c>
    </row>
    <row r="1543" spans="1:10" ht="14.5" customHeight="1" x14ac:dyDescent="0.25">
      <c r="A1543" s="278" t="s">
        <v>3705</v>
      </c>
      <c r="B1543" s="278" t="s">
        <v>10904</v>
      </c>
      <c r="C1543" s="278" t="s">
        <v>10598</v>
      </c>
      <c r="D1543" s="279" t="s">
        <v>10599</v>
      </c>
      <c r="E1543" s="306" t="s">
        <v>10969</v>
      </c>
      <c r="F1543" s="278" t="s">
        <v>4109</v>
      </c>
      <c r="G1543" s="278" t="s">
        <v>4108</v>
      </c>
      <c r="H1543" s="306" t="s">
        <v>11313</v>
      </c>
      <c r="I1543" s="269" t="s">
        <v>11314</v>
      </c>
      <c r="J1543" s="306" t="s">
        <v>10969</v>
      </c>
    </row>
    <row r="1544" spans="1:10" ht="14.5" customHeight="1" x14ac:dyDescent="0.25">
      <c r="A1544" s="278" t="s">
        <v>3705</v>
      </c>
      <c r="B1544" s="278" t="s">
        <v>10904</v>
      </c>
      <c r="C1544" s="278" t="s">
        <v>10598</v>
      </c>
      <c r="D1544" s="279" t="s">
        <v>10599</v>
      </c>
      <c r="E1544" s="306" t="s">
        <v>10969</v>
      </c>
      <c r="F1544" s="278" t="s">
        <v>4109</v>
      </c>
      <c r="G1544" s="278" t="s">
        <v>4108</v>
      </c>
      <c r="H1544" s="306" t="s">
        <v>11315</v>
      </c>
      <c r="I1544" s="269" t="s">
        <v>11316</v>
      </c>
      <c r="J1544" s="306" t="s">
        <v>10969</v>
      </c>
    </row>
    <row r="1545" spans="1:10" ht="14.5" customHeight="1" x14ac:dyDescent="0.25">
      <c r="A1545" s="278" t="s">
        <v>3705</v>
      </c>
      <c r="B1545" s="278" t="s">
        <v>10904</v>
      </c>
      <c r="C1545" s="278" t="s">
        <v>10598</v>
      </c>
      <c r="D1545" s="279" t="s">
        <v>10599</v>
      </c>
      <c r="E1545" s="306" t="s">
        <v>10969</v>
      </c>
      <c r="F1545" s="278" t="s">
        <v>4109</v>
      </c>
      <c r="G1545" s="278" t="s">
        <v>4108</v>
      </c>
      <c r="H1545" s="306" t="s">
        <v>11317</v>
      </c>
      <c r="I1545" s="269" t="s">
        <v>11318</v>
      </c>
      <c r="J1545" s="306" t="s">
        <v>10969</v>
      </c>
    </row>
    <row r="1546" spans="1:10" ht="14.5" customHeight="1" x14ac:dyDescent="0.25">
      <c r="A1546" s="278" t="s">
        <v>3705</v>
      </c>
      <c r="B1546" s="278" t="s">
        <v>10904</v>
      </c>
      <c r="C1546" s="278" t="s">
        <v>10598</v>
      </c>
      <c r="D1546" s="279" t="s">
        <v>10599</v>
      </c>
      <c r="E1546" s="306" t="s">
        <v>10969</v>
      </c>
      <c r="F1546" s="278" t="s">
        <v>4109</v>
      </c>
      <c r="G1546" s="278" t="s">
        <v>4108</v>
      </c>
      <c r="H1546" s="306" t="s">
        <v>11321</v>
      </c>
      <c r="I1546" s="269" t="s">
        <v>11322</v>
      </c>
      <c r="J1546" s="306" t="s">
        <v>10969</v>
      </c>
    </row>
    <row r="1547" spans="1:10" ht="14.5" customHeight="1" x14ac:dyDescent="0.25">
      <c r="A1547" s="278" t="s">
        <v>3705</v>
      </c>
      <c r="B1547" s="278" t="s">
        <v>10904</v>
      </c>
      <c r="C1547" s="278" t="s">
        <v>10600</v>
      </c>
      <c r="D1547" s="279" t="s">
        <v>10601</v>
      </c>
      <c r="E1547" s="306" t="s">
        <v>10969</v>
      </c>
      <c r="F1547" s="278" t="s">
        <v>4109</v>
      </c>
      <c r="G1547" s="278" t="s">
        <v>4108</v>
      </c>
      <c r="H1547" s="306" t="s">
        <v>11297</v>
      </c>
      <c r="I1547" s="269" t="s">
        <v>11298</v>
      </c>
      <c r="J1547" s="306" t="s">
        <v>10969</v>
      </c>
    </row>
    <row r="1548" spans="1:10" ht="14.5" customHeight="1" x14ac:dyDescent="0.25">
      <c r="A1548" s="278" t="s">
        <v>3705</v>
      </c>
      <c r="B1548" s="278" t="s">
        <v>10904</v>
      </c>
      <c r="C1548" s="278" t="s">
        <v>10600</v>
      </c>
      <c r="D1548" s="279" t="s">
        <v>10601</v>
      </c>
      <c r="E1548" s="306" t="s">
        <v>10969</v>
      </c>
      <c r="F1548" s="278" t="s">
        <v>4109</v>
      </c>
      <c r="G1548" s="278" t="s">
        <v>4108</v>
      </c>
      <c r="H1548" s="306" t="s">
        <v>11299</v>
      </c>
      <c r="I1548" s="269" t="s">
        <v>11300</v>
      </c>
      <c r="J1548" s="306" t="s">
        <v>10969</v>
      </c>
    </row>
    <row r="1549" spans="1:10" ht="14.5" customHeight="1" x14ac:dyDescent="0.25">
      <c r="A1549" s="278" t="s">
        <v>3705</v>
      </c>
      <c r="B1549" s="278" t="s">
        <v>10904</v>
      </c>
      <c r="C1549" s="278" t="s">
        <v>10600</v>
      </c>
      <c r="D1549" s="279" t="s">
        <v>10601</v>
      </c>
      <c r="E1549" s="306" t="s">
        <v>10969</v>
      </c>
      <c r="F1549" s="278" t="s">
        <v>4109</v>
      </c>
      <c r="G1549" s="278" t="s">
        <v>4108</v>
      </c>
      <c r="H1549" s="306" t="s">
        <v>11301</v>
      </c>
      <c r="I1549" s="269" t="s">
        <v>11302</v>
      </c>
      <c r="J1549" s="306" t="s">
        <v>10969</v>
      </c>
    </row>
    <row r="1550" spans="1:10" ht="14.5" customHeight="1" x14ac:dyDescent="0.25">
      <c r="A1550" s="278" t="s">
        <v>3705</v>
      </c>
      <c r="B1550" s="278" t="s">
        <v>10904</v>
      </c>
      <c r="C1550" s="278" t="s">
        <v>10600</v>
      </c>
      <c r="D1550" s="279" t="s">
        <v>10601</v>
      </c>
      <c r="E1550" s="306" t="s">
        <v>10969</v>
      </c>
      <c r="F1550" s="278" t="s">
        <v>4109</v>
      </c>
      <c r="G1550" s="278" t="s">
        <v>4108</v>
      </c>
      <c r="H1550" s="306" t="s">
        <v>11303</v>
      </c>
      <c r="I1550" s="269" t="s">
        <v>11304</v>
      </c>
      <c r="J1550" s="306" t="s">
        <v>10969</v>
      </c>
    </row>
    <row r="1551" spans="1:10" ht="14.5" customHeight="1" x14ac:dyDescent="0.25">
      <c r="A1551" s="278" t="s">
        <v>3705</v>
      </c>
      <c r="B1551" s="278" t="s">
        <v>10904</v>
      </c>
      <c r="C1551" s="278" t="s">
        <v>10600</v>
      </c>
      <c r="D1551" s="279" t="s">
        <v>10601</v>
      </c>
      <c r="E1551" s="306" t="s">
        <v>10969</v>
      </c>
      <c r="F1551" s="278" t="s">
        <v>4109</v>
      </c>
      <c r="G1551" s="278" t="s">
        <v>4108</v>
      </c>
      <c r="H1551" s="306" t="s">
        <v>11305</v>
      </c>
      <c r="I1551" s="269" t="s">
        <v>11306</v>
      </c>
      <c r="J1551" s="306" t="s">
        <v>10969</v>
      </c>
    </row>
    <row r="1552" spans="1:10" ht="14.5" customHeight="1" x14ac:dyDescent="0.25">
      <c r="A1552" s="278" t="s">
        <v>3705</v>
      </c>
      <c r="B1552" s="278" t="s">
        <v>10904</v>
      </c>
      <c r="C1552" s="278" t="s">
        <v>10600</v>
      </c>
      <c r="D1552" s="279" t="s">
        <v>10601</v>
      </c>
      <c r="E1552" s="306" t="s">
        <v>10969</v>
      </c>
      <c r="F1552" s="278" t="s">
        <v>4109</v>
      </c>
      <c r="G1552" s="278" t="s">
        <v>4108</v>
      </c>
      <c r="H1552" s="306" t="s">
        <v>11307</v>
      </c>
      <c r="I1552" s="269" t="s">
        <v>11308</v>
      </c>
      <c r="J1552" s="306" t="s">
        <v>10969</v>
      </c>
    </row>
    <row r="1553" spans="1:10" ht="14.5" customHeight="1" x14ac:dyDescent="0.25">
      <c r="A1553" s="278" t="s">
        <v>3705</v>
      </c>
      <c r="B1553" s="278" t="s">
        <v>10904</v>
      </c>
      <c r="C1553" s="278" t="s">
        <v>10600</v>
      </c>
      <c r="D1553" s="279" t="s">
        <v>10601</v>
      </c>
      <c r="E1553" s="306" t="s">
        <v>10969</v>
      </c>
      <c r="F1553" s="278" t="s">
        <v>4109</v>
      </c>
      <c r="G1553" s="278" t="s">
        <v>4108</v>
      </c>
      <c r="H1553" s="306" t="s">
        <v>11309</v>
      </c>
      <c r="I1553" s="269" t="s">
        <v>11310</v>
      </c>
      <c r="J1553" s="306" t="s">
        <v>10969</v>
      </c>
    </row>
    <row r="1554" spans="1:10" ht="14.5" customHeight="1" x14ac:dyDescent="0.25">
      <c r="A1554" s="278" t="s">
        <v>3705</v>
      </c>
      <c r="B1554" s="278" t="s">
        <v>10904</v>
      </c>
      <c r="C1554" s="278" t="s">
        <v>10600</v>
      </c>
      <c r="D1554" s="279" t="s">
        <v>10601</v>
      </c>
      <c r="E1554" s="306" t="s">
        <v>10969</v>
      </c>
      <c r="F1554" s="278" t="s">
        <v>4109</v>
      </c>
      <c r="G1554" s="278" t="s">
        <v>4108</v>
      </c>
      <c r="H1554" s="306" t="s">
        <v>11313</v>
      </c>
      <c r="I1554" s="269" t="s">
        <v>11314</v>
      </c>
      <c r="J1554" s="306" t="s">
        <v>10969</v>
      </c>
    </row>
    <row r="1555" spans="1:10" ht="14.5" customHeight="1" x14ac:dyDescent="0.25">
      <c r="A1555" s="278" t="s">
        <v>3705</v>
      </c>
      <c r="B1555" s="278" t="s">
        <v>10904</v>
      </c>
      <c r="C1555" s="278" t="s">
        <v>10600</v>
      </c>
      <c r="D1555" s="279" t="s">
        <v>10601</v>
      </c>
      <c r="E1555" s="306" t="s">
        <v>10969</v>
      </c>
      <c r="F1555" s="278" t="s">
        <v>4109</v>
      </c>
      <c r="G1555" s="278" t="s">
        <v>4108</v>
      </c>
      <c r="H1555" s="306" t="s">
        <v>11315</v>
      </c>
      <c r="I1555" s="269" t="s">
        <v>11316</v>
      </c>
      <c r="J1555" s="306" t="s">
        <v>10969</v>
      </c>
    </row>
    <row r="1556" spans="1:10" ht="14.5" customHeight="1" x14ac:dyDescent="0.25">
      <c r="A1556" s="278" t="s">
        <v>3705</v>
      </c>
      <c r="B1556" s="278" t="s">
        <v>10904</v>
      </c>
      <c r="C1556" s="278" t="s">
        <v>10600</v>
      </c>
      <c r="D1556" s="279" t="s">
        <v>10601</v>
      </c>
      <c r="E1556" s="306" t="s">
        <v>10969</v>
      </c>
      <c r="F1556" s="278" t="s">
        <v>4109</v>
      </c>
      <c r="G1556" s="278" t="s">
        <v>4108</v>
      </c>
      <c r="H1556" s="306" t="s">
        <v>11317</v>
      </c>
      <c r="I1556" s="269" t="s">
        <v>11318</v>
      </c>
      <c r="J1556" s="306" t="s">
        <v>10969</v>
      </c>
    </row>
    <row r="1557" spans="1:10" ht="14.5" customHeight="1" x14ac:dyDescent="0.25">
      <c r="A1557" s="278" t="s">
        <v>3705</v>
      </c>
      <c r="B1557" s="278" t="s">
        <v>10904</v>
      </c>
      <c r="C1557" s="278" t="s">
        <v>10600</v>
      </c>
      <c r="D1557" s="279" t="s">
        <v>10601</v>
      </c>
      <c r="E1557" s="306" t="s">
        <v>10969</v>
      </c>
      <c r="F1557" s="278" t="s">
        <v>4109</v>
      </c>
      <c r="G1557" s="278" t="s">
        <v>4108</v>
      </c>
      <c r="H1557" s="306" t="s">
        <v>11321</v>
      </c>
      <c r="I1557" s="269" t="s">
        <v>11322</v>
      </c>
      <c r="J1557" s="306" t="s">
        <v>10969</v>
      </c>
    </row>
    <row r="1558" spans="1:10" ht="14.5" customHeight="1" x14ac:dyDescent="0.25">
      <c r="A1558" s="278" t="s">
        <v>3705</v>
      </c>
      <c r="B1558" s="278" t="s">
        <v>10904</v>
      </c>
      <c r="C1558" s="278" t="s">
        <v>10602</v>
      </c>
      <c r="D1558" s="279" t="s">
        <v>10603</v>
      </c>
      <c r="E1558" s="306" t="s">
        <v>10969</v>
      </c>
      <c r="F1558" s="278" t="s">
        <v>4109</v>
      </c>
      <c r="G1558" s="278" t="s">
        <v>4108</v>
      </c>
      <c r="H1558" s="306" t="s">
        <v>11299</v>
      </c>
      <c r="I1558" s="269" t="s">
        <v>11300</v>
      </c>
      <c r="J1558" s="306" t="s">
        <v>10969</v>
      </c>
    </row>
    <row r="1559" spans="1:10" ht="14.5" customHeight="1" x14ac:dyDescent="0.25">
      <c r="A1559" s="278" t="s">
        <v>3705</v>
      </c>
      <c r="B1559" s="278" t="s">
        <v>10904</v>
      </c>
      <c r="C1559" s="278" t="s">
        <v>10602</v>
      </c>
      <c r="D1559" s="279" t="s">
        <v>10603</v>
      </c>
      <c r="E1559" s="306" t="s">
        <v>10969</v>
      </c>
      <c r="F1559" s="278" t="s">
        <v>4109</v>
      </c>
      <c r="G1559" s="278" t="s">
        <v>4108</v>
      </c>
      <c r="H1559" s="306" t="s">
        <v>11325</v>
      </c>
      <c r="I1559" s="269" t="s">
        <v>11326</v>
      </c>
      <c r="J1559" s="306" t="s">
        <v>10969</v>
      </c>
    </row>
    <row r="1560" spans="1:10" ht="14.5" customHeight="1" x14ac:dyDescent="0.25">
      <c r="A1560" s="278" t="s">
        <v>3705</v>
      </c>
      <c r="B1560" s="278" t="s">
        <v>10904</v>
      </c>
      <c r="C1560" s="278" t="s">
        <v>10602</v>
      </c>
      <c r="D1560" s="279" t="s">
        <v>10603</v>
      </c>
      <c r="E1560" s="306" t="s">
        <v>10969</v>
      </c>
      <c r="F1560" s="278" t="s">
        <v>4109</v>
      </c>
      <c r="G1560" s="278" t="s">
        <v>4108</v>
      </c>
      <c r="H1560" s="306" t="s">
        <v>11331</v>
      </c>
      <c r="I1560" s="269" t="s">
        <v>11332</v>
      </c>
      <c r="J1560" s="306" t="s">
        <v>10969</v>
      </c>
    </row>
    <row r="1561" spans="1:10" ht="14.5" customHeight="1" x14ac:dyDescent="0.25">
      <c r="A1561" s="278" t="s">
        <v>3705</v>
      </c>
      <c r="B1561" s="278" t="s">
        <v>10904</v>
      </c>
      <c r="C1561" s="278" t="s">
        <v>10602</v>
      </c>
      <c r="D1561" s="279" t="s">
        <v>10603</v>
      </c>
      <c r="E1561" s="306" t="s">
        <v>10969</v>
      </c>
      <c r="F1561" s="278" t="s">
        <v>4109</v>
      </c>
      <c r="G1561" s="278" t="s">
        <v>4108</v>
      </c>
      <c r="H1561" s="306" t="s">
        <v>11321</v>
      </c>
      <c r="I1561" s="269" t="s">
        <v>11322</v>
      </c>
      <c r="J1561" s="306" t="s">
        <v>10969</v>
      </c>
    </row>
    <row r="1562" spans="1:10" ht="14.5" customHeight="1" x14ac:dyDescent="0.25">
      <c r="A1562" s="278" t="s">
        <v>3705</v>
      </c>
      <c r="B1562" s="278" t="s">
        <v>10904</v>
      </c>
      <c r="C1562" s="278" t="s">
        <v>10604</v>
      </c>
      <c r="D1562" s="279" t="s">
        <v>10605</v>
      </c>
      <c r="E1562" s="306" t="s">
        <v>10969</v>
      </c>
      <c r="F1562" s="278" t="s">
        <v>4109</v>
      </c>
      <c r="G1562" s="278" t="s">
        <v>4109</v>
      </c>
      <c r="H1562" s="306" t="s">
        <v>11299</v>
      </c>
      <c r="I1562" s="269" t="s">
        <v>11300</v>
      </c>
      <c r="J1562" s="306" t="s">
        <v>10969</v>
      </c>
    </row>
    <row r="1563" spans="1:10" ht="14.5" customHeight="1" x14ac:dyDescent="0.25">
      <c r="A1563" s="278" t="s">
        <v>3705</v>
      </c>
      <c r="B1563" s="278" t="s">
        <v>10904</v>
      </c>
      <c r="C1563" s="278" t="s">
        <v>10604</v>
      </c>
      <c r="D1563" s="279" t="s">
        <v>10605</v>
      </c>
      <c r="E1563" s="306" t="s">
        <v>10969</v>
      </c>
      <c r="F1563" s="278" t="s">
        <v>4109</v>
      </c>
      <c r="G1563" s="278" t="s">
        <v>4109</v>
      </c>
      <c r="H1563" s="306" t="s">
        <v>11305</v>
      </c>
      <c r="I1563" s="269" t="s">
        <v>11306</v>
      </c>
      <c r="J1563" s="306" t="s">
        <v>10969</v>
      </c>
    </row>
    <row r="1564" spans="1:10" ht="14.5" customHeight="1" x14ac:dyDescent="0.25">
      <c r="A1564" s="278" t="s">
        <v>3705</v>
      </c>
      <c r="B1564" s="278" t="s">
        <v>10904</v>
      </c>
      <c r="C1564" s="278" t="s">
        <v>10604</v>
      </c>
      <c r="D1564" s="279" t="s">
        <v>10605</v>
      </c>
      <c r="E1564" s="306" t="s">
        <v>10969</v>
      </c>
      <c r="F1564" s="278" t="s">
        <v>4109</v>
      </c>
      <c r="G1564" s="278" t="s">
        <v>4109</v>
      </c>
      <c r="H1564" s="306" t="s">
        <v>11321</v>
      </c>
      <c r="I1564" s="269" t="s">
        <v>11322</v>
      </c>
      <c r="J1564" s="306" t="s">
        <v>10969</v>
      </c>
    </row>
    <row r="1565" spans="1:10" ht="14.5" customHeight="1" x14ac:dyDescent="0.25">
      <c r="A1565" s="278" t="s">
        <v>3705</v>
      </c>
      <c r="B1565" s="278" t="s">
        <v>10904</v>
      </c>
      <c r="C1565" s="278" t="s">
        <v>10606</v>
      </c>
      <c r="D1565" s="279" t="s">
        <v>10607</v>
      </c>
      <c r="E1565" s="306" t="s">
        <v>10969</v>
      </c>
      <c r="F1565" s="278" t="s">
        <v>4109</v>
      </c>
      <c r="G1565" s="278" t="s">
        <v>4108</v>
      </c>
      <c r="H1565" s="306" t="s">
        <v>11299</v>
      </c>
      <c r="I1565" s="269" t="s">
        <v>11300</v>
      </c>
      <c r="J1565" s="306" t="s">
        <v>10969</v>
      </c>
    </row>
    <row r="1566" spans="1:10" ht="14.5" customHeight="1" x14ac:dyDescent="0.25">
      <c r="A1566" s="278" t="s">
        <v>3705</v>
      </c>
      <c r="B1566" s="278" t="s">
        <v>10904</v>
      </c>
      <c r="C1566" s="278" t="s">
        <v>10606</v>
      </c>
      <c r="D1566" s="279" t="s">
        <v>10607</v>
      </c>
      <c r="E1566" s="306" t="s">
        <v>10969</v>
      </c>
      <c r="F1566" s="278" t="s">
        <v>4109</v>
      </c>
      <c r="G1566" s="278" t="s">
        <v>4108</v>
      </c>
      <c r="H1566" s="306" t="s">
        <v>11301</v>
      </c>
      <c r="I1566" s="269" t="s">
        <v>11302</v>
      </c>
      <c r="J1566" s="306" t="s">
        <v>10969</v>
      </c>
    </row>
    <row r="1567" spans="1:10" ht="14.5" customHeight="1" x14ac:dyDescent="0.25">
      <c r="A1567" s="278" t="s">
        <v>3705</v>
      </c>
      <c r="B1567" s="278" t="s">
        <v>10904</v>
      </c>
      <c r="C1567" s="278" t="s">
        <v>10606</v>
      </c>
      <c r="D1567" s="279" t="s">
        <v>10607</v>
      </c>
      <c r="E1567" s="306" t="s">
        <v>10969</v>
      </c>
      <c r="F1567" s="278" t="s">
        <v>4109</v>
      </c>
      <c r="G1567" s="278" t="s">
        <v>4108</v>
      </c>
      <c r="H1567" s="306" t="s">
        <v>11303</v>
      </c>
      <c r="I1567" s="269" t="s">
        <v>11304</v>
      </c>
      <c r="J1567" s="306" t="s">
        <v>10969</v>
      </c>
    </row>
    <row r="1568" spans="1:10" ht="14.5" customHeight="1" x14ac:dyDescent="0.25">
      <c r="A1568" s="278" t="s">
        <v>3705</v>
      </c>
      <c r="B1568" s="278" t="s">
        <v>10904</v>
      </c>
      <c r="C1568" s="278" t="s">
        <v>10606</v>
      </c>
      <c r="D1568" s="279" t="s">
        <v>10607</v>
      </c>
      <c r="E1568" s="306" t="s">
        <v>10969</v>
      </c>
      <c r="F1568" s="278" t="s">
        <v>4109</v>
      </c>
      <c r="G1568" s="278" t="s">
        <v>4108</v>
      </c>
      <c r="H1568" s="306" t="s">
        <v>11309</v>
      </c>
      <c r="I1568" s="269" t="s">
        <v>11310</v>
      </c>
      <c r="J1568" s="306" t="s">
        <v>10969</v>
      </c>
    </row>
    <row r="1569" spans="1:10" ht="14.5" customHeight="1" x14ac:dyDescent="0.25">
      <c r="A1569" s="278" t="s">
        <v>3705</v>
      </c>
      <c r="B1569" s="278" t="s">
        <v>10904</v>
      </c>
      <c r="C1569" s="278" t="s">
        <v>10606</v>
      </c>
      <c r="D1569" s="279" t="s">
        <v>10607</v>
      </c>
      <c r="E1569" s="306" t="s">
        <v>10969</v>
      </c>
      <c r="F1569" s="278" t="s">
        <v>4109</v>
      </c>
      <c r="G1569" s="278" t="s">
        <v>4108</v>
      </c>
      <c r="H1569" s="306" t="s">
        <v>11321</v>
      </c>
      <c r="I1569" s="269" t="s">
        <v>11322</v>
      </c>
      <c r="J1569" s="306" t="s">
        <v>10969</v>
      </c>
    </row>
    <row r="1570" spans="1:10" ht="14.5" customHeight="1" x14ac:dyDescent="0.25">
      <c r="A1570" s="278" t="s">
        <v>3705</v>
      </c>
      <c r="B1570" s="278" t="s">
        <v>10904</v>
      </c>
      <c r="C1570" s="278" t="s">
        <v>10608</v>
      </c>
      <c r="D1570" s="279" t="s">
        <v>10609</v>
      </c>
      <c r="E1570" s="306" t="s">
        <v>10969</v>
      </c>
      <c r="F1570" s="278" t="s">
        <v>4109</v>
      </c>
      <c r="G1570" s="278" t="s">
        <v>4108</v>
      </c>
      <c r="H1570" s="306" t="s">
        <v>11219</v>
      </c>
      <c r="I1570" s="269" t="s">
        <v>11220</v>
      </c>
      <c r="J1570" s="306" t="s">
        <v>10969</v>
      </c>
    </row>
    <row r="1571" spans="1:10" ht="14.5" customHeight="1" x14ac:dyDescent="0.25">
      <c r="A1571" s="278" t="s">
        <v>3705</v>
      </c>
      <c r="B1571" s="278" t="s">
        <v>10904</v>
      </c>
      <c r="C1571" s="278" t="s">
        <v>10608</v>
      </c>
      <c r="D1571" s="279" t="s">
        <v>10609</v>
      </c>
      <c r="E1571" s="306" t="s">
        <v>10969</v>
      </c>
      <c r="F1571" s="278" t="s">
        <v>4109</v>
      </c>
      <c r="G1571" s="278" t="s">
        <v>4108</v>
      </c>
      <c r="H1571" s="306" t="s">
        <v>11299</v>
      </c>
      <c r="I1571" s="269" t="s">
        <v>11300</v>
      </c>
      <c r="J1571" s="306" t="s">
        <v>10969</v>
      </c>
    </row>
    <row r="1572" spans="1:10" ht="14.5" customHeight="1" x14ac:dyDescent="0.25">
      <c r="A1572" s="278" t="s">
        <v>3705</v>
      </c>
      <c r="B1572" s="278" t="s">
        <v>10904</v>
      </c>
      <c r="C1572" s="278" t="s">
        <v>10608</v>
      </c>
      <c r="D1572" s="279" t="s">
        <v>10609</v>
      </c>
      <c r="E1572" s="306" t="s">
        <v>10969</v>
      </c>
      <c r="F1572" s="278" t="s">
        <v>4109</v>
      </c>
      <c r="G1572" s="278" t="s">
        <v>4108</v>
      </c>
      <c r="H1572" s="306" t="s">
        <v>11301</v>
      </c>
      <c r="I1572" s="269" t="s">
        <v>11302</v>
      </c>
      <c r="J1572" s="306" t="s">
        <v>10969</v>
      </c>
    </row>
    <row r="1573" spans="1:10" ht="14.5" customHeight="1" x14ac:dyDescent="0.25">
      <c r="A1573" s="278" t="s">
        <v>3705</v>
      </c>
      <c r="B1573" s="278" t="s">
        <v>10904</v>
      </c>
      <c r="C1573" s="278" t="s">
        <v>10608</v>
      </c>
      <c r="D1573" s="279" t="s">
        <v>10609</v>
      </c>
      <c r="E1573" s="306" t="s">
        <v>10969</v>
      </c>
      <c r="F1573" s="278" t="s">
        <v>4109</v>
      </c>
      <c r="G1573" s="278" t="s">
        <v>4108</v>
      </c>
      <c r="H1573" s="306" t="s">
        <v>11303</v>
      </c>
      <c r="I1573" s="269" t="s">
        <v>11304</v>
      </c>
      <c r="J1573" s="306" t="s">
        <v>10969</v>
      </c>
    </row>
    <row r="1574" spans="1:10" ht="14.5" customHeight="1" x14ac:dyDescent="0.25">
      <c r="A1574" s="278" t="s">
        <v>3705</v>
      </c>
      <c r="B1574" s="278" t="s">
        <v>10904</v>
      </c>
      <c r="C1574" s="278" t="s">
        <v>10608</v>
      </c>
      <c r="D1574" s="279" t="s">
        <v>10609</v>
      </c>
      <c r="E1574" s="306" t="s">
        <v>10969</v>
      </c>
      <c r="F1574" s="278" t="s">
        <v>4109</v>
      </c>
      <c r="G1574" s="278" t="s">
        <v>4108</v>
      </c>
      <c r="H1574" s="306" t="s">
        <v>11325</v>
      </c>
      <c r="I1574" s="269" t="s">
        <v>11326</v>
      </c>
      <c r="J1574" s="306" t="s">
        <v>10969</v>
      </c>
    </row>
    <row r="1575" spans="1:10" ht="14.5" customHeight="1" x14ac:dyDescent="0.25">
      <c r="A1575" s="278" t="s">
        <v>3705</v>
      </c>
      <c r="B1575" s="278" t="s">
        <v>10904</v>
      </c>
      <c r="C1575" s="278" t="s">
        <v>10608</v>
      </c>
      <c r="D1575" s="279" t="s">
        <v>10609</v>
      </c>
      <c r="E1575" s="306" t="s">
        <v>10969</v>
      </c>
      <c r="F1575" s="278" t="s">
        <v>4109</v>
      </c>
      <c r="G1575" s="278" t="s">
        <v>4108</v>
      </c>
      <c r="H1575" s="306" t="s">
        <v>11309</v>
      </c>
      <c r="I1575" s="269" t="s">
        <v>11310</v>
      </c>
      <c r="J1575" s="306" t="s">
        <v>10969</v>
      </c>
    </row>
    <row r="1576" spans="1:10" ht="14.5" customHeight="1" x14ac:dyDescent="0.25">
      <c r="A1576" s="278" t="s">
        <v>3705</v>
      </c>
      <c r="B1576" s="278" t="s">
        <v>10904</v>
      </c>
      <c r="C1576" s="278" t="s">
        <v>10608</v>
      </c>
      <c r="D1576" s="279" t="s">
        <v>10609</v>
      </c>
      <c r="E1576" s="306" t="s">
        <v>10969</v>
      </c>
      <c r="F1576" s="278" t="s">
        <v>4109</v>
      </c>
      <c r="G1576" s="278" t="s">
        <v>4108</v>
      </c>
      <c r="H1576" s="306" t="s">
        <v>11221</v>
      </c>
      <c r="I1576" s="269" t="s">
        <v>11222</v>
      </c>
      <c r="J1576" s="306" t="s">
        <v>10969</v>
      </c>
    </row>
    <row r="1577" spans="1:10" ht="14.5" customHeight="1" x14ac:dyDescent="0.25">
      <c r="A1577" s="278" t="s">
        <v>3705</v>
      </c>
      <c r="B1577" s="278" t="s">
        <v>10904</v>
      </c>
      <c r="C1577" s="278" t="s">
        <v>10610</v>
      </c>
      <c r="D1577" s="279" t="s">
        <v>10611</v>
      </c>
      <c r="E1577" s="306" t="s">
        <v>10969</v>
      </c>
      <c r="F1577" s="278" t="s">
        <v>4109</v>
      </c>
      <c r="G1577" s="278" t="s">
        <v>4108</v>
      </c>
      <c r="H1577" s="306" t="s">
        <v>11219</v>
      </c>
      <c r="I1577" s="269" t="s">
        <v>11220</v>
      </c>
      <c r="J1577" s="306" t="s">
        <v>10969</v>
      </c>
    </row>
    <row r="1578" spans="1:10" ht="14.5" customHeight="1" x14ac:dyDescent="0.25">
      <c r="A1578" s="278" t="s">
        <v>3705</v>
      </c>
      <c r="B1578" s="278" t="s">
        <v>10904</v>
      </c>
      <c r="C1578" s="278" t="s">
        <v>10610</v>
      </c>
      <c r="D1578" s="279" t="s">
        <v>10611</v>
      </c>
      <c r="E1578" s="306" t="s">
        <v>10969</v>
      </c>
      <c r="F1578" s="278" t="s">
        <v>4109</v>
      </c>
      <c r="G1578" s="278" t="s">
        <v>4108</v>
      </c>
      <c r="H1578" s="306" t="s">
        <v>11299</v>
      </c>
      <c r="I1578" s="269" t="s">
        <v>11300</v>
      </c>
      <c r="J1578" s="306" t="s">
        <v>10969</v>
      </c>
    </row>
    <row r="1579" spans="1:10" ht="14.5" customHeight="1" x14ac:dyDescent="0.25">
      <c r="A1579" s="278" t="s">
        <v>3705</v>
      </c>
      <c r="B1579" s="278" t="s">
        <v>10904</v>
      </c>
      <c r="C1579" s="278" t="s">
        <v>10610</v>
      </c>
      <c r="D1579" s="279" t="s">
        <v>10611</v>
      </c>
      <c r="E1579" s="306" t="s">
        <v>10969</v>
      </c>
      <c r="F1579" s="278" t="s">
        <v>4109</v>
      </c>
      <c r="G1579" s="278" t="s">
        <v>4108</v>
      </c>
      <c r="H1579" s="306" t="s">
        <v>11305</v>
      </c>
      <c r="I1579" s="269" t="s">
        <v>11306</v>
      </c>
      <c r="J1579" s="306" t="s">
        <v>10969</v>
      </c>
    </row>
    <row r="1580" spans="1:10" ht="14.5" customHeight="1" x14ac:dyDescent="0.25">
      <c r="A1580" s="278" t="s">
        <v>3705</v>
      </c>
      <c r="B1580" s="278" t="s">
        <v>10904</v>
      </c>
      <c r="C1580" s="278" t="s">
        <v>10610</v>
      </c>
      <c r="D1580" s="279" t="s">
        <v>10611</v>
      </c>
      <c r="E1580" s="306" t="s">
        <v>10969</v>
      </c>
      <c r="F1580" s="278" t="s">
        <v>4109</v>
      </c>
      <c r="G1580" s="278" t="s">
        <v>4108</v>
      </c>
      <c r="H1580" s="306" t="s">
        <v>11221</v>
      </c>
      <c r="I1580" s="269" t="s">
        <v>11222</v>
      </c>
      <c r="J1580" s="306" t="s">
        <v>10969</v>
      </c>
    </row>
    <row r="1581" spans="1:10" ht="14.5" customHeight="1" x14ac:dyDescent="0.25">
      <c r="A1581" s="278" t="s">
        <v>3705</v>
      </c>
      <c r="B1581" s="278" t="s">
        <v>10904</v>
      </c>
      <c r="C1581" s="278" t="s">
        <v>10610</v>
      </c>
      <c r="D1581" s="279" t="s">
        <v>10611</v>
      </c>
      <c r="E1581" s="306" t="s">
        <v>10969</v>
      </c>
      <c r="F1581" s="278" t="s">
        <v>4109</v>
      </c>
      <c r="G1581" s="278" t="s">
        <v>4108</v>
      </c>
      <c r="H1581" s="306" t="s">
        <v>11321</v>
      </c>
      <c r="I1581" s="269" t="s">
        <v>11322</v>
      </c>
      <c r="J1581" s="306" t="s">
        <v>10969</v>
      </c>
    </row>
    <row r="1582" spans="1:10" ht="14.5" customHeight="1" x14ac:dyDescent="0.25">
      <c r="A1582" s="278" t="s">
        <v>3705</v>
      </c>
      <c r="B1582" s="278" t="s">
        <v>10904</v>
      </c>
      <c r="C1582" s="278" t="s">
        <v>10612</v>
      </c>
      <c r="D1582" s="279" t="s">
        <v>10613</v>
      </c>
      <c r="E1582" s="306" t="s">
        <v>10969</v>
      </c>
      <c r="F1582" s="278" t="s">
        <v>4109</v>
      </c>
      <c r="G1582" s="278" t="s">
        <v>4108</v>
      </c>
      <c r="H1582" s="306" t="s">
        <v>11329</v>
      </c>
      <c r="I1582" s="269" t="s">
        <v>11330</v>
      </c>
      <c r="J1582" s="306" t="s">
        <v>10969</v>
      </c>
    </row>
    <row r="1583" spans="1:10" ht="14.5" customHeight="1" x14ac:dyDescent="0.25">
      <c r="A1583" s="278" t="s">
        <v>3705</v>
      </c>
      <c r="B1583" s="278" t="s">
        <v>10904</v>
      </c>
      <c r="C1583" s="278" t="s">
        <v>10612</v>
      </c>
      <c r="D1583" s="279" t="s">
        <v>10613</v>
      </c>
      <c r="E1583" s="306" t="s">
        <v>10969</v>
      </c>
      <c r="F1583" s="278" t="s">
        <v>4109</v>
      </c>
      <c r="G1583" s="278" t="s">
        <v>4108</v>
      </c>
      <c r="H1583" s="306" t="s">
        <v>11321</v>
      </c>
      <c r="I1583" s="269" t="s">
        <v>11322</v>
      </c>
      <c r="J1583" s="306" t="s">
        <v>10969</v>
      </c>
    </row>
    <row r="1584" spans="1:10" ht="14.5" customHeight="1" x14ac:dyDescent="0.25">
      <c r="A1584" s="278" t="s">
        <v>3705</v>
      </c>
      <c r="B1584" s="278" t="s">
        <v>10904</v>
      </c>
      <c r="C1584" s="278" t="s">
        <v>10614</v>
      </c>
      <c r="D1584" s="279" t="s">
        <v>10615</v>
      </c>
      <c r="E1584" s="306" t="s">
        <v>10969</v>
      </c>
      <c r="F1584" s="278" t="s">
        <v>4109</v>
      </c>
      <c r="G1584" s="278" t="s">
        <v>4108</v>
      </c>
      <c r="H1584" s="306" t="s">
        <v>11329</v>
      </c>
      <c r="I1584" s="269" t="s">
        <v>11330</v>
      </c>
      <c r="J1584" s="306" t="s">
        <v>10969</v>
      </c>
    </row>
    <row r="1585" spans="1:10" ht="14.5" customHeight="1" x14ac:dyDescent="0.25">
      <c r="A1585" s="278" t="s">
        <v>3705</v>
      </c>
      <c r="B1585" s="278" t="s">
        <v>10904</v>
      </c>
      <c r="C1585" s="278" t="s">
        <v>10614</v>
      </c>
      <c r="D1585" s="279" t="s">
        <v>10615</v>
      </c>
      <c r="E1585" s="306" t="s">
        <v>10969</v>
      </c>
      <c r="F1585" s="278" t="s">
        <v>4109</v>
      </c>
      <c r="G1585" s="278" t="s">
        <v>4108</v>
      </c>
      <c r="H1585" s="306" t="s">
        <v>11321</v>
      </c>
      <c r="I1585" s="269" t="s">
        <v>11322</v>
      </c>
      <c r="J1585" s="306" t="s">
        <v>10969</v>
      </c>
    </row>
    <row r="1586" spans="1:10" ht="14.5" customHeight="1" x14ac:dyDescent="0.25">
      <c r="A1586" s="278" t="s">
        <v>3705</v>
      </c>
      <c r="B1586" s="278" t="s">
        <v>10904</v>
      </c>
      <c r="C1586" s="278" t="s">
        <v>10616</v>
      </c>
      <c r="D1586" s="279" t="s">
        <v>10617</v>
      </c>
      <c r="E1586" s="306" t="s">
        <v>10969</v>
      </c>
      <c r="F1586" s="278" t="s">
        <v>4109</v>
      </c>
      <c r="G1586" s="278" t="s">
        <v>4108</v>
      </c>
      <c r="H1586" s="306" t="s">
        <v>11329</v>
      </c>
      <c r="I1586" s="269" t="s">
        <v>11330</v>
      </c>
      <c r="J1586" s="306" t="s">
        <v>10969</v>
      </c>
    </row>
    <row r="1587" spans="1:10" ht="14.5" customHeight="1" x14ac:dyDescent="0.25">
      <c r="A1587" s="278" t="s">
        <v>3705</v>
      </c>
      <c r="B1587" s="278" t="s">
        <v>10904</v>
      </c>
      <c r="C1587" s="278" t="s">
        <v>10616</v>
      </c>
      <c r="D1587" s="279" t="s">
        <v>10617</v>
      </c>
      <c r="E1587" s="306" t="s">
        <v>10969</v>
      </c>
      <c r="F1587" s="278" t="s">
        <v>4109</v>
      </c>
      <c r="G1587" s="278" t="s">
        <v>4108</v>
      </c>
      <c r="H1587" s="306" t="s">
        <v>11321</v>
      </c>
      <c r="I1587" s="269" t="s">
        <v>11322</v>
      </c>
      <c r="J1587" s="306" t="s">
        <v>10969</v>
      </c>
    </row>
    <row r="1588" spans="1:10" ht="14.5" customHeight="1" x14ac:dyDescent="0.25">
      <c r="A1588" s="278" t="s">
        <v>3705</v>
      </c>
      <c r="B1588" s="278" t="s">
        <v>10904</v>
      </c>
      <c r="C1588" s="278" t="s">
        <v>10618</v>
      </c>
      <c r="D1588" s="279" t="s">
        <v>10619</v>
      </c>
      <c r="E1588" s="306" t="s">
        <v>10969</v>
      </c>
      <c r="F1588" s="278" t="s">
        <v>4109</v>
      </c>
      <c r="G1588" s="278" t="s">
        <v>4108</v>
      </c>
      <c r="H1588" s="306" t="s">
        <v>11297</v>
      </c>
      <c r="I1588" s="269" t="s">
        <v>11298</v>
      </c>
      <c r="J1588" s="306" t="s">
        <v>10969</v>
      </c>
    </row>
    <row r="1589" spans="1:10" ht="14.5" customHeight="1" x14ac:dyDescent="0.25">
      <c r="A1589" s="278" t="s">
        <v>3705</v>
      </c>
      <c r="B1589" s="278" t="s">
        <v>10904</v>
      </c>
      <c r="C1589" s="278" t="s">
        <v>10618</v>
      </c>
      <c r="D1589" s="279" t="s">
        <v>10619</v>
      </c>
      <c r="E1589" s="306" t="s">
        <v>10969</v>
      </c>
      <c r="F1589" s="278" t="s">
        <v>4109</v>
      </c>
      <c r="G1589" s="278" t="s">
        <v>4108</v>
      </c>
      <c r="H1589" s="306" t="s">
        <v>11301</v>
      </c>
      <c r="I1589" s="269" t="s">
        <v>11302</v>
      </c>
      <c r="J1589" s="306" t="s">
        <v>10969</v>
      </c>
    </row>
    <row r="1590" spans="1:10" ht="14.5" customHeight="1" x14ac:dyDescent="0.25">
      <c r="A1590" s="278" t="s">
        <v>3705</v>
      </c>
      <c r="B1590" s="278" t="s">
        <v>10904</v>
      </c>
      <c r="C1590" s="278" t="s">
        <v>10618</v>
      </c>
      <c r="D1590" s="279" t="s">
        <v>10619</v>
      </c>
      <c r="E1590" s="306" t="s">
        <v>10969</v>
      </c>
      <c r="F1590" s="278" t="s">
        <v>4109</v>
      </c>
      <c r="G1590" s="278" t="s">
        <v>4108</v>
      </c>
      <c r="H1590" s="306" t="s">
        <v>11323</v>
      </c>
      <c r="I1590" s="269" t="s">
        <v>11324</v>
      </c>
      <c r="J1590" s="306" t="s">
        <v>10969</v>
      </c>
    </row>
    <row r="1591" spans="1:10" ht="14.5" customHeight="1" x14ac:dyDescent="0.25">
      <c r="A1591" s="278" t="s">
        <v>3705</v>
      </c>
      <c r="B1591" s="278" t="s">
        <v>10904</v>
      </c>
      <c r="C1591" s="278" t="s">
        <v>10618</v>
      </c>
      <c r="D1591" s="279" t="s">
        <v>10619</v>
      </c>
      <c r="E1591" s="306" t="s">
        <v>10969</v>
      </c>
      <c r="F1591" s="278" t="s">
        <v>4109</v>
      </c>
      <c r="G1591" s="278" t="s">
        <v>4108</v>
      </c>
      <c r="H1591" s="306" t="s">
        <v>11313</v>
      </c>
      <c r="I1591" s="269" t="s">
        <v>11314</v>
      </c>
      <c r="J1591" s="306" t="s">
        <v>10969</v>
      </c>
    </row>
    <row r="1592" spans="1:10" ht="14.5" customHeight="1" x14ac:dyDescent="0.25">
      <c r="A1592" s="278" t="s">
        <v>3705</v>
      </c>
      <c r="B1592" s="278" t="s">
        <v>10904</v>
      </c>
      <c r="C1592" s="278" t="s">
        <v>10618</v>
      </c>
      <c r="D1592" s="279" t="s">
        <v>10619</v>
      </c>
      <c r="E1592" s="306" t="s">
        <v>10969</v>
      </c>
      <c r="F1592" s="278" t="s">
        <v>4109</v>
      </c>
      <c r="G1592" s="278" t="s">
        <v>4108</v>
      </c>
      <c r="H1592" s="306" t="s">
        <v>11315</v>
      </c>
      <c r="I1592" s="269" t="s">
        <v>11316</v>
      </c>
      <c r="J1592" s="306" t="s">
        <v>10969</v>
      </c>
    </row>
    <row r="1593" spans="1:10" ht="14.5" customHeight="1" x14ac:dyDescent="0.25">
      <c r="A1593" s="278" t="s">
        <v>3705</v>
      </c>
      <c r="B1593" s="278" t="s">
        <v>10904</v>
      </c>
      <c r="C1593" s="278" t="s">
        <v>10618</v>
      </c>
      <c r="D1593" s="279" t="s">
        <v>10619</v>
      </c>
      <c r="E1593" s="306" t="s">
        <v>10969</v>
      </c>
      <c r="F1593" s="278" t="s">
        <v>4109</v>
      </c>
      <c r="G1593" s="278" t="s">
        <v>4108</v>
      </c>
      <c r="H1593" s="306" t="s">
        <v>11317</v>
      </c>
      <c r="I1593" s="269" t="s">
        <v>11318</v>
      </c>
      <c r="J1593" s="306" t="s">
        <v>10969</v>
      </c>
    </row>
    <row r="1594" spans="1:10" ht="14.5" customHeight="1" x14ac:dyDescent="0.25">
      <c r="A1594" s="278" t="s">
        <v>3705</v>
      </c>
      <c r="B1594" s="278" t="s">
        <v>10904</v>
      </c>
      <c r="C1594" s="278" t="s">
        <v>10618</v>
      </c>
      <c r="D1594" s="279" t="s">
        <v>10619</v>
      </c>
      <c r="E1594" s="306" t="s">
        <v>10969</v>
      </c>
      <c r="F1594" s="278" t="s">
        <v>4109</v>
      </c>
      <c r="G1594" s="278" t="s">
        <v>4108</v>
      </c>
      <c r="H1594" s="306" t="s">
        <v>11321</v>
      </c>
      <c r="I1594" s="269" t="s">
        <v>11322</v>
      </c>
      <c r="J1594" s="306" t="s">
        <v>10969</v>
      </c>
    </row>
    <row r="1595" spans="1:10" ht="14.5" customHeight="1" x14ac:dyDescent="0.25">
      <c r="A1595" s="278" t="s">
        <v>3705</v>
      </c>
      <c r="B1595" s="278" t="s">
        <v>10904</v>
      </c>
      <c r="C1595" s="278" t="s">
        <v>10620</v>
      </c>
      <c r="D1595" s="279" t="s">
        <v>10621</v>
      </c>
      <c r="E1595" s="306" t="s">
        <v>10969</v>
      </c>
      <c r="F1595" s="278" t="s">
        <v>4109</v>
      </c>
      <c r="G1595" s="278" t="s">
        <v>4108</v>
      </c>
      <c r="H1595" s="306" t="s">
        <v>11297</v>
      </c>
      <c r="I1595" s="269" t="s">
        <v>11298</v>
      </c>
      <c r="J1595" s="306" t="s">
        <v>10969</v>
      </c>
    </row>
    <row r="1596" spans="1:10" ht="14.5" customHeight="1" x14ac:dyDescent="0.25">
      <c r="A1596" s="278" t="s">
        <v>3705</v>
      </c>
      <c r="B1596" s="278" t="s">
        <v>10904</v>
      </c>
      <c r="C1596" s="278" t="s">
        <v>10620</v>
      </c>
      <c r="D1596" s="279" t="s">
        <v>10621</v>
      </c>
      <c r="E1596" s="306" t="s">
        <v>10969</v>
      </c>
      <c r="F1596" s="278" t="s">
        <v>4109</v>
      </c>
      <c r="G1596" s="278" t="s">
        <v>4108</v>
      </c>
      <c r="H1596" s="306" t="s">
        <v>11301</v>
      </c>
      <c r="I1596" s="269" t="s">
        <v>11302</v>
      </c>
      <c r="J1596" s="306" t="s">
        <v>10969</v>
      </c>
    </row>
    <row r="1597" spans="1:10" ht="14.5" customHeight="1" x14ac:dyDescent="0.25">
      <c r="A1597" s="278" t="s">
        <v>3705</v>
      </c>
      <c r="B1597" s="278" t="s">
        <v>10904</v>
      </c>
      <c r="C1597" s="278" t="s">
        <v>10620</v>
      </c>
      <c r="D1597" s="279" t="s">
        <v>10621</v>
      </c>
      <c r="E1597" s="306" t="s">
        <v>10969</v>
      </c>
      <c r="F1597" s="278" t="s">
        <v>4109</v>
      </c>
      <c r="G1597" s="278" t="s">
        <v>4108</v>
      </c>
      <c r="H1597" s="306" t="s">
        <v>11329</v>
      </c>
      <c r="I1597" s="269" t="s">
        <v>11330</v>
      </c>
      <c r="J1597" s="306" t="s">
        <v>10969</v>
      </c>
    </row>
    <row r="1598" spans="1:10" ht="14.5" customHeight="1" x14ac:dyDescent="0.25">
      <c r="A1598" s="278" t="s">
        <v>3705</v>
      </c>
      <c r="B1598" s="278" t="s">
        <v>10904</v>
      </c>
      <c r="C1598" s="278" t="s">
        <v>10620</v>
      </c>
      <c r="D1598" s="279" t="s">
        <v>10621</v>
      </c>
      <c r="E1598" s="306" t="s">
        <v>10969</v>
      </c>
      <c r="F1598" s="278" t="s">
        <v>4109</v>
      </c>
      <c r="G1598" s="278" t="s">
        <v>4108</v>
      </c>
      <c r="H1598" s="306" t="s">
        <v>11313</v>
      </c>
      <c r="I1598" s="269" t="s">
        <v>11314</v>
      </c>
      <c r="J1598" s="306" t="s">
        <v>10969</v>
      </c>
    </row>
    <row r="1599" spans="1:10" ht="14.5" customHeight="1" x14ac:dyDescent="0.25">
      <c r="A1599" s="278" t="s">
        <v>3705</v>
      </c>
      <c r="B1599" s="278" t="s">
        <v>10904</v>
      </c>
      <c r="C1599" s="278" t="s">
        <v>10620</v>
      </c>
      <c r="D1599" s="279" t="s">
        <v>10621</v>
      </c>
      <c r="E1599" s="306" t="s">
        <v>10969</v>
      </c>
      <c r="F1599" s="278" t="s">
        <v>4109</v>
      </c>
      <c r="G1599" s="278" t="s">
        <v>4108</v>
      </c>
      <c r="H1599" s="306" t="s">
        <v>11321</v>
      </c>
      <c r="I1599" s="269" t="s">
        <v>11322</v>
      </c>
      <c r="J1599" s="306" t="s">
        <v>10969</v>
      </c>
    </row>
    <row r="1600" spans="1:10" ht="14.5" customHeight="1" x14ac:dyDescent="0.25">
      <c r="A1600" s="278" t="s">
        <v>3705</v>
      </c>
      <c r="B1600" s="278" t="s">
        <v>10904</v>
      </c>
      <c r="C1600" s="278" t="s">
        <v>10623</v>
      </c>
      <c r="D1600" s="279" t="s">
        <v>10624</v>
      </c>
      <c r="E1600" s="306" t="s">
        <v>10969</v>
      </c>
      <c r="F1600" s="278" t="s">
        <v>4109</v>
      </c>
      <c r="G1600" s="278" t="s">
        <v>4108</v>
      </c>
      <c r="H1600" s="306" t="s">
        <v>11297</v>
      </c>
      <c r="I1600" s="269" t="s">
        <v>11298</v>
      </c>
      <c r="J1600" s="306" t="s">
        <v>10969</v>
      </c>
    </row>
    <row r="1601" spans="1:10" ht="14.5" customHeight="1" x14ac:dyDescent="0.25">
      <c r="A1601" s="278" t="s">
        <v>3705</v>
      </c>
      <c r="B1601" s="278" t="s">
        <v>10904</v>
      </c>
      <c r="C1601" s="278" t="s">
        <v>10623</v>
      </c>
      <c r="D1601" s="279" t="s">
        <v>10624</v>
      </c>
      <c r="E1601" s="306" t="s">
        <v>10969</v>
      </c>
      <c r="F1601" s="278" t="s">
        <v>4109</v>
      </c>
      <c r="G1601" s="278" t="s">
        <v>4108</v>
      </c>
      <c r="H1601" s="306" t="s">
        <v>11301</v>
      </c>
      <c r="I1601" s="269" t="s">
        <v>11302</v>
      </c>
      <c r="J1601" s="306" t="s">
        <v>10969</v>
      </c>
    </row>
    <row r="1602" spans="1:10" ht="14.5" customHeight="1" x14ac:dyDescent="0.25">
      <c r="A1602" s="278" t="s">
        <v>3705</v>
      </c>
      <c r="B1602" s="278" t="s">
        <v>10904</v>
      </c>
      <c r="C1602" s="278" t="s">
        <v>10623</v>
      </c>
      <c r="D1602" s="279" t="s">
        <v>10624</v>
      </c>
      <c r="E1602" s="306" t="s">
        <v>10969</v>
      </c>
      <c r="F1602" s="278" t="s">
        <v>4109</v>
      </c>
      <c r="G1602" s="278" t="s">
        <v>4108</v>
      </c>
      <c r="H1602" s="306" t="s">
        <v>11305</v>
      </c>
      <c r="I1602" s="269" t="s">
        <v>11306</v>
      </c>
      <c r="J1602" s="306" t="s">
        <v>10969</v>
      </c>
    </row>
    <row r="1603" spans="1:10" ht="14.5" customHeight="1" x14ac:dyDescent="0.25">
      <c r="A1603" s="278" t="s">
        <v>3705</v>
      </c>
      <c r="B1603" s="278" t="s">
        <v>10904</v>
      </c>
      <c r="C1603" s="278" t="s">
        <v>10623</v>
      </c>
      <c r="D1603" s="279" t="s">
        <v>10624</v>
      </c>
      <c r="E1603" s="306" t="s">
        <v>10969</v>
      </c>
      <c r="F1603" s="278" t="s">
        <v>4109</v>
      </c>
      <c r="G1603" s="278" t="s">
        <v>4108</v>
      </c>
      <c r="H1603" s="306" t="s">
        <v>11329</v>
      </c>
      <c r="I1603" s="269" t="s">
        <v>11330</v>
      </c>
      <c r="J1603" s="306" t="s">
        <v>10969</v>
      </c>
    </row>
    <row r="1604" spans="1:10" ht="14.5" customHeight="1" x14ac:dyDescent="0.25">
      <c r="A1604" s="278" t="s">
        <v>3705</v>
      </c>
      <c r="B1604" s="278" t="s">
        <v>10904</v>
      </c>
      <c r="C1604" s="278" t="s">
        <v>10623</v>
      </c>
      <c r="D1604" s="279" t="s">
        <v>10624</v>
      </c>
      <c r="E1604" s="306" t="s">
        <v>10969</v>
      </c>
      <c r="F1604" s="278" t="s">
        <v>4109</v>
      </c>
      <c r="G1604" s="278" t="s">
        <v>4108</v>
      </c>
      <c r="H1604" s="306" t="s">
        <v>11309</v>
      </c>
      <c r="I1604" s="269" t="s">
        <v>11310</v>
      </c>
      <c r="J1604" s="306" t="s">
        <v>10969</v>
      </c>
    </row>
    <row r="1605" spans="1:10" ht="14.5" customHeight="1" x14ac:dyDescent="0.25">
      <c r="A1605" s="278" t="s">
        <v>3705</v>
      </c>
      <c r="B1605" s="278" t="s">
        <v>10904</v>
      </c>
      <c r="C1605" s="278" t="s">
        <v>10623</v>
      </c>
      <c r="D1605" s="279" t="s">
        <v>10624</v>
      </c>
      <c r="E1605" s="306" t="s">
        <v>10969</v>
      </c>
      <c r="F1605" s="278" t="s">
        <v>4109</v>
      </c>
      <c r="G1605" s="278" t="s">
        <v>4108</v>
      </c>
      <c r="H1605" s="306" t="s">
        <v>11313</v>
      </c>
      <c r="I1605" s="269" t="s">
        <v>11314</v>
      </c>
      <c r="J1605" s="306" t="s">
        <v>10969</v>
      </c>
    </row>
    <row r="1606" spans="1:10" ht="14.5" customHeight="1" x14ac:dyDescent="0.25">
      <c r="A1606" s="278" t="s">
        <v>3705</v>
      </c>
      <c r="B1606" s="278" t="s">
        <v>10904</v>
      </c>
      <c r="C1606" s="278" t="s">
        <v>10623</v>
      </c>
      <c r="D1606" s="279" t="s">
        <v>10624</v>
      </c>
      <c r="E1606" s="306" t="s">
        <v>10969</v>
      </c>
      <c r="F1606" s="278" t="s">
        <v>4109</v>
      </c>
      <c r="G1606" s="278" t="s">
        <v>4108</v>
      </c>
      <c r="H1606" s="306" t="s">
        <v>11321</v>
      </c>
      <c r="I1606" s="269" t="s">
        <v>11322</v>
      </c>
      <c r="J1606" s="306" t="s">
        <v>10969</v>
      </c>
    </row>
    <row r="1607" spans="1:10" ht="14.5" customHeight="1" x14ac:dyDescent="0.25">
      <c r="A1607" s="278" t="s">
        <v>3705</v>
      </c>
      <c r="B1607" s="278" t="s">
        <v>10904</v>
      </c>
      <c r="C1607" s="278" t="s">
        <v>10625</v>
      </c>
      <c r="D1607" s="279" t="s">
        <v>10626</v>
      </c>
      <c r="E1607" s="306" t="s">
        <v>10969</v>
      </c>
      <c r="F1607" s="278" t="s">
        <v>4109</v>
      </c>
      <c r="G1607" s="278" t="s">
        <v>4108</v>
      </c>
      <c r="H1607" s="306" t="s">
        <v>11329</v>
      </c>
      <c r="I1607" s="269" t="s">
        <v>11330</v>
      </c>
      <c r="J1607" s="306" t="s">
        <v>10969</v>
      </c>
    </row>
    <row r="1608" spans="1:10" ht="14.5" customHeight="1" x14ac:dyDescent="0.25">
      <c r="A1608" s="278" t="s">
        <v>3705</v>
      </c>
      <c r="B1608" s="278" t="s">
        <v>10904</v>
      </c>
      <c r="C1608" s="278" t="s">
        <v>10625</v>
      </c>
      <c r="D1608" s="279" t="s">
        <v>10626</v>
      </c>
      <c r="E1608" s="306" t="s">
        <v>10969</v>
      </c>
      <c r="F1608" s="278" t="s">
        <v>4109</v>
      </c>
      <c r="G1608" s="278" t="s">
        <v>4108</v>
      </c>
      <c r="H1608" s="306" t="s">
        <v>11321</v>
      </c>
      <c r="I1608" s="269" t="s">
        <v>11322</v>
      </c>
      <c r="J1608" s="306" t="s">
        <v>10969</v>
      </c>
    </row>
    <row r="1609" spans="1:10" ht="14.5" customHeight="1" x14ac:dyDescent="0.25">
      <c r="A1609" s="278" t="s">
        <v>3705</v>
      </c>
      <c r="B1609" s="278" t="s">
        <v>10904</v>
      </c>
      <c r="C1609" s="278" t="s">
        <v>10627</v>
      </c>
      <c r="D1609" s="279" t="s">
        <v>10628</v>
      </c>
      <c r="E1609" s="306" t="s">
        <v>10969</v>
      </c>
      <c r="F1609" s="278" t="s">
        <v>4109</v>
      </c>
      <c r="G1609" s="278" t="s">
        <v>4108</v>
      </c>
      <c r="H1609" s="306" t="s">
        <v>11297</v>
      </c>
      <c r="I1609" s="269" t="s">
        <v>11298</v>
      </c>
      <c r="J1609" s="306" t="s">
        <v>10969</v>
      </c>
    </row>
    <row r="1610" spans="1:10" ht="14.5" customHeight="1" x14ac:dyDescent="0.25">
      <c r="A1610" s="278" t="s">
        <v>3705</v>
      </c>
      <c r="B1610" s="278" t="s">
        <v>10904</v>
      </c>
      <c r="C1610" s="278" t="s">
        <v>10627</v>
      </c>
      <c r="D1610" s="279" t="s">
        <v>10628</v>
      </c>
      <c r="E1610" s="306" t="s">
        <v>10969</v>
      </c>
      <c r="F1610" s="278" t="s">
        <v>4109</v>
      </c>
      <c r="G1610" s="278" t="s">
        <v>4108</v>
      </c>
      <c r="H1610" s="306" t="s">
        <v>11299</v>
      </c>
      <c r="I1610" s="269" t="s">
        <v>11300</v>
      </c>
      <c r="J1610" s="306" t="s">
        <v>10969</v>
      </c>
    </row>
    <row r="1611" spans="1:10" ht="14.5" customHeight="1" x14ac:dyDescent="0.25">
      <c r="A1611" s="278" t="s">
        <v>3705</v>
      </c>
      <c r="B1611" s="278" t="s">
        <v>10904</v>
      </c>
      <c r="C1611" s="278" t="s">
        <v>10627</v>
      </c>
      <c r="D1611" s="279" t="s">
        <v>10628</v>
      </c>
      <c r="E1611" s="306" t="s">
        <v>10969</v>
      </c>
      <c r="F1611" s="278" t="s">
        <v>4109</v>
      </c>
      <c r="G1611" s="278" t="s">
        <v>4108</v>
      </c>
      <c r="H1611" s="306" t="s">
        <v>11301</v>
      </c>
      <c r="I1611" s="269" t="s">
        <v>11302</v>
      </c>
      <c r="J1611" s="306" t="s">
        <v>10969</v>
      </c>
    </row>
    <row r="1612" spans="1:10" ht="14.5" customHeight="1" x14ac:dyDescent="0.25">
      <c r="A1612" s="278" t="s">
        <v>3705</v>
      </c>
      <c r="B1612" s="278" t="s">
        <v>10904</v>
      </c>
      <c r="C1612" s="278" t="s">
        <v>10627</v>
      </c>
      <c r="D1612" s="279" t="s">
        <v>10628</v>
      </c>
      <c r="E1612" s="306" t="s">
        <v>10969</v>
      </c>
      <c r="F1612" s="278" t="s">
        <v>4109</v>
      </c>
      <c r="G1612" s="278" t="s">
        <v>4108</v>
      </c>
      <c r="H1612" s="306" t="s">
        <v>11303</v>
      </c>
      <c r="I1612" s="269" t="s">
        <v>11304</v>
      </c>
      <c r="J1612" s="306" t="s">
        <v>10969</v>
      </c>
    </row>
    <row r="1613" spans="1:10" ht="14.5" customHeight="1" x14ac:dyDescent="0.25">
      <c r="A1613" s="278" t="s">
        <v>3705</v>
      </c>
      <c r="B1613" s="278" t="s">
        <v>10904</v>
      </c>
      <c r="C1613" s="278" t="s">
        <v>10627</v>
      </c>
      <c r="D1613" s="279" t="s">
        <v>10628</v>
      </c>
      <c r="E1613" s="306" t="s">
        <v>10969</v>
      </c>
      <c r="F1613" s="278" t="s">
        <v>4109</v>
      </c>
      <c r="G1613" s="278" t="s">
        <v>4108</v>
      </c>
      <c r="H1613" s="306" t="s">
        <v>11305</v>
      </c>
      <c r="I1613" s="269" t="s">
        <v>11306</v>
      </c>
      <c r="J1613" s="306" t="s">
        <v>10969</v>
      </c>
    </row>
    <row r="1614" spans="1:10" ht="14.5" customHeight="1" x14ac:dyDescent="0.25">
      <c r="A1614" s="278" t="s">
        <v>3705</v>
      </c>
      <c r="B1614" s="278" t="s">
        <v>10904</v>
      </c>
      <c r="C1614" s="278" t="s">
        <v>10627</v>
      </c>
      <c r="D1614" s="279" t="s">
        <v>10628</v>
      </c>
      <c r="E1614" s="306" t="s">
        <v>10969</v>
      </c>
      <c r="F1614" s="278" t="s">
        <v>4109</v>
      </c>
      <c r="G1614" s="278" t="s">
        <v>4108</v>
      </c>
      <c r="H1614" s="306" t="s">
        <v>11307</v>
      </c>
      <c r="I1614" s="269" t="s">
        <v>11308</v>
      </c>
      <c r="J1614" s="306" t="s">
        <v>10969</v>
      </c>
    </row>
    <row r="1615" spans="1:10" ht="14.5" customHeight="1" x14ac:dyDescent="0.25">
      <c r="A1615" s="278" t="s">
        <v>3705</v>
      </c>
      <c r="B1615" s="278" t="s">
        <v>10904</v>
      </c>
      <c r="C1615" s="278" t="s">
        <v>10627</v>
      </c>
      <c r="D1615" s="279" t="s">
        <v>10628</v>
      </c>
      <c r="E1615" s="306" t="s">
        <v>10969</v>
      </c>
      <c r="F1615" s="278" t="s">
        <v>4109</v>
      </c>
      <c r="G1615" s="278" t="s">
        <v>4108</v>
      </c>
      <c r="H1615" s="306" t="s">
        <v>11327</v>
      </c>
      <c r="I1615" s="269" t="s">
        <v>11328</v>
      </c>
      <c r="J1615" s="306" t="s">
        <v>10969</v>
      </c>
    </row>
    <row r="1616" spans="1:10" ht="14.5" customHeight="1" x14ac:dyDescent="0.25">
      <c r="A1616" s="278" t="s">
        <v>3705</v>
      </c>
      <c r="B1616" s="278" t="s">
        <v>10904</v>
      </c>
      <c r="C1616" s="278" t="s">
        <v>10627</v>
      </c>
      <c r="D1616" s="279" t="s">
        <v>10628</v>
      </c>
      <c r="E1616" s="306" t="s">
        <v>10969</v>
      </c>
      <c r="F1616" s="278" t="s">
        <v>4109</v>
      </c>
      <c r="G1616" s="278" t="s">
        <v>4108</v>
      </c>
      <c r="H1616" s="306" t="s">
        <v>11309</v>
      </c>
      <c r="I1616" s="269" t="s">
        <v>11310</v>
      </c>
      <c r="J1616" s="306" t="s">
        <v>10969</v>
      </c>
    </row>
    <row r="1617" spans="1:10" ht="14.5" customHeight="1" x14ac:dyDescent="0.25">
      <c r="A1617" s="278" t="s">
        <v>3705</v>
      </c>
      <c r="B1617" s="278" t="s">
        <v>10904</v>
      </c>
      <c r="C1617" s="278" t="s">
        <v>10627</v>
      </c>
      <c r="D1617" s="279" t="s">
        <v>10628</v>
      </c>
      <c r="E1617" s="306" t="s">
        <v>10969</v>
      </c>
      <c r="F1617" s="278" t="s">
        <v>4109</v>
      </c>
      <c r="G1617" s="278" t="s">
        <v>4108</v>
      </c>
      <c r="H1617" s="306" t="s">
        <v>11313</v>
      </c>
      <c r="I1617" s="269" t="s">
        <v>11314</v>
      </c>
      <c r="J1617" s="306" t="s">
        <v>10969</v>
      </c>
    </row>
    <row r="1618" spans="1:10" ht="14.5" customHeight="1" x14ac:dyDescent="0.25">
      <c r="A1618" s="278" t="s">
        <v>3705</v>
      </c>
      <c r="B1618" s="278" t="s">
        <v>10904</v>
      </c>
      <c r="C1618" s="278" t="s">
        <v>10627</v>
      </c>
      <c r="D1618" s="279" t="s">
        <v>10628</v>
      </c>
      <c r="E1618" s="306" t="s">
        <v>10969</v>
      </c>
      <c r="F1618" s="278" t="s">
        <v>4109</v>
      </c>
      <c r="G1618" s="278" t="s">
        <v>4108</v>
      </c>
      <c r="H1618" s="306" t="s">
        <v>11315</v>
      </c>
      <c r="I1618" s="269" t="s">
        <v>11316</v>
      </c>
      <c r="J1618" s="306" t="s">
        <v>10969</v>
      </c>
    </row>
    <row r="1619" spans="1:10" ht="14.5" customHeight="1" x14ac:dyDescent="0.25">
      <c r="A1619" s="278" t="s">
        <v>3705</v>
      </c>
      <c r="B1619" s="278" t="s">
        <v>10904</v>
      </c>
      <c r="C1619" s="278" t="s">
        <v>10627</v>
      </c>
      <c r="D1619" s="279" t="s">
        <v>10628</v>
      </c>
      <c r="E1619" s="306" t="s">
        <v>10969</v>
      </c>
      <c r="F1619" s="278" t="s">
        <v>4109</v>
      </c>
      <c r="G1619" s="278" t="s">
        <v>4108</v>
      </c>
      <c r="H1619" s="306" t="s">
        <v>11317</v>
      </c>
      <c r="I1619" s="269" t="s">
        <v>11318</v>
      </c>
      <c r="J1619" s="306" t="s">
        <v>10969</v>
      </c>
    </row>
    <row r="1620" spans="1:10" ht="14.5" customHeight="1" x14ac:dyDescent="0.25">
      <c r="A1620" s="278" t="s">
        <v>3705</v>
      </c>
      <c r="B1620" s="278" t="s">
        <v>10904</v>
      </c>
      <c r="C1620" s="278" t="s">
        <v>10627</v>
      </c>
      <c r="D1620" s="279" t="s">
        <v>10628</v>
      </c>
      <c r="E1620" s="306" t="s">
        <v>10969</v>
      </c>
      <c r="F1620" s="278" t="s">
        <v>4109</v>
      </c>
      <c r="G1620" s="278" t="s">
        <v>4108</v>
      </c>
      <c r="H1620" s="306" t="s">
        <v>11250</v>
      </c>
      <c r="I1620" s="269" t="s">
        <v>11251</v>
      </c>
      <c r="J1620" s="306" t="s">
        <v>10969</v>
      </c>
    </row>
    <row r="1621" spans="1:10" ht="14.5" customHeight="1" x14ac:dyDescent="0.25">
      <c r="A1621" s="278" t="s">
        <v>3705</v>
      </c>
      <c r="B1621" s="278" t="s">
        <v>10904</v>
      </c>
      <c r="C1621" s="278" t="s">
        <v>10627</v>
      </c>
      <c r="D1621" s="279" t="s">
        <v>10628</v>
      </c>
      <c r="E1621" s="306" t="s">
        <v>10969</v>
      </c>
      <c r="F1621" s="278" t="s">
        <v>4109</v>
      </c>
      <c r="G1621" s="278" t="s">
        <v>4108</v>
      </c>
      <c r="H1621" s="306" t="s">
        <v>11333</v>
      </c>
      <c r="I1621" s="269" t="s">
        <v>11334</v>
      </c>
      <c r="J1621" s="306" t="s">
        <v>10969</v>
      </c>
    </row>
    <row r="1622" spans="1:10" ht="14.5" customHeight="1" x14ac:dyDescent="0.25">
      <c r="A1622" s="278" t="s">
        <v>3705</v>
      </c>
      <c r="B1622" s="278" t="s">
        <v>10904</v>
      </c>
      <c r="C1622" s="278" t="s">
        <v>10627</v>
      </c>
      <c r="D1622" s="279" t="s">
        <v>10628</v>
      </c>
      <c r="E1622" s="306" t="s">
        <v>10969</v>
      </c>
      <c r="F1622" s="278" t="s">
        <v>4109</v>
      </c>
      <c r="G1622" s="278" t="s">
        <v>4108</v>
      </c>
      <c r="H1622" s="306" t="s">
        <v>11321</v>
      </c>
      <c r="I1622" s="269" t="s">
        <v>11322</v>
      </c>
      <c r="J1622" s="306" t="s">
        <v>10969</v>
      </c>
    </row>
    <row r="1623" spans="1:10" ht="14.5" customHeight="1" x14ac:dyDescent="0.25">
      <c r="A1623" s="278" t="s">
        <v>3705</v>
      </c>
      <c r="B1623" s="278" t="s">
        <v>10904</v>
      </c>
      <c r="C1623" s="278" t="s">
        <v>10629</v>
      </c>
      <c r="D1623" s="279" t="s">
        <v>10630</v>
      </c>
      <c r="E1623" s="306" t="s">
        <v>10969</v>
      </c>
      <c r="F1623" s="278" t="s">
        <v>4109</v>
      </c>
      <c r="G1623" s="278" t="s">
        <v>4108</v>
      </c>
      <c r="H1623" s="306" t="s">
        <v>11307</v>
      </c>
      <c r="I1623" s="269" t="s">
        <v>11308</v>
      </c>
      <c r="J1623" s="306" t="s">
        <v>10969</v>
      </c>
    </row>
    <row r="1624" spans="1:10" ht="14.5" customHeight="1" x14ac:dyDescent="0.25">
      <c r="A1624" s="278" t="s">
        <v>3705</v>
      </c>
      <c r="B1624" s="278" t="s">
        <v>10904</v>
      </c>
      <c r="C1624" s="278" t="s">
        <v>10629</v>
      </c>
      <c r="D1624" s="279" t="s">
        <v>10630</v>
      </c>
      <c r="E1624" s="306" t="s">
        <v>10969</v>
      </c>
      <c r="F1624" s="278" t="s">
        <v>4109</v>
      </c>
      <c r="G1624" s="278" t="s">
        <v>4108</v>
      </c>
      <c r="H1624" s="306" t="s">
        <v>11327</v>
      </c>
      <c r="I1624" s="269" t="s">
        <v>11328</v>
      </c>
      <c r="J1624" s="306" t="s">
        <v>10969</v>
      </c>
    </row>
    <row r="1625" spans="1:10" ht="14.5" customHeight="1" x14ac:dyDescent="0.25">
      <c r="A1625" s="278" t="s">
        <v>3705</v>
      </c>
      <c r="B1625" s="278" t="s">
        <v>10904</v>
      </c>
      <c r="C1625" s="278" t="s">
        <v>10629</v>
      </c>
      <c r="D1625" s="279" t="s">
        <v>10630</v>
      </c>
      <c r="E1625" s="306" t="s">
        <v>10969</v>
      </c>
      <c r="F1625" s="278" t="s">
        <v>4109</v>
      </c>
      <c r="G1625" s="278" t="s">
        <v>4108</v>
      </c>
      <c r="H1625" s="306" t="s">
        <v>11309</v>
      </c>
      <c r="I1625" s="269" t="s">
        <v>11310</v>
      </c>
      <c r="J1625" s="306" t="s">
        <v>10969</v>
      </c>
    </row>
    <row r="1626" spans="1:10" ht="14.5" customHeight="1" x14ac:dyDescent="0.25">
      <c r="A1626" s="278" t="s">
        <v>3705</v>
      </c>
      <c r="B1626" s="278" t="s">
        <v>10904</v>
      </c>
      <c r="C1626" s="278" t="s">
        <v>10629</v>
      </c>
      <c r="D1626" s="279" t="s">
        <v>10630</v>
      </c>
      <c r="E1626" s="306" t="s">
        <v>10969</v>
      </c>
      <c r="F1626" s="278" t="s">
        <v>4109</v>
      </c>
      <c r="G1626" s="278" t="s">
        <v>4108</v>
      </c>
      <c r="H1626" s="306" t="s">
        <v>11333</v>
      </c>
      <c r="I1626" s="269" t="s">
        <v>11334</v>
      </c>
      <c r="J1626" s="306" t="s">
        <v>10969</v>
      </c>
    </row>
    <row r="1627" spans="1:10" ht="14.5" customHeight="1" x14ac:dyDescent="0.25">
      <c r="A1627" s="278" t="s">
        <v>3705</v>
      </c>
      <c r="B1627" s="278" t="s">
        <v>10904</v>
      </c>
      <c r="C1627" s="278" t="s">
        <v>10629</v>
      </c>
      <c r="D1627" s="279" t="s">
        <v>10630</v>
      </c>
      <c r="E1627" s="306" t="s">
        <v>10969</v>
      </c>
      <c r="F1627" s="278" t="s">
        <v>4109</v>
      </c>
      <c r="G1627" s="278" t="s">
        <v>4108</v>
      </c>
      <c r="H1627" s="306" t="s">
        <v>11321</v>
      </c>
      <c r="I1627" s="269" t="s">
        <v>11322</v>
      </c>
      <c r="J1627" s="306" t="s">
        <v>10969</v>
      </c>
    </row>
    <row r="1628" spans="1:10" ht="14.5" customHeight="1" x14ac:dyDescent="0.25">
      <c r="A1628" s="278" t="s">
        <v>3705</v>
      </c>
      <c r="B1628" s="278" t="s">
        <v>10904</v>
      </c>
      <c r="C1628" s="278" t="s">
        <v>10631</v>
      </c>
      <c r="D1628" s="279" t="s">
        <v>10632</v>
      </c>
      <c r="E1628" s="306" t="s">
        <v>10969</v>
      </c>
      <c r="F1628" s="278" t="s">
        <v>4109</v>
      </c>
      <c r="G1628" s="278" t="s">
        <v>4108</v>
      </c>
      <c r="H1628" s="306" t="s">
        <v>11307</v>
      </c>
      <c r="I1628" s="269" t="s">
        <v>11308</v>
      </c>
      <c r="J1628" s="306" t="s">
        <v>10969</v>
      </c>
    </row>
    <row r="1629" spans="1:10" ht="14.5" customHeight="1" x14ac:dyDescent="0.25">
      <c r="A1629" s="278" t="s">
        <v>3705</v>
      </c>
      <c r="B1629" s="278" t="s">
        <v>10904</v>
      </c>
      <c r="C1629" s="278" t="s">
        <v>10631</v>
      </c>
      <c r="D1629" s="279" t="s">
        <v>10632</v>
      </c>
      <c r="E1629" s="306" t="s">
        <v>10969</v>
      </c>
      <c r="F1629" s="278" t="s">
        <v>4109</v>
      </c>
      <c r="G1629" s="278" t="s">
        <v>4108</v>
      </c>
      <c r="H1629" s="306" t="s">
        <v>11327</v>
      </c>
      <c r="I1629" s="269" t="s">
        <v>11328</v>
      </c>
      <c r="J1629" s="306" t="s">
        <v>10969</v>
      </c>
    </row>
    <row r="1630" spans="1:10" ht="14.5" customHeight="1" x14ac:dyDescent="0.25">
      <c r="A1630" s="278" t="s">
        <v>3705</v>
      </c>
      <c r="B1630" s="278" t="s">
        <v>10904</v>
      </c>
      <c r="C1630" s="278" t="s">
        <v>10631</v>
      </c>
      <c r="D1630" s="279" t="s">
        <v>10632</v>
      </c>
      <c r="E1630" s="306" t="s">
        <v>10969</v>
      </c>
      <c r="F1630" s="278" t="s">
        <v>4109</v>
      </c>
      <c r="G1630" s="278" t="s">
        <v>4108</v>
      </c>
      <c r="H1630" s="306" t="s">
        <v>11333</v>
      </c>
      <c r="I1630" s="269" t="s">
        <v>11334</v>
      </c>
      <c r="J1630" s="306" t="s">
        <v>10969</v>
      </c>
    </row>
    <row r="1631" spans="1:10" ht="14.5" customHeight="1" x14ac:dyDescent="0.25">
      <c r="A1631" s="278" t="s">
        <v>3705</v>
      </c>
      <c r="B1631" s="278" t="s">
        <v>10904</v>
      </c>
      <c r="C1631" s="278" t="s">
        <v>10631</v>
      </c>
      <c r="D1631" s="279" t="s">
        <v>10632</v>
      </c>
      <c r="E1631" s="306" t="s">
        <v>10969</v>
      </c>
      <c r="F1631" s="278" t="s">
        <v>4109</v>
      </c>
      <c r="G1631" s="278" t="s">
        <v>4108</v>
      </c>
      <c r="H1631" s="306" t="s">
        <v>11321</v>
      </c>
      <c r="I1631" s="269" t="s">
        <v>11322</v>
      </c>
      <c r="J1631" s="306" t="s">
        <v>10969</v>
      </c>
    </row>
    <row r="1632" spans="1:10" ht="14.5" customHeight="1" x14ac:dyDescent="0.25">
      <c r="A1632" s="278" t="s">
        <v>3705</v>
      </c>
      <c r="B1632" s="278" t="s">
        <v>10904</v>
      </c>
      <c r="C1632" s="278" t="s">
        <v>10633</v>
      </c>
      <c r="D1632" s="279" t="s">
        <v>10634</v>
      </c>
      <c r="E1632" s="306" t="s">
        <v>10969</v>
      </c>
      <c r="F1632" s="278" t="s">
        <v>4109</v>
      </c>
      <c r="G1632" s="278" t="s">
        <v>4108</v>
      </c>
      <c r="H1632" s="306" t="s">
        <v>11307</v>
      </c>
      <c r="I1632" s="269" t="s">
        <v>11308</v>
      </c>
      <c r="J1632" s="306" t="s">
        <v>10969</v>
      </c>
    </row>
    <row r="1633" spans="1:10" ht="14.5" customHeight="1" x14ac:dyDescent="0.25">
      <c r="A1633" s="278" t="s">
        <v>3705</v>
      </c>
      <c r="B1633" s="278" t="s">
        <v>10904</v>
      </c>
      <c r="C1633" s="278" t="s">
        <v>10633</v>
      </c>
      <c r="D1633" s="279" t="s">
        <v>10634</v>
      </c>
      <c r="E1633" s="306" t="s">
        <v>10969</v>
      </c>
      <c r="F1633" s="278" t="s">
        <v>4109</v>
      </c>
      <c r="G1633" s="278" t="s">
        <v>4108</v>
      </c>
      <c r="H1633" s="306" t="s">
        <v>11327</v>
      </c>
      <c r="I1633" s="269" t="s">
        <v>11328</v>
      </c>
      <c r="J1633" s="306" t="s">
        <v>10969</v>
      </c>
    </row>
    <row r="1634" spans="1:10" ht="14.5" customHeight="1" x14ac:dyDescent="0.25">
      <c r="A1634" s="278" t="s">
        <v>3705</v>
      </c>
      <c r="B1634" s="278" t="s">
        <v>10904</v>
      </c>
      <c r="C1634" s="278" t="s">
        <v>10633</v>
      </c>
      <c r="D1634" s="279" t="s">
        <v>10634</v>
      </c>
      <c r="E1634" s="306" t="s">
        <v>10969</v>
      </c>
      <c r="F1634" s="278" t="s">
        <v>4109</v>
      </c>
      <c r="G1634" s="278" t="s">
        <v>4108</v>
      </c>
      <c r="H1634" s="306" t="s">
        <v>11321</v>
      </c>
      <c r="I1634" s="269" t="s">
        <v>11322</v>
      </c>
      <c r="J1634" s="306" t="s">
        <v>10969</v>
      </c>
    </row>
    <row r="1635" spans="1:10" ht="14.5" customHeight="1" x14ac:dyDescent="0.25">
      <c r="A1635" s="278" t="s">
        <v>3705</v>
      </c>
      <c r="B1635" s="278" t="s">
        <v>10904</v>
      </c>
      <c r="C1635" s="278" t="s">
        <v>10635</v>
      </c>
      <c r="D1635" s="279" t="s">
        <v>10636</v>
      </c>
      <c r="E1635" s="306" t="s">
        <v>10969</v>
      </c>
      <c r="F1635" s="278" t="s">
        <v>4109</v>
      </c>
      <c r="G1635" s="278" t="s">
        <v>4108</v>
      </c>
      <c r="H1635" s="306" t="s">
        <v>11307</v>
      </c>
      <c r="I1635" s="269" t="s">
        <v>11308</v>
      </c>
      <c r="J1635" s="306" t="s">
        <v>10969</v>
      </c>
    </row>
    <row r="1636" spans="1:10" ht="14.5" customHeight="1" x14ac:dyDescent="0.25">
      <c r="A1636" s="278" t="s">
        <v>3705</v>
      </c>
      <c r="B1636" s="278" t="s">
        <v>10904</v>
      </c>
      <c r="C1636" s="278" t="s">
        <v>10635</v>
      </c>
      <c r="D1636" s="279" t="s">
        <v>10636</v>
      </c>
      <c r="E1636" s="306" t="s">
        <v>10969</v>
      </c>
      <c r="F1636" s="278" t="s">
        <v>4109</v>
      </c>
      <c r="G1636" s="278" t="s">
        <v>4108</v>
      </c>
      <c r="H1636" s="306" t="s">
        <v>11327</v>
      </c>
      <c r="I1636" s="269" t="s">
        <v>11328</v>
      </c>
      <c r="J1636" s="306" t="s">
        <v>10969</v>
      </c>
    </row>
    <row r="1637" spans="1:10" ht="14.5" customHeight="1" x14ac:dyDescent="0.25">
      <c r="A1637" s="278" t="s">
        <v>3705</v>
      </c>
      <c r="B1637" s="278" t="s">
        <v>10904</v>
      </c>
      <c r="C1637" s="278" t="s">
        <v>10635</v>
      </c>
      <c r="D1637" s="279" t="s">
        <v>10636</v>
      </c>
      <c r="E1637" s="306" t="s">
        <v>10969</v>
      </c>
      <c r="F1637" s="278" t="s">
        <v>4109</v>
      </c>
      <c r="G1637" s="278" t="s">
        <v>4108</v>
      </c>
      <c r="H1637" s="306" t="s">
        <v>11333</v>
      </c>
      <c r="I1637" s="269" t="s">
        <v>11334</v>
      </c>
      <c r="J1637" s="306" t="s">
        <v>10969</v>
      </c>
    </row>
    <row r="1638" spans="1:10" ht="14.5" customHeight="1" x14ac:dyDescent="0.25">
      <c r="A1638" s="278" t="s">
        <v>3705</v>
      </c>
      <c r="B1638" s="278" t="s">
        <v>10904</v>
      </c>
      <c r="C1638" s="278" t="s">
        <v>10635</v>
      </c>
      <c r="D1638" s="279" t="s">
        <v>10636</v>
      </c>
      <c r="E1638" s="306" t="s">
        <v>10969</v>
      </c>
      <c r="F1638" s="278" t="s">
        <v>4109</v>
      </c>
      <c r="G1638" s="278" t="s">
        <v>4108</v>
      </c>
      <c r="H1638" s="306" t="s">
        <v>11321</v>
      </c>
      <c r="I1638" s="269" t="s">
        <v>11322</v>
      </c>
      <c r="J1638" s="306" t="s">
        <v>10969</v>
      </c>
    </row>
    <row r="1639" spans="1:10" ht="14.5" customHeight="1" x14ac:dyDescent="0.25">
      <c r="A1639" s="278" t="s">
        <v>3705</v>
      </c>
      <c r="B1639" s="278" t="s">
        <v>10904</v>
      </c>
      <c r="C1639" s="278" t="s">
        <v>10637</v>
      </c>
      <c r="D1639" s="279" t="s">
        <v>10638</v>
      </c>
      <c r="E1639" s="306" t="s">
        <v>10969</v>
      </c>
      <c r="F1639" s="278" t="s">
        <v>4109</v>
      </c>
      <c r="G1639" s="278" t="s">
        <v>4108</v>
      </c>
      <c r="H1639" s="306" t="s">
        <v>11307</v>
      </c>
      <c r="I1639" s="269" t="s">
        <v>11308</v>
      </c>
      <c r="J1639" s="306" t="s">
        <v>10969</v>
      </c>
    </row>
    <row r="1640" spans="1:10" ht="14.5" customHeight="1" x14ac:dyDescent="0.25">
      <c r="A1640" s="278" t="s">
        <v>3705</v>
      </c>
      <c r="B1640" s="278" t="s">
        <v>10904</v>
      </c>
      <c r="C1640" s="278" t="s">
        <v>10637</v>
      </c>
      <c r="D1640" s="279" t="s">
        <v>10638</v>
      </c>
      <c r="E1640" s="306" t="s">
        <v>10969</v>
      </c>
      <c r="F1640" s="278" t="s">
        <v>4109</v>
      </c>
      <c r="G1640" s="278" t="s">
        <v>4108</v>
      </c>
      <c r="H1640" s="306" t="s">
        <v>11321</v>
      </c>
      <c r="I1640" s="269" t="s">
        <v>11322</v>
      </c>
      <c r="J1640" s="306" t="s">
        <v>10969</v>
      </c>
    </row>
    <row r="1641" spans="1:10" ht="14.5" customHeight="1" x14ac:dyDescent="0.25">
      <c r="A1641" s="278" t="s">
        <v>3705</v>
      </c>
      <c r="B1641" s="278" t="s">
        <v>10904</v>
      </c>
      <c r="C1641" s="278" t="s">
        <v>10639</v>
      </c>
      <c r="D1641" s="279" t="s">
        <v>10640</v>
      </c>
      <c r="E1641" s="306" t="s">
        <v>10969</v>
      </c>
      <c r="F1641" s="278" t="s">
        <v>4109</v>
      </c>
      <c r="G1641" s="278" t="s">
        <v>4109</v>
      </c>
      <c r="H1641" s="306" t="s">
        <v>11307</v>
      </c>
      <c r="I1641" s="269" t="s">
        <v>11308</v>
      </c>
      <c r="J1641" s="306" t="s">
        <v>10969</v>
      </c>
    </row>
    <row r="1642" spans="1:10" ht="14.5" customHeight="1" x14ac:dyDescent="0.25">
      <c r="A1642" s="278" t="s">
        <v>3705</v>
      </c>
      <c r="B1642" s="278" t="s">
        <v>10904</v>
      </c>
      <c r="C1642" s="278" t="s">
        <v>10639</v>
      </c>
      <c r="D1642" s="279" t="s">
        <v>10640</v>
      </c>
      <c r="E1642" s="306" t="s">
        <v>10969</v>
      </c>
      <c r="F1642" s="278" t="s">
        <v>4109</v>
      </c>
      <c r="G1642" s="278" t="s">
        <v>4109</v>
      </c>
      <c r="H1642" s="306" t="s">
        <v>11333</v>
      </c>
      <c r="I1642" s="269" t="s">
        <v>11334</v>
      </c>
      <c r="J1642" s="306" t="s">
        <v>10969</v>
      </c>
    </row>
    <row r="1643" spans="1:10" ht="14.5" customHeight="1" x14ac:dyDescent="0.25">
      <c r="A1643" s="278" t="s">
        <v>3705</v>
      </c>
      <c r="B1643" s="278" t="s">
        <v>10904</v>
      </c>
      <c r="C1643" s="278" t="s">
        <v>10639</v>
      </c>
      <c r="D1643" s="279" t="s">
        <v>10640</v>
      </c>
      <c r="E1643" s="306" t="s">
        <v>10969</v>
      </c>
      <c r="F1643" s="278" t="s">
        <v>4109</v>
      </c>
      <c r="G1643" s="278" t="s">
        <v>4109</v>
      </c>
      <c r="H1643" s="306" t="s">
        <v>11321</v>
      </c>
      <c r="I1643" s="269" t="s">
        <v>11322</v>
      </c>
      <c r="J1643" s="306" t="s">
        <v>10969</v>
      </c>
    </row>
    <row r="1644" spans="1:10" ht="14.5" customHeight="1" x14ac:dyDescent="0.25">
      <c r="A1644" s="278" t="s">
        <v>3705</v>
      </c>
      <c r="B1644" s="278" t="s">
        <v>10904</v>
      </c>
      <c r="C1644" s="278" t="s">
        <v>10641</v>
      </c>
      <c r="D1644" s="279" t="s">
        <v>10642</v>
      </c>
      <c r="E1644" s="306" t="s">
        <v>10969</v>
      </c>
      <c r="F1644" s="278" t="s">
        <v>4109</v>
      </c>
      <c r="G1644" s="278" t="s">
        <v>4109</v>
      </c>
      <c r="H1644" s="306" t="s">
        <v>11307</v>
      </c>
      <c r="I1644" s="269" t="s">
        <v>11308</v>
      </c>
      <c r="J1644" s="306" t="s">
        <v>10969</v>
      </c>
    </row>
    <row r="1645" spans="1:10" ht="14.5" customHeight="1" x14ac:dyDescent="0.25">
      <c r="A1645" s="278" t="s">
        <v>3705</v>
      </c>
      <c r="B1645" s="278" t="s">
        <v>10904</v>
      </c>
      <c r="C1645" s="278" t="s">
        <v>10641</v>
      </c>
      <c r="D1645" s="279" t="s">
        <v>10642</v>
      </c>
      <c r="E1645" s="306" t="s">
        <v>10969</v>
      </c>
      <c r="F1645" s="278" t="s">
        <v>4109</v>
      </c>
      <c r="G1645" s="278" t="s">
        <v>4109</v>
      </c>
      <c r="H1645" s="306" t="s">
        <v>11327</v>
      </c>
      <c r="I1645" s="269" t="s">
        <v>11328</v>
      </c>
      <c r="J1645" s="306" t="s">
        <v>10969</v>
      </c>
    </row>
    <row r="1646" spans="1:10" ht="14.5" customHeight="1" x14ac:dyDescent="0.25">
      <c r="A1646" s="278" t="s">
        <v>3705</v>
      </c>
      <c r="B1646" s="278" t="s">
        <v>10904</v>
      </c>
      <c r="C1646" s="278" t="s">
        <v>10641</v>
      </c>
      <c r="D1646" s="279" t="s">
        <v>10642</v>
      </c>
      <c r="E1646" s="306" t="s">
        <v>10969</v>
      </c>
      <c r="F1646" s="278" t="s">
        <v>4109</v>
      </c>
      <c r="G1646" s="278" t="s">
        <v>4109</v>
      </c>
      <c r="H1646" s="306" t="s">
        <v>11321</v>
      </c>
      <c r="I1646" s="269" t="s">
        <v>11322</v>
      </c>
      <c r="J1646" s="306" t="s">
        <v>10969</v>
      </c>
    </row>
    <row r="1647" spans="1:10" ht="14.5" customHeight="1" x14ac:dyDescent="0.25">
      <c r="A1647" s="278" t="s">
        <v>3705</v>
      </c>
      <c r="B1647" s="278" t="s">
        <v>10904</v>
      </c>
      <c r="C1647" s="278" t="s">
        <v>10643</v>
      </c>
      <c r="D1647" s="279" t="s">
        <v>10644</v>
      </c>
      <c r="E1647" s="306" t="s">
        <v>10969</v>
      </c>
      <c r="F1647" s="278" t="s">
        <v>4109</v>
      </c>
      <c r="G1647" s="278" t="s">
        <v>4108</v>
      </c>
      <c r="H1647" s="306" t="s">
        <v>11307</v>
      </c>
      <c r="I1647" s="269" t="s">
        <v>11308</v>
      </c>
      <c r="J1647" s="306" t="s">
        <v>10969</v>
      </c>
    </row>
    <row r="1648" spans="1:10" ht="14.5" customHeight="1" x14ac:dyDescent="0.25">
      <c r="A1648" s="278" t="s">
        <v>3705</v>
      </c>
      <c r="B1648" s="278" t="s">
        <v>10904</v>
      </c>
      <c r="C1648" s="278" t="s">
        <v>10643</v>
      </c>
      <c r="D1648" s="279" t="s">
        <v>10644</v>
      </c>
      <c r="E1648" s="306" t="s">
        <v>10969</v>
      </c>
      <c r="F1648" s="278" t="s">
        <v>4109</v>
      </c>
      <c r="G1648" s="278" t="s">
        <v>4108</v>
      </c>
      <c r="H1648" s="306" t="s">
        <v>11327</v>
      </c>
      <c r="I1648" s="269" t="s">
        <v>11328</v>
      </c>
      <c r="J1648" s="306" t="s">
        <v>10969</v>
      </c>
    </row>
    <row r="1649" spans="1:10" ht="14.5" customHeight="1" x14ac:dyDescent="0.25">
      <c r="A1649" s="278" t="s">
        <v>3705</v>
      </c>
      <c r="B1649" s="278" t="s">
        <v>10904</v>
      </c>
      <c r="C1649" s="278" t="s">
        <v>10643</v>
      </c>
      <c r="D1649" s="279" t="s">
        <v>10644</v>
      </c>
      <c r="E1649" s="306" t="s">
        <v>10969</v>
      </c>
      <c r="F1649" s="278" t="s">
        <v>4109</v>
      </c>
      <c r="G1649" s="278" t="s">
        <v>4108</v>
      </c>
      <c r="H1649" s="306" t="s">
        <v>11250</v>
      </c>
      <c r="I1649" s="269" t="s">
        <v>11251</v>
      </c>
      <c r="J1649" s="306" t="s">
        <v>10969</v>
      </c>
    </row>
    <row r="1650" spans="1:10" ht="14.5" customHeight="1" x14ac:dyDescent="0.25">
      <c r="A1650" s="278" t="s">
        <v>3705</v>
      </c>
      <c r="B1650" s="278" t="s">
        <v>10904</v>
      </c>
      <c r="C1650" s="278" t="s">
        <v>10643</v>
      </c>
      <c r="D1650" s="279" t="s">
        <v>10644</v>
      </c>
      <c r="E1650" s="306" t="s">
        <v>10969</v>
      </c>
      <c r="F1650" s="278" t="s">
        <v>4109</v>
      </c>
      <c r="G1650" s="278" t="s">
        <v>4108</v>
      </c>
      <c r="H1650" s="306" t="s">
        <v>11321</v>
      </c>
      <c r="I1650" s="269" t="s">
        <v>11322</v>
      </c>
      <c r="J1650" s="306" t="s">
        <v>10969</v>
      </c>
    </row>
    <row r="1651" spans="1:10" ht="14.5" customHeight="1" x14ac:dyDescent="0.25">
      <c r="A1651" s="278" t="s">
        <v>3705</v>
      </c>
      <c r="B1651" s="278" t="s">
        <v>10904</v>
      </c>
      <c r="C1651" s="278" t="s">
        <v>10645</v>
      </c>
      <c r="D1651" s="279" t="s">
        <v>10646</v>
      </c>
      <c r="E1651" s="306" t="s">
        <v>10969</v>
      </c>
      <c r="F1651" s="278" t="s">
        <v>4109</v>
      </c>
      <c r="G1651" s="278" t="s">
        <v>4109</v>
      </c>
      <c r="H1651" s="306" t="s">
        <v>11307</v>
      </c>
      <c r="I1651" s="269" t="s">
        <v>11308</v>
      </c>
      <c r="J1651" s="306" t="s">
        <v>10969</v>
      </c>
    </row>
    <row r="1652" spans="1:10" ht="14.5" customHeight="1" x14ac:dyDescent="0.25">
      <c r="A1652" s="278" t="s">
        <v>3705</v>
      </c>
      <c r="B1652" s="278" t="s">
        <v>10904</v>
      </c>
      <c r="C1652" s="278" t="s">
        <v>10645</v>
      </c>
      <c r="D1652" s="279" t="s">
        <v>10646</v>
      </c>
      <c r="E1652" s="306" t="s">
        <v>10969</v>
      </c>
      <c r="F1652" s="278" t="s">
        <v>4109</v>
      </c>
      <c r="G1652" s="278" t="s">
        <v>4109</v>
      </c>
      <c r="H1652" s="306" t="s">
        <v>11250</v>
      </c>
      <c r="I1652" s="269" t="s">
        <v>11251</v>
      </c>
      <c r="J1652" s="306" t="s">
        <v>10969</v>
      </c>
    </row>
    <row r="1653" spans="1:10" ht="14.5" customHeight="1" x14ac:dyDescent="0.25">
      <c r="A1653" s="278" t="s">
        <v>3705</v>
      </c>
      <c r="B1653" s="278" t="s">
        <v>10904</v>
      </c>
      <c r="C1653" s="278" t="s">
        <v>10645</v>
      </c>
      <c r="D1653" s="279" t="s">
        <v>10646</v>
      </c>
      <c r="E1653" s="306" t="s">
        <v>10969</v>
      </c>
      <c r="F1653" s="278" t="s">
        <v>4109</v>
      </c>
      <c r="G1653" s="278" t="s">
        <v>4109</v>
      </c>
      <c r="H1653" s="306" t="s">
        <v>11321</v>
      </c>
      <c r="I1653" s="269" t="s">
        <v>11322</v>
      </c>
      <c r="J1653" s="306" t="s">
        <v>10969</v>
      </c>
    </row>
    <row r="1654" spans="1:10" ht="14.5" customHeight="1" x14ac:dyDescent="0.25">
      <c r="A1654" s="278" t="s">
        <v>3705</v>
      </c>
      <c r="B1654" s="278" t="s">
        <v>10904</v>
      </c>
      <c r="C1654" s="278" t="s">
        <v>10647</v>
      </c>
      <c r="D1654" s="279" t="s">
        <v>10648</v>
      </c>
      <c r="E1654" s="306" t="s">
        <v>10969</v>
      </c>
      <c r="F1654" s="278" t="s">
        <v>4109</v>
      </c>
      <c r="G1654" s="278" t="s">
        <v>4108</v>
      </c>
      <c r="H1654" s="306" t="s">
        <v>11307</v>
      </c>
      <c r="I1654" s="269" t="s">
        <v>11308</v>
      </c>
      <c r="J1654" s="306" t="s">
        <v>10969</v>
      </c>
    </row>
    <row r="1655" spans="1:10" ht="14.5" customHeight="1" x14ac:dyDescent="0.25">
      <c r="A1655" s="278" t="s">
        <v>3705</v>
      </c>
      <c r="B1655" s="278" t="s">
        <v>10904</v>
      </c>
      <c r="C1655" s="278" t="s">
        <v>10647</v>
      </c>
      <c r="D1655" s="279" t="s">
        <v>10648</v>
      </c>
      <c r="E1655" s="306" t="s">
        <v>10969</v>
      </c>
      <c r="F1655" s="278" t="s">
        <v>4109</v>
      </c>
      <c r="G1655" s="278" t="s">
        <v>4108</v>
      </c>
      <c r="H1655" s="306" t="s">
        <v>11327</v>
      </c>
      <c r="I1655" s="269" t="s">
        <v>11328</v>
      </c>
      <c r="J1655" s="306" t="s">
        <v>10969</v>
      </c>
    </row>
    <row r="1656" spans="1:10" ht="14.5" customHeight="1" x14ac:dyDescent="0.25">
      <c r="A1656" s="278" t="s">
        <v>3705</v>
      </c>
      <c r="B1656" s="278" t="s">
        <v>10904</v>
      </c>
      <c r="C1656" s="278" t="s">
        <v>10647</v>
      </c>
      <c r="D1656" s="279" t="s">
        <v>10648</v>
      </c>
      <c r="E1656" s="306" t="s">
        <v>10969</v>
      </c>
      <c r="F1656" s="278" t="s">
        <v>4109</v>
      </c>
      <c r="G1656" s="278" t="s">
        <v>4108</v>
      </c>
      <c r="H1656" s="306" t="s">
        <v>11333</v>
      </c>
      <c r="I1656" s="269" t="s">
        <v>11334</v>
      </c>
      <c r="J1656" s="306" t="s">
        <v>10969</v>
      </c>
    </row>
    <row r="1657" spans="1:10" ht="14.5" customHeight="1" x14ac:dyDescent="0.25">
      <c r="A1657" s="278" t="s">
        <v>3705</v>
      </c>
      <c r="B1657" s="278" t="s">
        <v>10904</v>
      </c>
      <c r="C1657" s="278" t="s">
        <v>10647</v>
      </c>
      <c r="D1657" s="279" t="s">
        <v>10648</v>
      </c>
      <c r="E1657" s="306" t="s">
        <v>10969</v>
      </c>
      <c r="F1657" s="278" t="s">
        <v>4109</v>
      </c>
      <c r="G1657" s="278" t="s">
        <v>4108</v>
      </c>
      <c r="H1657" s="306" t="s">
        <v>11321</v>
      </c>
      <c r="I1657" s="269" t="s">
        <v>11322</v>
      </c>
      <c r="J1657" s="306" t="s">
        <v>10969</v>
      </c>
    </row>
    <row r="1658" spans="1:10" ht="14.5" customHeight="1" x14ac:dyDescent="0.25">
      <c r="A1658" s="278" t="s">
        <v>3705</v>
      </c>
      <c r="B1658" s="278" t="s">
        <v>10904</v>
      </c>
      <c r="C1658" s="278" t="s">
        <v>10649</v>
      </c>
      <c r="D1658" s="279" t="s">
        <v>10650</v>
      </c>
      <c r="E1658" s="306" t="s">
        <v>10969</v>
      </c>
      <c r="F1658" s="278" t="s">
        <v>4109</v>
      </c>
      <c r="G1658" s="278" t="s">
        <v>4108</v>
      </c>
      <c r="H1658" s="306" t="s">
        <v>11307</v>
      </c>
      <c r="I1658" s="269" t="s">
        <v>11308</v>
      </c>
      <c r="J1658" s="306" t="s">
        <v>10969</v>
      </c>
    </row>
    <row r="1659" spans="1:10" ht="14.5" customHeight="1" x14ac:dyDescent="0.25">
      <c r="A1659" s="278" t="s">
        <v>3705</v>
      </c>
      <c r="B1659" s="278" t="s">
        <v>10904</v>
      </c>
      <c r="C1659" s="278" t="s">
        <v>10649</v>
      </c>
      <c r="D1659" s="279" t="s">
        <v>10650</v>
      </c>
      <c r="E1659" s="306" t="s">
        <v>10969</v>
      </c>
      <c r="F1659" s="278" t="s">
        <v>4109</v>
      </c>
      <c r="G1659" s="278" t="s">
        <v>4108</v>
      </c>
      <c r="H1659" s="306" t="s">
        <v>11250</v>
      </c>
      <c r="I1659" s="269" t="s">
        <v>11251</v>
      </c>
      <c r="J1659" s="306" t="s">
        <v>10969</v>
      </c>
    </row>
    <row r="1660" spans="1:10" ht="14.5" customHeight="1" x14ac:dyDescent="0.25">
      <c r="A1660" s="278" t="s">
        <v>3705</v>
      </c>
      <c r="B1660" s="278" t="s">
        <v>10904</v>
      </c>
      <c r="C1660" s="278" t="s">
        <v>10649</v>
      </c>
      <c r="D1660" s="279" t="s">
        <v>10650</v>
      </c>
      <c r="E1660" s="306" t="s">
        <v>10969</v>
      </c>
      <c r="F1660" s="278" t="s">
        <v>4109</v>
      </c>
      <c r="G1660" s="278" t="s">
        <v>4108</v>
      </c>
      <c r="H1660" s="306" t="s">
        <v>11321</v>
      </c>
      <c r="I1660" s="269" t="s">
        <v>11322</v>
      </c>
      <c r="J1660" s="306" t="s">
        <v>10969</v>
      </c>
    </row>
    <row r="1661" spans="1:10" ht="14.5" customHeight="1" x14ac:dyDescent="0.25">
      <c r="A1661" s="278" t="s">
        <v>3705</v>
      </c>
      <c r="B1661" s="278" t="s">
        <v>10904</v>
      </c>
      <c r="C1661" s="278" t="s">
        <v>10651</v>
      </c>
      <c r="D1661" s="279" t="s">
        <v>10652</v>
      </c>
      <c r="E1661" s="306" t="s">
        <v>10969</v>
      </c>
      <c r="F1661" s="278" t="s">
        <v>4109</v>
      </c>
      <c r="G1661" s="278" t="s">
        <v>4108</v>
      </c>
      <c r="H1661" s="306" t="s">
        <v>11219</v>
      </c>
      <c r="I1661" s="269" t="s">
        <v>11220</v>
      </c>
      <c r="J1661" s="306" t="s">
        <v>10969</v>
      </c>
    </row>
    <row r="1662" spans="1:10" ht="14.5" customHeight="1" x14ac:dyDescent="0.25">
      <c r="A1662" s="278" t="s">
        <v>3705</v>
      </c>
      <c r="B1662" s="278" t="s">
        <v>10904</v>
      </c>
      <c r="C1662" s="278" t="s">
        <v>10651</v>
      </c>
      <c r="D1662" s="279" t="s">
        <v>10652</v>
      </c>
      <c r="E1662" s="306" t="s">
        <v>10969</v>
      </c>
      <c r="F1662" s="278" t="s">
        <v>4109</v>
      </c>
      <c r="G1662" s="278" t="s">
        <v>4108</v>
      </c>
      <c r="H1662" s="306" t="s">
        <v>11307</v>
      </c>
      <c r="I1662" s="269" t="s">
        <v>11308</v>
      </c>
      <c r="J1662" s="306" t="s">
        <v>10969</v>
      </c>
    </row>
    <row r="1663" spans="1:10" ht="14.5" customHeight="1" x14ac:dyDescent="0.25">
      <c r="A1663" s="278" t="s">
        <v>3705</v>
      </c>
      <c r="B1663" s="278" t="s">
        <v>10904</v>
      </c>
      <c r="C1663" s="278" t="s">
        <v>10651</v>
      </c>
      <c r="D1663" s="279" t="s">
        <v>10652</v>
      </c>
      <c r="E1663" s="306" t="s">
        <v>10969</v>
      </c>
      <c r="F1663" s="278" t="s">
        <v>4109</v>
      </c>
      <c r="G1663" s="278" t="s">
        <v>4108</v>
      </c>
      <c r="H1663" s="306" t="s">
        <v>11327</v>
      </c>
      <c r="I1663" s="269" t="s">
        <v>11328</v>
      </c>
      <c r="J1663" s="306" t="s">
        <v>10969</v>
      </c>
    </row>
    <row r="1664" spans="1:10" ht="14.5" customHeight="1" x14ac:dyDescent="0.25">
      <c r="A1664" s="278" t="s">
        <v>3705</v>
      </c>
      <c r="B1664" s="278" t="s">
        <v>10904</v>
      </c>
      <c r="C1664" s="278" t="s">
        <v>10651</v>
      </c>
      <c r="D1664" s="279" t="s">
        <v>10652</v>
      </c>
      <c r="E1664" s="306" t="s">
        <v>10969</v>
      </c>
      <c r="F1664" s="278" t="s">
        <v>4109</v>
      </c>
      <c r="G1664" s="278" t="s">
        <v>4108</v>
      </c>
      <c r="H1664" s="306" t="s">
        <v>11221</v>
      </c>
      <c r="I1664" s="269" t="s">
        <v>11222</v>
      </c>
      <c r="J1664" s="306" t="s">
        <v>10969</v>
      </c>
    </row>
    <row r="1665" spans="1:10" ht="14.5" customHeight="1" x14ac:dyDescent="0.25">
      <c r="A1665" s="278" t="s">
        <v>3705</v>
      </c>
      <c r="B1665" s="278" t="s">
        <v>10904</v>
      </c>
      <c r="C1665" s="278" t="s">
        <v>10651</v>
      </c>
      <c r="D1665" s="279" t="s">
        <v>10652</v>
      </c>
      <c r="E1665" s="306" t="s">
        <v>10969</v>
      </c>
      <c r="F1665" s="278" t="s">
        <v>4109</v>
      </c>
      <c r="G1665" s="278" t="s">
        <v>4108</v>
      </c>
      <c r="H1665" s="306" t="s">
        <v>11321</v>
      </c>
      <c r="I1665" s="269" t="s">
        <v>11322</v>
      </c>
      <c r="J1665" s="306" t="s">
        <v>10969</v>
      </c>
    </row>
    <row r="1666" spans="1:10" ht="14.5" customHeight="1" x14ac:dyDescent="0.25">
      <c r="A1666" s="278" t="s">
        <v>3705</v>
      </c>
      <c r="B1666" s="278" t="s">
        <v>10904</v>
      </c>
      <c r="C1666" s="278" t="s">
        <v>10653</v>
      </c>
      <c r="D1666" s="279" t="s">
        <v>10654</v>
      </c>
      <c r="E1666" s="306" t="s">
        <v>10969</v>
      </c>
      <c r="F1666" s="278" t="s">
        <v>4109</v>
      </c>
      <c r="G1666" s="278" t="s">
        <v>4108</v>
      </c>
      <c r="H1666" s="306" t="s">
        <v>11219</v>
      </c>
      <c r="I1666" s="269" t="s">
        <v>11220</v>
      </c>
      <c r="J1666" s="306" t="s">
        <v>10969</v>
      </c>
    </row>
    <row r="1667" spans="1:10" ht="14.5" customHeight="1" x14ac:dyDescent="0.25">
      <c r="A1667" s="278" t="s">
        <v>3705</v>
      </c>
      <c r="B1667" s="278" t="s">
        <v>10904</v>
      </c>
      <c r="C1667" s="278" t="s">
        <v>10653</v>
      </c>
      <c r="D1667" s="279" t="s">
        <v>10654</v>
      </c>
      <c r="E1667" s="306" t="s">
        <v>10969</v>
      </c>
      <c r="F1667" s="278" t="s">
        <v>4109</v>
      </c>
      <c r="G1667" s="278" t="s">
        <v>4108</v>
      </c>
      <c r="H1667" s="306" t="s">
        <v>11307</v>
      </c>
      <c r="I1667" s="269" t="s">
        <v>11308</v>
      </c>
      <c r="J1667" s="306" t="s">
        <v>10969</v>
      </c>
    </row>
    <row r="1668" spans="1:10" ht="14.5" customHeight="1" x14ac:dyDescent="0.25">
      <c r="A1668" s="278" t="s">
        <v>3705</v>
      </c>
      <c r="B1668" s="278" t="s">
        <v>10904</v>
      </c>
      <c r="C1668" s="278" t="s">
        <v>10653</v>
      </c>
      <c r="D1668" s="279" t="s">
        <v>10654</v>
      </c>
      <c r="E1668" s="306" t="s">
        <v>10969</v>
      </c>
      <c r="F1668" s="278" t="s">
        <v>4109</v>
      </c>
      <c r="G1668" s="278" t="s">
        <v>4108</v>
      </c>
      <c r="H1668" s="306" t="s">
        <v>11333</v>
      </c>
      <c r="I1668" s="269" t="s">
        <v>11334</v>
      </c>
      <c r="J1668" s="306" t="s">
        <v>10969</v>
      </c>
    </row>
    <row r="1669" spans="1:10" ht="14.5" customHeight="1" x14ac:dyDescent="0.25">
      <c r="A1669" s="278" t="s">
        <v>3705</v>
      </c>
      <c r="B1669" s="278" t="s">
        <v>10904</v>
      </c>
      <c r="C1669" s="278" t="s">
        <v>10653</v>
      </c>
      <c r="D1669" s="279" t="s">
        <v>10654</v>
      </c>
      <c r="E1669" s="306" t="s">
        <v>10969</v>
      </c>
      <c r="F1669" s="278" t="s">
        <v>4109</v>
      </c>
      <c r="G1669" s="278" t="s">
        <v>4108</v>
      </c>
      <c r="H1669" s="306" t="s">
        <v>11221</v>
      </c>
      <c r="I1669" s="269" t="s">
        <v>11222</v>
      </c>
      <c r="J1669" s="306" t="s">
        <v>10969</v>
      </c>
    </row>
    <row r="1670" spans="1:10" ht="14.5" customHeight="1" x14ac:dyDescent="0.25">
      <c r="A1670" s="278" t="s">
        <v>3705</v>
      </c>
      <c r="B1670" s="278" t="s">
        <v>10904</v>
      </c>
      <c r="C1670" s="278" t="s">
        <v>10653</v>
      </c>
      <c r="D1670" s="279" t="s">
        <v>10654</v>
      </c>
      <c r="E1670" s="306" t="s">
        <v>10969</v>
      </c>
      <c r="F1670" s="278" t="s">
        <v>4109</v>
      </c>
      <c r="G1670" s="278" t="s">
        <v>4108</v>
      </c>
      <c r="H1670" s="306" t="s">
        <v>11321</v>
      </c>
      <c r="I1670" s="269" t="s">
        <v>11322</v>
      </c>
      <c r="J1670" s="306" t="s">
        <v>10969</v>
      </c>
    </row>
    <row r="1671" spans="1:10" ht="14.5" customHeight="1" x14ac:dyDescent="0.25">
      <c r="A1671" s="278" t="s">
        <v>3705</v>
      </c>
      <c r="B1671" s="278" t="s">
        <v>10904</v>
      </c>
      <c r="C1671" s="278" t="s">
        <v>10655</v>
      </c>
      <c r="D1671" s="279" t="s">
        <v>10656</v>
      </c>
      <c r="E1671" s="306" t="s">
        <v>10969</v>
      </c>
      <c r="F1671" s="278" t="s">
        <v>4109</v>
      </c>
      <c r="G1671" s="278" t="s">
        <v>4108</v>
      </c>
      <c r="H1671" s="306" t="s">
        <v>11219</v>
      </c>
      <c r="I1671" s="269" t="s">
        <v>11220</v>
      </c>
      <c r="J1671" s="306" t="s">
        <v>10969</v>
      </c>
    </row>
    <row r="1672" spans="1:10" ht="14.5" customHeight="1" x14ac:dyDescent="0.25">
      <c r="A1672" s="278" t="s">
        <v>3705</v>
      </c>
      <c r="B1672" s="278" t="s">
        <v>10904</v>
      </c>
      <c r="C1672" s="278" t="s">
        <v>10655</v>
      </c>
      <c r="D1672" s="279" t="s">
        <v>10656</v>
      </c>
      <c r="E1672" s="306" t="s">
        <v>10969</v>
      </c>
      <c r="F1672" s="278" t="s">
        <v>4109</v>
      </c>
      <c r="G1672" s="278" t="s">
        <v>4108</v>
      </c>
      <c r="H1672" s="306" t="s">
        <v>11307</v>
      </c>
      <c r="I1672" s="269" t="s">
        <v>11308</v>
      </c>
      <c r="J1672" s="306" t="s">
        <v>10969</v>
      </c>
    </row>
    <row r="1673" spans="1:10" ht="14.5" customHeight="1" x14ac:dyDescent="0.25">
      <c r="A1673" s="278" t="s">
        <v>3705</v>
      </c>
      <c r="B1673" s="278" t="s">
        <v>10904</v>
      </c>
      <c r="C1673" s="278" t="s">
        <v>10655</v>
      </c>
      <c r="D1673" s="279" t="s">
        <v>10656</v>
      </c>
      <c r="E1673" s="306" t="s">
        <v>10969</v>
      </c>
      <c r="F1673" s="278" t="s">
        <v>4109</v>
      </c>
      <c r="G1673" s="278" t="s">
        <v>4108</v>
      </c>
      <c r="H1673" s="306" t="s">
        <v>11250</v>
      </c>
      <c r="I1673" s="269" t="s">
        <v>11251</v>
      </c>
      <c r="J1673" s="306" t="s">
        <v>10969</v>
      </c>
    </row>
    <row r="1674" spans="1:10" ht="14.5" customHeight="1" x14ac:dyDescent="0.25">
      <c r="A1674" s="278" t="s">
        <v>3705</v>
      </c>
      <c r="B1674" s="278" t="s">
        <v>10904</v>
      </c>
      <c r="C1674" s="278" t="s">
        <v>10655</v>
      </c>
      <c r="D1674" s="279" t="s">
        <v>10656</v>
      </c>
      <c r="E1674" s="306" t="s">
        <v>10969</v>
      </c>
      <c r="F1674" s="278" t="s">
        <v>4109</v>
      </c>
      <c r="G1674" s="278" t="s">
        <v>4108</v>
      </c>
      <c r="H1674" s="306" t="s">
        <v>11221</v>
      </c>
      <c r="I1674" s="269" t="s">
        <v>11222</v>
      </c>
      <c r="J1674" s="306" t="s">
        <v>10969</v>
      </c>
    </row>
    <row r="1675" spans="1:10" ht="14.5" customHeight="1" x14ac:dyDescent="0.25">
      <c r="A1675" s="278" t="s">
        <v>3705</v>
      </c>
      <c r="B1675" s="278" t="s">
        <v>10904</v>
      </c>
      <c r="C1675" s="278" t="s">
        <v>10655</v>
      </c>
      <c r="D1675" s="279" t="s">
        <v>10656</v>
      </c>
      <c r="E1675" s="306" t="s">
        <v>10969</v>
      </c>
      <c r="F1675" s="278" t="s">
        <v>4109</v>
      </c>
      <c r="G1675" s="278" t="s">
        <v>4108</v>
      </c>
      <c r="H1675" s="306" t="s">
        <v>11321</v>
      </c>
      <c r="I1675" s="269" t="s">
        <v>11322</v>
      </c>
      <c r="J1675" s="306" t="s">
        <v>10969</v>
      </c>
    </row>
    <row r="1676" spans="1:10" ht="14.5" customHeight="1" x14ac:dyDescent="0.25">
      <c r="A1676" s="278" t="s">
        <v>3705</v>
      </c>
      <c r="B1676" s="278" t="s">
        <v>10904</v>
      </c>
      <c r="C1676" s="278" t="s">
        <v>10657</v>
      </c>
      <c r="D1676" s="279" t="s">
        <v>10658</v>
      </c>
      <c r="E1676" s="306" t="s">
        <v>10969</v>
      </c>
      <c r="F1676" s="278" t="s">
        <v>4109</v>
      </c>
      <c r="G1676" s="278" t="s">
        <v>4108</v>
      </c>
      <c r="H1676" s="306" t="s">
        <v>11301</v>
      </c>
      <c r="I1676" s="269" t="s">
        <v>11302</v>
      </c>
      <c r="J1676" s="306" t="s">
        <v>10969</v>
      </c>
    </row>
    <row r="1677" spans="1:10" ht="14.5" customHeight="1" x14ac:dyDescent="0.25">
      <c r="A1677" s="278" t="s">
        <v>3705</v>
      </c>
      <c r="B1677" s="278" t="s">
        <v>10904</v>
      </c>
      <c r="C1677" s="278" t="s">
        <v>10657</v>
      </c>
      <c r="D1677" s="279" t="s">
        <v>10658</v>
      </c>
      <c r="E1677" s="306" t="s">
        <v>10969</v>
      </c>
      <c r="F1677" s="278" t="s">
        <v>4109</v>
      </c>
      <c r="G1677" s="278" t="s">
        <v>4108</v>
      </c>
      <c r="H1677" s="306" t="s">
        <v>11309</v>
      </c>
      <c r="I1677" s="269" t="s">
        <v>11310</v>
      </c>
      <c r="J1677" s="306" t="s">
        <v>10969</v>
      </c>
    </row>
    <row r="1678" spans="1:10" ht="14.5" customHeight="1" x14ac:dyDescent="0.25">
      <c r="A1678" s="278" t="s">
        <v>3705</v>
      </c>
      <c r="B1678" s="278" t="s">
        <v>10904</v>
      </c>
      <c r="C1678" s="278" t="s">
        <v>10657</v>
      </c>
      <c r="D1678" s="279" t="s">
        <v>10658</v>
      </c>
      <c r="E1678" s="306" t="s">
        <v>10969</v>
      </c>
      <c r="F1678" s="278" t="s">
        <v>4109</v>
      </c>
      <c r="G1678" s="278" t="s">
        <v>4108</v>
      </c>
      <c r="H1678" s="306" t="s">
        <v>11315</v>
      </c>
      <c r="I1678" s="269" t="s">
        <v>11316</v>
      </c>
      <c r="J1678" s="306" t="s">
        <v>10969</v>
      </c>
    </row>
    <row r="1679" spans="1:10" ht="14.5" customHeight="1" x14ac:dyDescent="0.25">
      <c r="A1679" s="278" t="s">
        <v>3705</v>
      </c>
      <c r="B1679" s="278" t="s">
        <v>10904</v>
      </c>
      <c r="C1679" s="278" t="s">
        <v>10657</v>
      </c>
      <c r="D1679" s="279" t="s">
        <v>10658</v>
      </c>
      <c r="E1679" s="306" t="s">
        <v>10969</v>
      </c>
      <c r="F1679" s="278" t="s">
        <v>4109</v>
      </c>
      <c r="G1679" s="278" t="s">
        <v>4108</v>
      </c>
      <c r="H1679" s="306" t="s">
        <v>11317</v>
      </c>
      <c r="I1679" s="269" t="s">
        <v>11318</v>
      </c>
      <c r="J1679" s="306" t="s">
        <v>10969</v>
      </c>
    </row>
    <row r="1680" spans="1:10" ht="14.5" customHeight="1" x14ac:dyDescent="0.25">
      <c r="A1680" s="278" t="s">
        <v>3705</v>
      </c>
      <c r="B1680" s="278" t="s">
        <v>10904</v>
      </c>
      <c r="C1680" s="278" t="s">
        <v>10657</v>
      </c>
      <c r="D1680" s="279" t="s">
        <v>10658</v>
      </c>
      <c r="E1680" s="306" t="s">
        <v>10969</v>
      </c>
      <c r="F1680" s="278" t="s">
        <v>4109</v>
      </c>
      <c r="G1680" s="278" t="s">
        <v>4108</v>
      </c>
      <c r="H1680" s="306" t="s">
        <v>11319</v>
      </c>
      <c r="I1680" s="269" t="s">
        <v>11320</v>
      </c>
      <c r="J1680" s="306" t="s">
        <v>10969</v>
      </c>
    </row>
    <row r="1681" spans="1:10" ht="14.5" customHeight="1" x14ac:dyDescent="0.25">
      <c r="A1681" s="278" t="s">
        <v>3705</v>
      </c>
      <c r="B1681" s="278" t="s">
        <v>10904</v>
      </c>
      <c r="C1681" s="278" t="s">
        <v>10657</v>
      </c>
      <c r="D1681" s="279" t="s">
        <v>10658</v>
      </c>
      <c r="E1681" s="306" t="s">
        <v>10969</v>
      </c>
      <c r="F1681" s="278" t="s">
        <v>4109</v>
      </c>
      <c r="G1681" s="278" t="s">
        <v>4108</v>
      </c>
      <c r="H1681" s="306" t="s">
        <v>11321</v>
      </c>
      <c r="I1681" s="269" t="s">
        <v>11322</v>
      </c>
      <c r="J1681" s="306" t="s">
        <v>10969</v>
      </c>
    </row>
    <row r="1682" spans="1:10" ht="14.5" customHeight="1" x14ac:dyDescent="0.25">
      <c r="A1682" s="278" t="s">
        <v>3705</v>
      </c>
      <c r="B1682" s="278" t="s">
        <v>10904</v>
      </c>
      <c r="C1682" s="278" t="s">
        <v>10659</v>
      </c>
      <c r="D1682" s="279" t="s">
        <v>10660</v>
      </c>
      <c r="E1682" s="306" t="s">
        <v>10969</v>
      </c>
      <c r="F1682" s="278" t="s">
        <v>4109</v>
      </c>
      <c r="G1682" s="278" t="s">
        <v>4109</v>
      </c>
      <c r="H1682" s="306" t="s">
        <v>11297</v>
      </c>
      <c r="I1682" s="269" t="s">
        <v>11298</v>
      </c>
      <c r="J1682" s="306" t="s">
        <v>10969</v>
      </c>
    </row>
    <row r="1683" spans="1:10" ht="14.5" customHeight="1" x14ac:dyDescent="0.25">
      <c r="A1683" s="278" t="s">
        <v>3705</v>
      </c>
      <c r="B1683" s="278" t="s">
        <v>10904</v>
      </c>
      <c r="C1683" s="278" t="s">
        <v>10659</v>
      </c>
      <c r="D1683" s="279" t="s">
        <v>10660</v>
      </c>
      <c r="E1683" s="306" t="s">
        <v>10969</v>
      </c>
      <c r="F1683" s="278" t="s">
        <v>4109</v>
      </c>
      <c r="G1683" s="278" t="s">
        <v>4109</v>
      </c>
      <c r="H1683" s="306" t="s">
        <v>11313</v>
      </c>
      <c r="I1683" s="269" t="s">
        <v>11314</v>
      </c>
      <c r="J1683" s="306" t="s">
        <v>10969</v>
      </c>
    </row>
    <row r="1684" spans="1:10" ht="14.5" customHeight="1" x14ac:dyDescent="0.25">
      <c r="A1684" s="278" t="s">
        <v>3705</v>
      </c>
      <c r="B1684" s="278" t="s">
        <v>10904</v>
      </c>
      <c r="C1684" s="278" t="s">
        <v>10659</v>
      </c>
      <c r="D1684" s="279" t="s">
        <v>10660</v>
      </c>
      <c r="E1684" s="306" t="s">
        <v>10969</v>
      </c>
      <c r="F1684" s="278" t="s">
        <v>4109</v>
      </c>
      <c r="G1684" s="278" t="s">
        <v>4109</v>
      </c>
      <c r="H1684" s="306" t="s">
        <v>11315</v>
      </c>
      <c r="I1684" s="269" t="s">
        <v>11316</v>
      </c>
      <c r="J1684" s="306" t="s">
        <v>10969</v>
      </c>
    </row>
    <row r="1685" spans="1:10" ht="14.5" customHeight="1" x14ac:dyDescent="0.25">
      <c r="A1685" s="278" t="s">
        <v>3705</v>
      </c>
      <c r="B1685" s="278" t="s">
        <v>10904</v>
      </c>
      <c r="C1685" s="278" t="s">
        <v>10659</v>
      </c>
      <c r="D1685" s="279" t="s">
        <v>10660</v>
      </c>
      <c r="E1685" s="306" t="s">
        <v>10969</v>
      </c>
      <c r="F1685" s="278" t="s">
        <v>4109</v>
      </c>
      <c r="G1685" s="278" t="s">
        <v>4109</v>
      </c>
      <c r="H1685" s="306" t="s">
        <v>11317</v>
      </c>
      <c r="I1685" s="269" t="s">
        <v>11318</v>
      </c>
      <c r="J1685" s="306" t="s">
        <v>10969</v>
      </c>
    </row>
    <row r="1686" spans="1:10" ht="14.5" customHeight="1" x14ac:dyDescent="0.25">
      <c r="A1686" s="278" t="s">
        <v>3705</v>
      </c>
      <c r="B1686" s="278" t="s">
        <v>10904</v>
      </c>
      <c r="C1686" s="278" t="s">
        <v>10659</v>
      </c>
      <c r="D1686" s="279" t="s">
        <v>10660</v>
      </c>
      <c r="E1686" s="306" t="s">
        <v>10969</v>
      </c>
      <c r="F1686" s="278" t="s">
        <v>4109</v>
      </c>
      <c r="G1686" s="278" t="s">
        <v>4109</v>
      </c>
      <c r="H1686" s="306" t="s">
        <v>11319</v>
      </c>
      <c r="I1686" s="269" t="s">
        <v>11320</v>
      </c>
      <c r="J1686" s="306" t="s">
        <v>10969</v>
      </c>
    </row>
    <row r="1687" spans="1:10" ht="14.5" customHeight="1" x14ac:dyDescent="0.25">
      <c r="A1687" s="278" t="s">
        <v>3705</v>
      </c>
      <c r="B1687" s="278" t="s">
        <v>10904</v>
      </c>
      <c r="C1687" s="278" t="s">
        <v>10659</v>
      </c>
      <c r="D1687" s="279" t="s">
        <v>10660</v>
      </c>
      <c r="E1687" s="306" t="s">
        <v>10969</v>
      </c>
      <c r="F1687" s="278" t="s">
        <v>4109</v>
      </c>
      <c r="G1687" s="278" t="s">
        <v>4109</v>
      </c>
      <c r="H1687" s="306" t="s">
        <v>11321</v>
      </c>
      <c r="I1687" s="269" t="s">
        <v>11322</v>
      </c>
      <c r="J1687" s="306" t="s">
        <v>10969</v>
      </c>
    </row>
    <row r="1688" spans="1:10" ht="14.5" customHeight="1" x14ac:dyDescent="0.25">
      <c r="A1688" s="278" t="s">
        <v>3705</v>
      </c>
      <c r="B1688" s="278" t="s">
        <v>10904</v>
      </c>
      <c r="C1688" s="278" t="s">
        <v>10661</v>
      </c>
      <c r="D1688" s="279" t="s">
        <v>10662</v>
      </c>
      <c r="E1688" s="306" t="s">
        <v>10969</v>
      </c>
      <c r="F1688" s="278" t="s">
        <v>4109</v>
      </c>
      <c r="G1688" s="278" t="s">
        <v>4108</v>
      </c>
      <c r="H1688" s="306" t="s">
        <v>11305</v>
      </c>
      <c r="I1688" s="269" t="s">
        <v>11306</v>
      </c>
      <c r="J1688" s="306" t="s">
        <v>10969</v>
      </c>
    </row>
    <row r="1689" spans="1:10" ht="14.5" customHeight="1" x14ac:dyDescent="0.25">
      <c r="A1689" s="278" t="s">
        <v>3705</v>
      </c>
      <c r="B1689" s="278" t="s">
        <v>10904</v>
      </c>
      <c r="C1689" s="278" t="s">
        <v>10661</v>
      </c>
      <c r="D1689" s="279" t="s">
        <v>10662</v>
      </c>
      <c r="E1689" s="306" t="s">
        <v>10969</v>
      </c>
      <c r="F1689" s="278" t="s">
        <v>4109</v>
      </c>
      <c r="G1689" s="278" t="s">
        <v>4108</v>
      </c>
      <c r="H1689" s="306" t="s">
        <v>11311</v>
      </c>
      <c r="I1689" s="269" t="s">
        <v>11312</v>
      </c>
      <c r="J1689" s="306" t="s">
        <v>10969</v>
      </c>
    </row>
    <row r="1690" spans="1:10" ht="14.5" customHeight="1" x14ac:dyDescent="0.25">
      <c r="A1690" s="278" t="s">
        <v>3705</v>
      </c>
      <c r="B1690" s="278" t="s">
        <v>10904</v>
      </c>
      <c r="C1690" s="278" t="s">
        <v>10661</v>
      </c>
      <c r="D1690" s="279" t="s">
        <v>10662</v>
      </c>
      <c r="E1690" s="306" t="s">
        <v>10969</v>
      </c>
      <c r="F1690" s="278" t="s">
        <v>4109</v>
      </c>
      <c r="G1690" s="278" t="s">
        <v>4108</v>
      </c>
      <c r="H1690" s="306" t="s">
        <v>11313</v>
      </c>
      <c r="I1690" s="269" t="s">
        <v>11314</v>
      </c>
      <c r="J1690" s="306" t="s">
        <v>10969</v>
      </c>
    </row>
    <row r="1691" spans="1:10" ht="14.5" customHeight="1" x14ac:dyDescent="0.25">
      <c r="A1691" s="278" t="s">
        <v>3705</v>
      </c>
      <c r="B1691" s="278" t="s">
        <v>10904</v>
      </c>
      <c r="C1691" s="278" t="s">
        <v>10661</v>
      </c>
      <c r="D1691" s="279" t="s">
        <v>10662</v>
      </c>
      <c r="E1691" s="306" t="s">
        <v>10969</v>
      </c>
      <c r="F1691" s="278" t="s">
        <v>4109</v>
      </c>
      <c r="G1691" s="278" t="s">
        <v>4108</v>
      </c>
      <c r="H1691" s="306" t="s">
        <v>11315</v>
      </c>
      <c r="I1691" s="269" t="s">
        <v>11316</v>
      </c>
      <c r="J1691" s="306" t="s">
        <v>10969</v>
      </c>
    </row>
    <row r="1692" spans="1:10" ht="14.5" customHeight="1" x14ac:dyDescent="0.25">
      <c r="A1692" s="278" t="s">
        <v>3705</v>
      </c>
      <c r="B1692" s="278" t="s">
        <v>10904</v>
      </c>
      <c r="C1692" s="278" t="s">
        <v>10661</v>
      </c>
      <c r="D1692" s="279" t="s">
        <v>10662</v>
      </c>
      <c r="E1692" s="306" t="s">
        <v>10969</v>
      </c>
      <c r="F1692" s="278" t="s">
        <v>4109</v>
      </c>
      <c r="G1692" s="278" t="s">
        <v>4108</v>
      </c>
      <c r="H1692" s="306" t="s">
        <v>11317</v>
      </c>
      <c r="I1692" s="269" t="s">
        <v>11318</v>
      </c>
      <c r="J1692" s="306" t="s">
        <v>10969</v>
      </c>
    </row>
    <row r="1693" spans="1:10" ht="14.5" customHeight="1" x14ac:dyDescent="0.25">
      <c r="A1693" s="278" t="s">
        <v>3705</v>
      </c>
      <c r="B1693" s="278" t="s">
        <v>10904</v>
      </c>
      <c r="C1693" s="278" t="s">
        <v>10661</v>
      </c>
      <c r="D1693" s="279" t="s">
        <v>10662</v>
      </c>
      <c r="E1693" s="306" t="s">
        <v>10969</v>
      </c>
      <c r="F1693" s="278" t="s">
        <v>4109</v>
      </c>
      <c r="G1693" s="278" t="s">
        <v>4108</v>
      </c>
      <c r="H1693" s="306" t="s">
        <v>11319</v>
      </c>
      <c r="I1693" s="269" t="s">
        <v>11320</v>
      </c>
      <c r="J1693" s="306" t="s">
        <v>10969</v>
      </c>
    </row>
    <row r="1694" spans="1:10" ht="14.5" customHeight="1" x14ac:dyDescent="0.25">
      <c r="A1694" s="278" t="s">
        <v>3705</v>
      </c>
      <c r="B1694" s="278" t="s">
        <v>10904</v>
      </c>
      <c r="C1694" s="278" t="s">
        <v>10661</v>
      </c>
      <c r="D1694" s="279" t="s">
        <v>10662</v>
      </c>
      <c r="E1694" s="306" t="s">
        <v>10969</v>
      </c>
      <c r="F1694" s="278" t="s">
        <v>4109</v>
      </c>
      <c r="G1694" s="278" t="s">
        <v>4108</v>
      </c>
      <c r="H1694" s="306" t="s">
        <v>11321</v>
      </c>
      <c r="I1694" s="269" t="s">
        <v>11322</v>
      </c>
      <c r="J1694" s="306" t="s">
        <v>10969</v>
      </c>
    </row>
    <row r="1695" spans="1:10" ht="14.5" customHeight="1" x14ac:dyDescent="0.25">
      <c r="A1695" s="278" t="s">
        <v>3705</v>
      </c>
      <c r="B1695" s="278" t="s">
        <v>10904</v>
      </c>
      <c r="C1695" s="278" t="s">
        <v>10663</v>
      </c>
      <c r="D1695" s="279" t="s">
        <v>10664</v>
      </c>
      <c r="E1695" s="306" t="s">
        <v>10969</v>
      </c>
      <c r="F1695" s="278" t="s">
        <v>4109</v>
      </c>
      <c r="G1695" s="278" t="s">
        <v>4108</v>
      </c>
      <c r="H1695" s="306" t="s">
        <v>11297</v>
      </c>
      <c r="I1695" s="269" t="s">
        <v>11298</v>
      </c>
      <c r="J1695" s="306" t="s">
        <v>10969</v>
      </c>
    </row>
    <row r="1696" spans="1:10" ht="14.5" customHeight="1" x14ac:dyDescent="0.25">
      <c r="A1696" s="278" t="s">
        <v>3705</v>
      </c>
      <c r="B1696" s="278" t="s">
        <v>10904</v>
      </c>
      <c r="C1696" s="278" t="s">
        <v>10663</v>
      </c>
      <c r="D1696" s="279" t="s">
        <v>10664</v>
      </c>
      <c r="E1696" s="306" t="s">
        <v>10969</v>
      </c>
      <c r="F1696" s="278" t="s">
        <v>4109</v>
      </c>
      <c r="G1696" s="278" t="s">
        <v>4108</v>
      </c>
      <c r="H1696" s="306" t="s">
        <v>11313</v>
      </c>
      <c r="I1696" s="269" t="s">
        <v>11314</v>
      </c>
      <c r="J1696" s="306" t="s">
        <v>10969</v>
      </c>
    </row>
    <row r="1697" spans="1:10" ht="14.5" customHeight="1" x14ac:dyDescent="0.25">
      <c r="A1697" s="278" t="s">
        <v>3705</v>
      </c>
      <c r="B1697" s="278" t="s">
        <v>10904</v>
      </c>
      <c r="C1697" s="278" t="s">
        <v>10663</v>
      </c>
      <c r="D1697" s="279" t="s">
        <v>10664</v>
      </c>
      <c r="E1697" s="306" t="s">
        <v>10969</v>
      </c>
      <c r="F1697" s="278" t="s">
        <v>4109</v>
      </c>
      <c r="G1697" s="278" t="s">
        <v>4108</v>
      </c>
      <c r="H1697" s="306" t="s">
        <v>11315</v>
      </c>
      <c r="I1697" s="269" t="s">
        <v>11316</v>
      </c>
      <c r="J1697" s="306" t="s">
        <v>10969</v>
      </c>
    </row>
    <row r="1698" spans="1:10" ht="14.5" customHeight="1" x14ac:dyDescent="0.25">
      <c r="A1698" s="278" t="s">
        <v>3705</v>
      </c>
      <c r="B1698" s="278" t="s">
        <v>10904</v>
      </c>
      <c r="C1698" s="278" t="s">
        <v>10663</v>
      </c>
      <c r="D1698" s="279" t="s">
        <v>10664</v>
      </c>
      <c r="E1698" s="306" t="s">
        <v>10969</v>
      </c>
      <c r="F1698" s="278" t="s">
        <v>4109</v>
      </c>
      <c r="G1698" s="278" t="s">
        <v>4108</v>
      </c>
      <c r="H1698" s="306" t="s">
        <v>11317</v>
      </c>
      <c r="I1698" s="269" t="s">
        <v>11318</v>
      </c>
      <c r="J1698" s="306" t="s">
        <v>10969</v>
      </c>
    </row>
    <row r="1699" spans="1:10" ht="14.5" customHeight="1" x14ac:dyDescent="0.25">
      <c r="A1699" s="278" t="s">
        <v>3705</v>
      </c>
      <c r="B1699" s="278" t="s">
        <v>10904</v>
      </c>
      <c r="C1699" s="278" t="s">
        <v>10663</v>
      </c>
      <c r="D1699" s="279" t="s">
        <v>10664</v>
      </c>
      <c r="E1699" s="306" t="s">
        <v>10969</v>
      </c>
      <c r="F1699" s="278" t="s">
        <v>4109</v>
      </c>
      <c r="G1699" s="278" t="s">
        <v>4108</v>
      </c>
      <c r="H1699" s="306" t="s">
        <v>11319</v>
      </c>
      <c r="I1699" s="269" t="s">
        <v>11320</v>
      </c>
      <c r="J1699" s="306" t="s">
        <v>10969</v>
      </c>
    </row>
    <row r="1700" spans="1:10" ht="14.5" customHeight="1" x14ac:dyDescent="0.25">
      <c r="A1700" s="278" t="s">
        <v>3705</v>
      </c>
      <c r="B1700" s="278" t="s">
        <v>10904</v>
      </c>
      <c r="C1700" s="278" t="s">
        <v>10663</v>
      </c>
      <c r="D1700" s="279" t="s">
        <v>10664</v>
      </c>
      <c r="E1700" s="306" t="s">
        <v>10969</v>
      </c>
      <c r="F1700" s="278" t="s">
        <v>4109</v>
      </c>
      <c r="G1700" s="278" t="s">
        <v>4108</v>
      </c>
      <c r="H1700" s="306" t="s">
        <v>11321</v>
      </c>
      <c r="I1700" s="269" t="s">
        <v>11322</v>
      </c>
      <c r="J1700" s="306" t="s">
        <v>10969</v>
      </c>
    </row>
    <row r="1701" spans="1:10" ht="14.5" customHeight="1" x14ac:dyDescent="0.35">
      <c r="A1701" s="282" t="s">
        <v>3705</v>
      </c>
      <c r="B1701" s="284" t="s">
        <v>10904</v>
      </c>
      <c r="C1701" s="284" t="s">
        <v>10665</v>
      </c>
      <c r="D1701" s="285" t="s">
        <v>10542</v>
      </c>
      <c r="E1701" s="364" t="s">
        <v>10969</v>
      </c>
      <c r="F1701" s="364" t="s">
        <v>4109</v>
      </c>
      <c r="G1701" s="364" t="s">
        <v>4108</v>
      </c>
      <c r="H1701" s="342"/>
      <c r="I1701" s="271" t="s">
        <v>11316</v>
      </c>
      <c r="J1701" s="342" t="s">
        <v>10969</v>
      </c>
    </row>
    <row r="1702" spans="1:10" ht="14.5" customHeight="1" x14ac:dyDescent="0.35">
      <c r="A1702" s="282" t="s">
        <v>3705</v>
      </c>
      <c r="B1702" s="284" t="s">
        <v>10904</v>
      </c>
      <c r="C1702" s="284" t="s">
        <v>10665</v>
      </c>
      <c r="D1702" s="285" t="s">
        <v>10542</v>
      </c>
      <c r="E1702" s="364" t="s">
        <v>10969</v>
      </c>
      <c r="F1702" s="364" t="s">
        <v>4109</v>
      </c>
      <c r="G1702" s="364" t="s">
        <v>4108</v>
      </c>
      <c r="H1702" s="342"/>
      <c r="I1702" s="271" t="s">
        <v>11318</v>
      </c>
      <c r="J1702" s="342" t="s">
        <v>10969</v>
      </c>
    </row>
    <row r="1703" spans="1:10" ht="14.5" customHeight="1" x14ac:dyDescent="0.35">
      <c r="A1703" s="282" t="s">
        <v>3705</v>
      </c>
      <c r="B1703" s="284" t="s">
        <v>10904</v>
      </c>
      <c r="C1703" s="284" t="s">
        <v>10665</v>
      </c>
      <c r="D1703" s="285" t="s">
        <v>10542</v>
      </c>
      <c r="E1703" s="364" t="s">
        <v>10969</v>
      </c>
      <c r="F1703" s="364" t="s">
        <v>4109</v>
      </c>
      <c r="G1703" s="364" t="s">
        <v>4108</v>
      </c>
      <c r="H1703" s="342"/>
      <c r="I1703" s="271" t="s">
        <v>11322</v>
      </c>
      <c r="J1703" s="342" t="s">
        <v>10969</v>
      </c>
    </row>
    <row r="1704" spans="1:10" ht="14.5" customHeight="1" x14ac:dyDescent="0.25">
      <c r="A1704" s="278" t="s">
        <v>3705</v>
      </c>
      <c r="B1704" s="278" t="s">
        <v>10904</v>
      </c>
      <c r="C1704" s="278" t="s">
        <v>10666</v>
      </c>
      <c r="D1704" s="279" t="s">
        <v>10667</v>
      </c>
      <c r="E1704" s="306" t="s">
        <v>10969</v>
      </c>
      <c r="F1704" s="278" t="s">
        <v>4109</v>
      </c>
      <c r="G1704" s="278" t="s">
        <v>4108</v>
      </c>
      <c r="H1704" s="306" t="s">
        <v>11315</v>
      </c>
      <c r="I1704" s="269" t="s">
        <v>11316</v>
      </c>
      <c r="J1704" s="306" t="s">
        <v>10969</v>
      </c>
    </row>
    <row r="1705" spans="1:10" ht="14.5" customHeight="1" x14ac:dyDescent="0.25">
      <c r="A1705" s="278" t="s">
        <v>3705</v>
      </c>
      <c r="B1705" s="278" t="s">
        <v>10904</v>
      </c>
      <c r="C1705" s="278" t="s">
        <v>10666</v>
      </c>
      <c r="D1705" s="279" t="s">
        <v>10667</v>
      </c>
      <c r="E1705" s="306" t="s">
        <v>10969</v>
      </c>
      <c r="F1705" s="278" t="s">
        <v>4109</v>
      </c>
      <c r="G1705" s="278" t="s">
        <v>4108</v>
      </c>
      <c r="H1705" s="306" t="s">
        <v>11317</v>
      </c>
      <c r="I1705" s="269" t="s">
        <v>11318</v>
      </c>
      <c r="J1705" s="306" t="s">
        <v>10969</v>
      </c>
    </row>
    <row r="1706" spans="1:10" ht="14.5" customHeight="1" x14ac:dyDescent="0.25">
      <c r="A1706" s="278" t="s">
        <v>3705</v>
      </c>
      <c r="B1706" s="278" t="s">
        <v>10904</v>
      </c>
      <c r="C1706" s="278" t="s">
        <v>10666</v>
      </c>
      <c r="D1706" s="279" t="s">
        <v>10667</v>
      </c>
      <c r="E1706" s="306" t="s">
        <v>10969</v>
      </c>
      <c r="F1706" s="278" t="s">
        <v>4109</v>
      </c>
      <c r="G1706" s="278" t="s">
        <v>4108</v>
      </c>
      <c r="H1706" s="306" t="s">
        <v>11319</v>
      </c>
      <c r="I1706" s="269" t="s">
        <v>11320</v>
      </c>
      <c r="J1706" s="306" t="s">
        <v>10969</v>
      </c>
    </row>
    <row r="1707" spans="1:10" ht="14.5" customHeight="1" x14ac:dyDescent="0.25">
      <c r="A1707" s="278" t="s">
        <v>3705</v>
      </c>
      <c r="B1707" s="278" t="s">
        <v>10904</v>
      </c>
      <c r="C1707" s="278" t="s">
        <v>10666</v>
      </c>
      <c r="D1707" s="279" t="s">
        <v>10667</v>
      </c>
      <c r="E1707" s="306" t="s">
        <v>10969</v>
      </c>
      <c r="F1707" s="278" t="s">
        <v>4109</v>
      </c>
      <c r="G1707" s="278" t="s">
        <v>4108</v>
      </c>
      <c r="H1707" s="306" t="s">
        <v>11321</v>
      </c>
      <c r="I1707" s="269" t="s">
        <v>11322</v>
      </c>
      <c r="J1707" s="306" t="s">
        <v>10969</v>
      </c>
    </row>
    <row r="1708" spans="1:10" ht="14.5" customHeight="1" x14ac:dyDescent="0.25">
      <c r="A1708" s="278" t="s">
        <v>3705</v>
      </c>
      <c r="B1708" s="278" t="s">
        <v>10904</v>
      </c>
      <c r="C1708" s="278" t="s">
        <v>10668</v>
      </c>
      <c r="D1708" s="279" t="s">
        <v>10669</v>
      </c>
      <c r="E1708" s="306" t="s">
        <v>10969</v>
      </c>
      <c r="F1708" s="278" t="s">
        <v>4109</v>
      </c>
      <c r="G1708" s="278" t="s">
        <v>4108</v>
      </c>
      <c r="H1708" s="306" t="s">
        <v>11297</v>
      </c>
      <c r="I1708" s="269" t="s">
        <v>11298</v>
      </c>
      <c r="J1708" s="306" t="s">
        <v>10969</v>
      </c>
    </row>
    <row r="1709" spans="1:10" ht="14.5" customHeight="1" x14ac:dyDescent="0.25">
      <c r="A1709" s="278" t="s">
        <v>3705</v>
      </c>
      <c r="B1709" s="278" t="s">
        <v>10904</v>
      </c>
      <c r="C1709" s="278" t="s">
        <v>10668</v>
      </c>
      <c r="D1709" s="279" t="s">
        <v>10669</v>
      </c>
      <c r="E1709" s="306" t="s">
        <v>10969</v>
      </c>
      <c r="F1709" s="278" t="s">
        <v>4109</v>
      </c>
      <c r="G1709" s="278" t="s">
        <v>4108</v>
      </c>
      <c r="H1709" s="306" t="s">
        <v>11313</v>
      </c>
      <c r="I1709" s="269" t="s">
        <v>11314</v>
      </c>
      <c r="J1709" s="306" t="s">
        <v>10969</v>
      </c>
    </row>
    <row r="1710" spans="1:10" ht="14.5" customHeight="1" x14ac:dyDescent="0.25">
      <c r="A1710" s="278" t="s">
        <v>3705</v>
      </c>
      <c r="B1710" s="278" t="s">
        <v>10904</v>
      </c>
      <c r="C1710" s="278" t="s">
        <v>10668</v>
      </c>
      <c r="D1710" s="279" t="s">
        <v>10669</v>
      </c>
      <c r="E1710" s="306" t="s">
        <v>10969</v>
      </c>
      <c r="F1710" s="278" t="s">
        <v>4109</v>
      </c>
      <c r="G1710" s="278" t="s">
        <v>4108</v>
      </c>
      <c r="H1710" s="306" t="s">
        <v>11315</v>
      </c>
      <c r="I1710" s="269" t="s">
        <v>11316</v>
      </c>
      <c r="J1710" s="306" t="s">
        <v>10969</v>
      </c>
    </row>
    <row r="1711" spans="1:10" ht="14.5" customHeight="1" x14ac:dyDescent="0.25">
      <c r="A1711" s="278" t="s">
        <v>3705</v>
      </c>
      <c r="B1711" s="278" t="s">
        <v>10904</v>
      </c>
      <c r="C1711" s="278" t="s">
        <v>10668</v>
      </c>
      <c r="D1711" s="279" t="s">
        <v>10669</v>
      </c>
      <c r="E1711" s="306" t="s">
        <v>10969</v>
      </c>
      <c r="F1711" s="278" t="s">
        <v>4109</v>
      </c>
      <c r="G1711" s="278" t="s">
        <v>4108</v>
      </c>
      <c r="H1711" s="306" t="s">
        <v>11317</v>
      </c>
      <c r="I1711" s="269" t="s">
        <v>11318</v>
      </c>
      <c r="J1711" s="306" t="s">
        <v>10969</v>
      </c>
    </row>
    <row r="1712" spans="1:10" ht="14.5" customHeight="1" x14ac:dyDescent="0.25">
      <c r="A1712" s="278" t="s">
        <v>3705</v>
      </c>
      <c r="B1712" s="278" t="s">
        <v>10904</v>
      </c>
      <c r="C1712" s="278" t="s">
        <v>10668</v>
      </c>
      <c r="D1712" s="279" t="s">
        <v>10669</v>
      </c>
      <c r="E1712" s="306" t="s">
        <v>10969</v>
      </c>
      <c r="F1712" s="278" t="s">
        <v>4109</v>
      </c>
      <c r="G1712" s="278" t="s">
        <v>4108</v>
      </c>
      <c r="H1712" s="306" t="s">
        <v>11319</v>
      </c>
      <c r="I1712" s="269" t="s">
        <v>11320</v>
      </c>
      <c r="J1712" s="306" t="s">
        <v>10969</v>
      </c>
    </row>
    <row r="1713" spans="1:10" ht="14.5" customHeight="1" x14ac:dyDescent="0.25">
      <c r="A1713" s="278" t="s">
        <v>3705</v>
      </c>
      <c r="B1713" s="278" t="s">
        <v>10904</v>
      </c>
      <c r="C1713" s="278" t="s">
        <v>10668</v>
      </c>
      <c r="D1713" s="279" t="s">
        <v>10669</v>
      </c>
      <c r="E1713" s="306" t="s">
        <v>10969</v>
      </c>
      <c r="F1713" s="278" t="s">
        <v>4109</v>
      </c>
      <c r="G1713" s="278" t="s">
        <v>4108</v>
      </c>
      <c r="H1713" s="306" t="s">
        <v>11321</v>
      </c>
      <c r="I1713" s="269" t="s">
        <v>11322</v>
      </c>
      <c r="J1713" s="306" t="s">
        <v>10969</v>
      </c>
    </row>
    <row r="1714" spans="1:10" ht="14.5" customHeight="1" x14ac:dyDescent="0.25">
      <c r="A1714" s="278" t="s">
        <v>3705</v>
      </c>
      <c r="B1714" s="278" t="s">
        <v>10904</v>
      </c>
      <c r="C1714" s="278" t="s">
        <v>10670</v>
      </c>
      <c r="D1714" s="279" t="s">
        <v>10671</v>
      </c>
      <c r="E1714" s="306" t="s">
        <v>10969</v>
      </c>
      <c r="F1714" s="278" t="s">
        <v>4109</v>
      </c>
      <c r="G1714" s="278" t="s">
        <v>4108</v>
      </c>
      <c r="H1714" s="306" t="s">
        <v>11297</v>
      </c>
      <c r="I1714" s="269" t="s">
        <v>11298</v>
      </c>
      <c r="J1714" s="306" t="s">
        <v>10969</v>
      </c>
    </row>
    <row r="1715" spans="1:10" ht="14.5" customHeight="1" x14ac:dyDescent="0.25">
      <c r="A1715" s="278" t="s">
        <v>3705</v>
      </c>
      <c r="B1715" s="278" t="s">
        <v>10904</v>
      </c>
      <c r="C1715" s="278" t="s">
        <v>10670</v>
      </c>
      <c r="D1715" s="279" t="s">
        <v>10671</v>
      </c>
      <c r="E1715" s="306" t="s">
        <v>10969</v>
      </c>
      <c r="F1715" s="278" t="s">
        <v>4109</v>
      </c>
      <c r="G1715" s="278" t="s">
        <v>4108</v>
      </c>
      <c r="H1715" s="306" t="s">
        <v>11301</v>
      </c>
      <c r="I1715" s="269" t="s">
        <v>11302</v>
      </c>
      <c r="J1715" s="306" t="s">
        <v>10969</v>
      </c>
    </row>
    <row r="1716" spans="1:10" ht="14.5" customHeight="1" x14ac:dyDescent="0.25">
      <c r="A1716" s="278" t="s">
        <v>3705</v>
      </c>
      <c r="B1716" s="278" t="s">
        <v>10904</v>
      </c>
      <c r="C1716" s="278" t="s">
        <v>10670</v>
      </c>
      <c r="D1716" s="279" t="s">
        <v>10671</v>
      </c>
      <c r="E1716" s="306" t="s">
        <v>10969</v>
      </c>
      <c r="F1716" s="278" t="s">
        <v>4109</v>
      </c>
      <c r="G1716" s="278" t="s">
        <v>4108</v>
      </c>
      <c r="H1716" s="306" t="s">
        <v>11313</v>
      </c>
      <c r="I1716" s="269" t="s">
        <v>11314</v>
      </c>
      <c r="J1716" s="306" t="s">
        <v>10969</v>
      </c>
    </row>
    <row r="1717" spans="1:10" ht="14.5" customHeight="1" x14ac:dyDescent="0.25">
      <c r="A1717" s="278" t="s">
        <v>3705</v>
      </c>
      <c r="B1717" s="278" t="s">
        <v>10904</v>
      </c>
      <c r="C1717" s="278" t="s">
        <v>10670</v>
      </c>
      <c r="D1717" s="279" t="s">
        <v>10671</v>
      </c>
      <c r="E1717" s="306" t="s">
        <v>10969</v>
      </c>
      <c r="F1717" s="278" t="s">
        <v>4109</v>
      </c>
      <c r="G1717" s="278" t="s">
        <v>4108</v>
      </c>
      <c r="H1717" s="306" t="s">
        <v>11315</v>
      </c>
      <c r="I1717" s="269" t="s">
        <v>11316</v>
      </c>
      <c r="J1717" s="306" t="s">
        <v>10969</v>
      </c>
    </row>
    <row r="1718" spans="1:10" ht="14.5" customHeight="1" x14ac:dyDescent="0.25">
      <c r="A1718" s="278" t="s">
        <v>3705</v>
      </c>
      <c r="B1718" s="278" t="s">
        <v>10904</v>
      </c>
      <c r="C1718" s="278" t="s">
        <v>10670</v>
      </c>
      <c r="D1718" s="279" t="s">
        <v>10671</v>
      </c>
      <c r="E1718" s="306" t="s">
        <v>10969</v>
      </c>
      <c r="F1718" s="278" t="s">
        <v>4109</v>
      </c>
      <c r="G1718" s="278" t="s">
        <v>4108</v>
      </c>
      <c r="H1718" s="306" t="s">
        <v>11317</v>
      </c>
      <c r="I1718" s="269" t="s">
        <v>11318</v>
      </c>
      <c r="J1718" s="306" t="s">
        <v>10969</v>
      </c>
    </row>
    <row r="1719" spans="1:10" ht="14.5" customHeight="1" x14ac:dyDescent="0.25">
      <c r="A1719" s="278" t="s">
        <v>3705</v>
      </c>
      <c r="B1719" s="278" t="s">
        <v>10904</v>
      </c>
      <c r="C1719" s="278" t="s">
        <v>10670</v>
      </c>
      <c r="D1719" s="279" t="s">
        <v>10671</v>
      </c>
      <c r="E1719" s="306" t="s">
        <v>10969</v>
      </c>
      <c r="F1719" s="278" t="s">
        <v>4109</v>
      </c>
      <c r="G1719" s="278" t="s">
        <v>4108</v>
      </c>
      <c r="H1719" s="306" t="s">
        <v>11319</v>
      </c>
      <c r="I1719" s="269" t="s">
        <v>11320</v>
      </c>
      <c r="J1719" s="306" t="s">
        <v>10969</v>
      </c>
    </row>
    <row r="1720" spans="1:10" ht="14.5" customHeight="1" x14ac:dyDescent="0.25">
      <c r="A1720" s="278" t="s">
        <v>3705</v>
      </c>
      <c r="B1720" s="278" t="s">
        <v>10904</v>
      </c>
      <c r="C1720" s="278" t="s">
        <v>10670</v>
      </c>
      <c r="D1720" s="279" t="s">
        <v>10671</v>
      </c>
      <c r="E1720" s="306" t="s">
        <v>10969</v>
      </c>
      <c r="F1720" s="278" t="s">
        <v>4109</v>
      </c>
      <c r="G1720" s="278" t="s">
        <v>4108</v>
      </c>
      <c r="H1720" s="306" t="s">
        <v>11321</v>
      </c>
      <c r="I1720" s="269" t="s">
        <v>11322</v>
      </c>
      <c r="J1720" s="306" t="s">
        <v>10969</v>
      </c>
    </row>
    <row r="1721" spans="1:10" ht="14.5" customHeight="1" x14ac:dyDescent="0.25">
      <c r="A1721" s="278" t="s">
        <v>3705</v>
      </c>
      <c r="B1721" s="278" t="s">
        <v>10904</v>
      </c>
      <c r="C1721" s="278" t="s">
        <v>10672</v>
      </c>
      <c r="D1721" s="279" t="s">
        <v>10673</v>
      </c>
      <c r="E1721" s="306" t="s">
        <v>10969</v>
      </c>
      <c r="F1721" s="278" t="s">
        <v>4109</v>
      </c>
      <c r="G1721" s="278" t="s">
        <v>4108</v>
      </c>
      <c r="H1721" s="306" t="s">
        <v>11301</v>
      </c>
      <c r="I1721" s="269" t="s">
        <v>11302</v>
      </c>
      <c r="J1721" s="306" t="s">
        <v>10969</v>
      </c>
    </row>
    <row r="1722" spans="1:10" ht="14.5" customHeight="1" x14ac:dyDescent="0.25">
      <c r="A1722" s="278" t="s">
        <v>3705</v>
      </c>
      <c r="B1722" s="278" t="s">
        <v>10904</v>
      </c>
      <c r="C1722" s="278" t="s">
        <v>10672</v>
      </c>
      <c r="D1722" s="279" t="s">
        <v>10673</v>
      </c>
      <c r="E1722" s="306" t="s">
        <v>10969</v>
      </c>
      <c r="F1722" s="278" t="s">
        <v>4109</v>
      </c>
      <c r="G1722" s="278" t="s">
        <v>4108</v>
      </c>
      <c r="H1722" s="306" t="s">
        <v>11309</v>
      </c>
      <c r="I1722" s="269" t="s">
        <v>11310</v>
      </c>
      <c r="J1722" s="306" t="s">
        <v>10969</v>
      </c>
    </row>
    <row r="1723" spans="1:10" ht="14.5" customHeight="1" x14ac:dyDescent="0.25">
      <c r="A1723" s="278" t="s">
        <v>3705</v>
      </c>
      <c r="B1723" s="278" t="s">
        <v>10904</v>
      </c>
      <c r="C1723" s="278" t="s">
        <v>10672</v>
      </c>
      <c r="D1723" s="279" t="s">
        <v>10673</v>
      </c>
      <c r="E1723" s="306" t="s">
        <v>10969</v>
      </c>
      <c r="F1723" s="278" t="s">
        <v>4109</v>
      </c>
      <c r="G1723" s="278" t="s">
        <v>4108</v>
      </c>
      <c r="H1723" s="306" t="s">
        <v>11315</v>
      </c>
      <c r="I1723" s="269" t="s">
        <v>11316</v>
      </c>
      <c r="J1723" s="306" t="s">
        <v>10969</v>
      </c>
    </row>
    <row r="1724" spans="1:10" ht="14.5" customHeight="1" x14ac:dyDescent="0.25">
      <c r="A1724" s="278" t="s">
        <v>3705</v>
      </c>
      <c r="B1724" s="278" t="s">
        <v>10904</v>
      </c>
      <c r="C1724" s="278" t="s">
        <v>10672</v>
      </c>
      <c r="D1724" s="279" t="s">
        <v>10673</v>
      </c>
      <c r="E1724" s="306" t="s">
        <v>10969</v>
      </c>
      <c r="F1724" s="278" t="s">
        <v>4109</v>
      </c>
      <c r="G1724" s="278" t="s">
        <v>4108</v>
      </c>
      <c r="H1724" s="306" t="s">
        <v>11317</v>
      </c>
      <c r="I1724" s="269" t="s">
        <v>11318</v>
      </c>
      <c r="J1724" s="306" t="s">
        <v>10969</v>
      </c>
    </row>
    <row r="1725" spans="1:10" ht="14.5" customHeight="1" x14ac:dyDescent="0.25">
      <c r="A1725" s="278" t="s">
        <v>3705</v>
      </c>
      <c r="B1725" s="278" t="s">
        <v>10904</v>
      </c>
      <c r="C1725" s="278" t="s">
        <v>10672</v>
      </c>
      <c r="D1725" s="279" t="s">
        <v>10673</v>
      </c>
      <c r="E1725" s="306" t="s">
        <v>10969</v>
      </c>
      <c r="F1725" s="278" t="s">
        <v>4109</v>
      </c>
      <c r="G1725" s="278" t="s">
        <v>4108</v>
      </c>
      <c r="H1725" s="306" t="s">
        <v>11319</v>
      </c>
      <c r="I1725" s="269" t="s">
        <v>11320</v>
      </c>
      <c r="J1725" s="306" t="s">
        <v>10969</v>
      </c>
    </row>
    <row r="1726" spans="1:10" ht="14.5" customHeight="1" x14ac:dyDescent="0.25">
      <c r="A1726" s="278" t="s">
        <v>3705</v>
      </c>
      <c r="B1726" s="278" t="s">
        <v>10904</v>
      </c>
      <c r="C1726" s="278" t="s">
        <v>10672</v>
      </c>
      <c r="D1726" s="279" t="s">
        <v>10673</v>
      </c>
      <c r="E1726" s="306" t="s">
        <v>10969</v>
      </c>
      <c r="F1726" s="278" t="s">
        <v>4109</v>
      </c>
      <c r="G1726" s="278" t="s">
        <v>4108</v>
      </c>
      <c r="H1726" s="306" t="s">
        <v>11321</v>
      </c>
      <c r="I1726" s="269" t="s">
        <v>11322</v>
      </c>
      <c r="J1726" s="306" t="s">
        <v>10969</v>
      </c>
    </row>
    <row r="1727" spans="1:10" ht="14.5" customHeight="1" x14ac:dyDescent="0.25">
      <c r="A1727" s="278" t="s">
        <v>3705</v>
      </c>
      <c r="B1727" s="278" t="s">
        <v>10904</v>
      </c>
      <c r="C1727" s="278" t="s">
        <v>10674</v>
      </c>
      <c r="D1727" s="279" t="s">
        <v>10675</v>
      </c>
      <c r="E1727" s="306" t="s">
        <v>10969</v>
      </c>
      <c r="F1727" s="278" t="s">
        <v>4109</v>
      </c>
      <c r="G1727" s="278" t="s">
        <v>4108</v>
      </c>
      <c r="H1727" s="306" t="s">
        <v>11301</v>
      </c>
      <c r="I1727" s="269" t="s">
        <v>11302</v>
      </c>
      <c r="J1727" s="306" t="s">
        <v>10969</v>
      </c>
    </row>
    <row r="1728" spans="1:10" ht="14.5" customHeight="1" x14ac:dyDescent="0.25">
      <c r="A1728" s="278" t="s">
        <v>3705</v>
      </c>
      <c r="B1728" s="278" t="s">
        <v>10904</v>
      </c>
      <c r="C1728" s="278" t="s">
        <v>10674</v>
      </c>
      <c r="D1728" s="279" t="s">
        <v>10675</v>
      </c>
      <c r="E1728" s="306" t="s">
        <v>10969</v>
      </c>
      <c r="F1728" s="278" t="s">
        <v>4109</v>
      </c>
      <c r="G1728" s="278" t="s">
        <v>4108</v>
      </c>
      <c r="H1728" s="306" t="s">
        <v>11309</v>
      </c>
      <c r="I1728" s="269" t="s">
        <v>11310</v>
      </c>
      <c r="J1728" s="306" t="s">
        <v>10969</v>
      </c>
    </row>
    <row r="1729" spans="1:10" ht="14.5" customHeight="1" x14ac:dyDescent="0.25">
      <c r="A1729" s="278" t="s">
        <v>3705</v>
      </c>
      <c r="B1729" s="278" t="s">
        <v>10904</v>
      </c>
      <c r="C1729" s="278" t="s">
        <v>10674</v>
      </c>
      <c r="D1729" s="279" t="s">
        <v>10675</v>
      </c>
      <c r="E1729" s="306" t="s">
        <v>10969</v>
      </c>
      <c r="F1729" s="278" t="s">
        <v>4109</v>
      </c>
      <c r="G1729" s="278" t="s">
        <v>4108</v>
      </c>
      <c r="H1729" s="306" t="s">
        <v>11315</v>
      </c>
      <c r="I1729" s="269" t="s">
        <v>11316</v>
      </c>
      <c r="J1729" s="306" t="s">
        <v>10969</v>
      </c>
    </row>
    <row r="1730" spans="1:10" ht="14.5" customHeight="1" x14ac:dyDescent="0.25">
      <c r="A1730" s="278" t="s">
        <v>3705</v>
      </c>
      <c r="B1730" s="278" t="s">
        <v>10904</v>
      </c>
      <c r="C1730" s="278" t="s">
        <v>10674</v>
      </c>
      <c r="D1730" s="279" t="s">
        <v>10675</v>
      </c>
      <c r="E1730" s="306" t="s">
        <v>10969</v>
      </c>
      <c r="F1730" s="278" t="s">
        <v>4109</v>
      </c>
      <c r="G1730" s="278" t="s">
        <v>4108</v>
      </c>
      <c r="H1730" s="306" t="s">
        <v>11317</v>
      </c>
      <c r="I1730" s="269" t="s">
        <v>11318</v>
      </c>
      <c r="J1730" s="306" t="s">
        <v>10969</v>
      </c>
    </row>
    <row r="1731" spans="1:10" ht="14.5" customHeight="1" x14ac:dyDescent="0.25">
      <c r="A1731" s="278" t="s">
        <v>3705</v>
      </c>
      <c r="B1731" s="278" t="s">
        <v>10904</v>
      </c>
      <c r="C1731" s="278" t="s">
        <v>10674</v>
      </c>
      <c r="D1731" s="279" t="s">
        <v>10675</v>
      </c>
      <c r="E1731" s="306" t="s">
        <v>10969</v>
      </c>
      <c r="F1731" s="278" t="s">
        <v>4109</v>
      </c>
      <c r="G1731" s="278" t="s">
        <v>4108</v>
      </c>
      <c r="H1731" s="306" t="s">
        <v>11319</v>
      </c>
      <c r="I1731" s="269" t="s">
        <v>11320</v>
      </c>
      <c r="J1731" s="306" t="s">
        <v>10969</v>
      </c>
    </row>
    <row r="1732" spans="1:10" ht="14.5" customHeight="1" x14ac:dyDescent="0.25">
      <c r="A1732" s="278" t="s">
        <v>3705</v>
      </c>
      <c r="B1732" s="278" t="s">
        <v>10904</v>
      </c>
      <c r="C1732" s="278" t="s">
        <v>10674</v>
      </c>
      <c r="D1732" s="279" t="s">
        <v>10675</v>
      </c>
      <c r="E1732" s="306" t="s">
        <v>10969</v>
      </c>
      <c r="F1732" s="278" t="s">
        <v>4109</v>
      </c>
      <c r="G1732" s="278" t="s">
        <v>4108</v>
      </c>
      <c r="H1732" s="306" t="s">
        <v>11321</v>
      </c>
      <c r="I1732" s="269" t="s">
        <v>11322</v>
      </c>
      <c r="J1732" s="306" t="s">
        <v>10969</v>
      </c>
    </row>
    <row r="1733" spans="1:10" ht="14.5" customHeight="1" x14ac:dyDescent="0.25">
      <c r="A1733" s="278" t="s">
        <v>3705</v>
      </c>
      <c r="B1733" s="278" t="s">
        <v>10904</v>
      </c>
      <c r="C1733" s="278" t="s">
        <v>10676</v>
      </c>
      <c r="D1733" s="279" t="s">
        <v>10677</v>
      </c>
      <c r="E1733" s="306" t="s">
        <v>10969</v>
      </c>
      <c r="F1733" s="278" t="s">
        <v>4109</v>
      </c>
      <c r="G1733" s="278" t="s">
        <v>4108</v>
      </c>
      <c r="H1733" s="306" t="s">
        <v>11219</v>
      </c>
      <c r="I1733" s="269" t="s">
        <v>11220</v>
      </c>
      <c r="J1733" s="306" t="s">
        <v>10969</v>
      </c>
    </row>
    <row r="1734" spans="1:10" ht="14.5" customHeight="1" x14ac:dyDescent="0.25">
      <c r="A1734" s="278" t="s">
        <v>3705</v>
      </c>
      <c r="B1734" s="278" t="s">
        <v>10904</v>
      </c>
      <c r="C1734" s="278" t="s">
        <v>10676</v>
      </c>
      <c r="D1734" s="279" t="s">
        <v>10677</v>
      </c>
      <c r="E1734" s="306" t="s">
        <v>10969</v>
      </c>
      <c r="F1734" s="278" t="s">
        <v>4109</v>
      </c>
      <c r="G1734" s="278" t="s">
        <v>4108</v>
      </c>
      <c r="H1734" s="306" t="s">
        <v>11313</v>
      </c>
      <c r="I1734" s="269" t="s">
        <v>11314</v>
      </c>
      <c r="J1734" s="306" t="s">
        <v>10969</v>
      </c>
    </row>
    <row r="1735" spans="1:10" ht="14.5" customHeight="1" x14ac:dyDescent="0.25">
      <c r="A1735" s="278" t="s">
        <v>3705</v>
      </c>
      <c r="B1735" s="278" t="s">
        <v>10904</v>
      </c>
      <c r="C1735" s="278" t="s">
        <v>10676</v>
      </c>
      <c r="D1735" s="279" t="s">
        <v>10677</v>
      </c>
      <c r="E1735" s="306" t="s">
        <v>10969</v>
      </c>
      <c r="F1735" s="278" t="s">
        <v>4109</v>
      </c>
      <c r="G1735" s="278" t="s">
        <v>4108</v>
      </c>
      <c r="H1735" s="306" t="s">
        <v>11315</v>
      </c>
      <c r="I1735" s="269" t="s">
        <v>11316</v>
      </c>
      <c r="J1735" s="306" t="s">
        <v>10969</v>
      </c>
    </row>
    <row r="1736" spans="1:10" ht="14.5" customHeight="1" x14ac:dyDescent="0.25">
      <c r="A1736" s="278" t="s">
        <v>3705</v>
      </c>
      <c r="B1736" s="278" t="s">
        <v>10904</v>
      </c>
      <c r="C1736" s="278" t="s">
        <v>10676</v>
      </c>
      <c r="D1736" s="279" t="s">
        <v>10677</v>
      </c>
      <c r="E1736" s="306" t="s">
        <v>10969</v>
      </c>
      <c r="F1736" s="278" t="s">
        <v>4109</v>
      </c>
      <c r="G1736" s="278" t="s">
        <v>4108</v>
      </c>
      <c r="H1736" s="306" t="s">
        <v>11317</v>
      </c>
      <c r="I1736" s="269" t="s">
        <v>11318</v>
      </c>
      <c r="J1736" s="306" t="s">
        <v>10969</v>
      </c>
    </row>
    <row r="1737" spans="1:10" ht="14.5" customHeight="1" x14ac:dyDescent="0.25">
      <c r="A1737" s="278" t="s">
        <v>3705</v>
      </c>
      <c r="B1737" s="278" t="s">
        <v>10904</v>
      </c>
      <c r="C1737" s="278" t="s">
        <v>10676</v>
      </c>
      <c r="D1737" s="279" t="s">
        <v>10677</v>
      </c>
      <c r="E1737" s="306" t="s">
        <v>10969</v>
      </c>
      <c r="F1737" s="278" t="s">
        <v>4109</v>
      </c>
      <c r="G1737" s="278" t="s">
        <v>4108</v>
      </c>
      <c r="H1737" s="306" t="s">
        <v>11319</v>
      </c>
      <c r="I1737" s="269" t="s">
        <v>11320</v>
      </c>
      <c r="J1737" s="306" t="s">
        <v>10969</v>
      </c>
    </row>
    <row r="1738" spans="1:10" ht="14.5" customHeight="1" x14ac:dyDescent="0.25">
      <c r="A1738" s="278" t="s">
        <v>3705</v>
      </c>
      <c r="B1738" s="278" t="s">
        <v>10904</v>
      </c>
      <c r="C1738" s="278" t="s">
        <v>10676</v>
      </c>
      <c r="D1738" s="279" t="s">
        <v>10677</v>
      </c>
      <c r="E1738" s="306" t="s">
        <v>10969</v>
      </c>
      <c r="F1738" s="278" t="s">
        <v>4109</v>
      </c>
      <c r="G1738" s="278" t="s">
        <v>4108</v>
      </c>
      <c r="H1738" s="306" t="s">
        <v>11221</v>
      </c>
      <c r="I1738" s="269" t="s">
        <v>11222</v>
      </c>
      <c r="J1738" s="306" t="s">
        <v>10969</v>
      </c>
    </row>
    <row r="1739" spans="1:10" ht="14.5" customHeight="1" x14ac:dyDescent="0.25">
      <c r="A1739" s="278" t="s">
        <v>3705</v>
      </c>
      <c r="B1739" s="278" t="s">
        <v>10904</v>
      </c>
      <c r="C1739" s="278" t="s">
        <v>10676</v>
      </c>
      <c r="D1739" s="279" t="s">
        <v>10677</v>
      </c>
      <c r="E1739" s="306" t="s">
        <v>10969</v>
      </c>
      <c r="F1739" s="278" t="s">
        <v>4109</v>
      </c>
      <c r="G1739" s="278" t="s">
        <v>4108</v>
      </c>
      <c r="H1739" s="306" t="s">
        <v>11321</v>
      </c>
      <c r="I1739" s="269" t="s">
        <v>11322</v>
      </c>
      <c r="J1739" s="306" t="s">
        <v>10969</v>
      </c>
    </row>
    <row r="1740" spans="1:10" ht="14.5" customHeight="1" x14ac:dyDescent="0.25">
      <c r="A1740" s="278" t="s">
        <v>3705</v>
      </c>
      <c r="B1740" s="278" t="s">
        <v>10904</v>
      </c>
      <c r="C1740" s="278" t="s">
        <v>10678</v>
      </c>
      <c r="D1740" s="279" t="s">
        <v>10679</v>
      </c>
      <c r="E1740" s="306" t="s">
        <v>10969</v>
      </c>
      <c r="F1740" s="278" t="s">
        <v>4109</v>
      </c>
      <c r="G1740" s="278" t="s">
        <v>4108</v>
      </c>
      <c r="H1740" s="306" t="s">
        <v>11281</v>
      </c>
      <c r="I1740" s="269" t="s">
        <v>11282</v>
      </c>
      <c r="J1740" s="306" t="s">
        <v>10969</v>
      </c>
    </row>
    <row r="1741" spans="1:10" ht="14.5" customHeight="1" x14ac:dyDescent="0.25">
      <c r="A1741" s="278" t="s">
        <v>3705</v>
      </c>
      <c r="B1741" s="278" t="s">
        <v>10904</v>
      </c>
      <c r="C1741" s="278" t="s">
        <v>10680</v>
      </c>
      <c r="D1741" s="279" t="s">
        <v>10681</v>
      </c>
      <c r="E1741" s="306" t="s">
        <v>10969</v>
      </c>
      <c r="F1741" s="278" t="s">
        <v>4109</v>
      </c>
      <c r="G1741" s="278" t="s">
        <v>4108</v>
      </c>
      <c r="H1741" s="306" t="s">
        <v>11281</v>
      </c>
      <c r="I1741" s="269" t="s">
        <v>11282</v>
      </c>
      <c r="J1741" s="306" t="s">
        <v>10969</v>
      </c>
    </row>
    <row r="1742" spans="1:10" ht="14.5" customHeight="1" x14ac:dyDescent="0.25">
      <c r="A1742" s="278" t="s">
        <v>3705</v>
      </c>
      <c r="B1742" s="278" t="s">
        <v>10904</v>
      </c>
      <c r="C1742" s="278" t="s">
        <v>10682</v>
      </c>
      <c r="D1742" s="279" t="s">
        <v>10683</v>
      </c>
      <c r="E1742" s="306" t="s">
        <v>10969</v>
      </c>
      <c r="F1742" s="278" t="s">
        <v>4109</v>
      </c>
      <c r="G1742" s="278" t="s">
        <v>4108</v>
      </c>
      <c r="H1742" s="306" t="s">
        <v>11281</v>
      </c>
      <c r="I1742" s="269" t="s">
        <v>11282</v>
      </c>
      <c r="J1742" s="306" t="s">
        <v>10969</v>
      </c>
    </row>
    <row r="1743" spans="1:10" ht="14.5" customHeight="1" x14ac:dyDescent="0.25">
      <c r="A1743" s="278" t="s">
        <v>3705</v>
      </c>
      <c r="B1743" s="278" t="s">
        <v>10904</v>
      </c>
      <c r="C1743" s="278" t="s">
        <v>10684</v>
      </c>
      <c r="D1743" s="279" t="s">
        <v>10685</v>
      </c>
      <c r="E1743" s="306" t="s">
        <v>10969</v>
      </c>
      <c r="F1743" s="278" t="s">
        <v>4109</v>
      </c>
      <c r="G1743" s="278" t="s">
        <v>4108</v>
      </c>
      <c r="H1743" s="306" t="s">
        <v>11335</v>
      </c>
      <c r="I1743" s="269" t="s">
        <v>11336</v>
      </c>
      <c r="J1743" s="306" t="s">
        <v>10969</v>
      </c>
    </row>
    <row r="1744" spans="1:10" ht="14.5" customHeight="1" x14ac:dyDescent="0.25">
      <c r="A1744" s="278" t="s">
        <v>3705</v>
      </c>
      <c r="B1744" s="278" t="s">
        <v>10904</v>
      </c>
      <c r="C1744" s="278" t="s">
        <v>10687</v>
      </c>
      <c r="D1744" s="279" t="s">
        <v>10688</v>
      </c>
      <c r="E1744" s="306" t="s">
        <v>10969</v>
      </c>
      <c r="F1744" s="278" t="s">
        <v>4109</v>
      </c>
      <c r="G1744" s="278" t="s">
        <v>4108</v>
      </c>
      <c r="H1744" s="306" t="s">
        <v>11335</v>
      </c>
      <c r="I1744" s="269" t="s">
        <v>11336</v>
      </c>
      <c r="J1744" s="306" t="s">
        <v>10969</v>
      </c>
    </row>
    <row r="1745" spans="1:10" ht="14.5" customHeight="1" x14ac:dyDescent="0.25">
      <c r="A1745" s="278" t="s">
        <v>3705</v>
      </c>
      <c r="B1745" s="278" t="s">
        <v>10904</v>
      </c>
      <c r="C1745" s="278" t="s">
        <v>10689</v>
      </c>
      <c r="D1745" s="279" t="s">
        <v>10690</v>
      </c>
      <c r="E1745" s="306" t="s">
        <v>10969</v>
      </c>
      <c r="F1745" s="278" t="s">
        <v>4109</v>
      </c>
      <c r="G1745" s="278" t="s">
        <v>4109</v>
      </c>
      <c r="H1745" s="306" t="s">
        <v>11335</v>
      </c>
      <c r="I1745" s="269" t="s">
        <v>11336</v>
      </c>
      <c r="J1745" s="306" t="s">
        <v>10969</v>
      </c>
    </row>
    <row r="1746" spans="1:10" ht="14.5" customHeight="1" x14ac:dyDescent="0.25">
      <c r="A1746" s="278" t="s">
        <v>3705</v>
      </c>
      <c r="B1746" s="278" t="s">
        <v>10904</v>
      </c>
      <c r="C1746" s="278" t="s">
        <v>10691</v>
      </c>
      <c r="D1746" s="279" t="s">
        <v>10692</v>
      </c>
      <c r="E1746" s="306" t="s">
        <v>10969</v>
      </c>
      <c r="F1746" s="278" t="s">
        <v>4109</v>
      </c>
      <c r="G1746" s="278" t="s">
        <v>4108</v>
      </c>
      <c r="H1746" s="306" t="s">
        <v>11219</v>
      </c>
      <c r="I1746" s="269" t="s">
        <v>11220</v>
      </c>
      <c r="J1746" s="306" t="s">
        <v>10969</v>
      </c>
    </row>
    <row r="1747" spans="1:10" ht="14.5" customHeight="1" x14ac:dyDescent="0.25">
      <c r="A1747" s="278" t="s">
        <v>3705</v>
      </c>
      <c r="B1747" s="278" t="s">
        <v>10904</v>
      </c>
      <c r="C1747" s="278" t="s">
        <v>10691</v>
      </c>
      <c r="D1747" s="279" t="s">
        <v>10692</v>
      </c>
      <c r="E1747" s="306" t="s">
        <v>10969</v>
      </c>
      <c r="F1747" s="278" t="s">
        <v>4109</v>
      </c>
      <c r="G1747" s="278" t="s">
        <v>4108</v>
      </c>
      <c r="H1747" s="306" t="s">
        <v>11335</v>
      </c>
      <c r="I1747" s="269" t="s">
        <v>11336</v>
      </c>
      <c r="J1747" s="306" t="s">
        <v>10969</v>
      </c>
    </row>
    <row r="1748" spans="1:10" ht="14.5" customHeight="1" x14ac:dyDescent="0.25">
      <c r="A1748" s="278" t="s">
        <v>3705</v>
      </c>
      <c r="B1748" s="278" t="s">
        <v>10904</v>
      </c>
      <c r="C1748" s="278" t="s">
        <v>10691</v>
      </c>
      <c r="D1748" s="279" t="s">
        <v>10692</v>
      </c>
      <c r="E1748" s="306" t="s">
        <v>10969</v>
      </c>
      <c r="F1748" s="278" t="s">
        <v>4109</v>
      </c>
      <c r="G1748" s="278" t="s">
        <v>4108</v>
      </c>
      <c r="H1748" s="306" t="s">
        <v>11221</v>
      </c>
      <c r="I1748" s="269" t="s">
        <v>11222</v>
      </c>
      <c r="J1748" s="306" t="s">
        <v>10969</v>
      </c>
    </row>
    <row r="1749" spans="1:10" ht="14.5" customHeight="1" x14ac:dyDescent="0.25">
      <c r="A1749" s="278" t="s">
        <v>3705</v>
      </c>
      <c r="B1749" s="278" t="s">
        <v>10904</v>
      </c>
      <c r="C1749" s="278" t="s">
        <v>10693</v>
      </c>
      <c r="D1749" s="279" t="s">
        <v>10694</v>
      </c>
      <c r="E1749" s="306" t="s">
        <v>10969</v>
      </c>
      <c r="F1749" s="278" t="s">
        <v>4109</v>
      </c>
      <c r="G1749" s="278" t="s">
        <v>4108</v>
      </c>
      <c r="H1749" s="306" t="s">
        <v>11281</v>
      </c>
      <c r="I1749" s="269" t="s">
        <v>11282</v>
      </c>
      <c r="J1749" s="306" t="s">
        <v>10969</v>
      </c>
    </row>
    <row r="1750" spans="1:10" ht="14.5" customHeight="1" x14ac:dyDescent="0.25">
      <c r="A1750" s="278" t="s">
        <v>3705</v>
      </c>
      <c r="B1750" s="278" t="s">
        <v>10904</v>
      </c>
      <c r="C1750" s="278" t="s">
        <v>10695</v>
      </c>
      <c r="D1750" s="279" t="s">
        <v>10696</v>
      </c>
      <c r="E1750" s="306" t="s">
        <v>10969</v>
      </c>
      <c r="F1750" s="278" t="s">
        <v>4109</v>
      </c>
      <c r="G1750" s="278" t="s">
        <v>4109</v>
      </c>
      <c r="H1750" s="306" t="s">
        <v>11281</v>
      </c>
      <c r="I1750" s="269" t="s">
        <v>11282</v>
      </c>
      <c r="J1750" s="306" t="s">
        <v>10969</v>
      </c>
    </row>
    <row r="1751" spans="1:10" ht="14.5" customHeight="1" x14ac:dyDescent="0.25">
      <c r="A1751" s="278" t="s">
        <v>3705</v>
      </c>
      <c r="B1751" s="278" t="s">
        <v>10904</v>
      </c>
      <c r="C1751" s="278" t="s">
        <v>10697</v>
      </c>
      <c r="D1751" s="279" t="s">
        <v>10698</v>
      </c>
      <c r="E1751" s="306" t="s">
        <v>10969</v>
      </c>
      <c r="F1751" s="278" t="s">
        <v>4109</v>
      </c>
      <c r="G1751" s="278" t="s">
        <v>4108</v>
      </c>
      <c r="H1751" s="306" t="s">
        <v>11337</v>
      </c>
      <c r="I1751" s="269" t="s">
        <v>11338</v>
      </c>
      <c r="J1751" s="306" t="s">
        <v>10969</v>
      </c>
    </row>
    <row r="1752" spans="1:10" ht="14.5" customHeight="1" x14ac:dyDescent="0.25">
      <c r="A1752" s="278" t="s">
        <v>3705</v>
      </c>
      <c r="B1752" s="278" t="s">
        <v>10904</v>
      </c>
      <c r="C1752" s="278" t="s">
        <v>10697</v>
      </c>
      <c r="D1752" s="279" t="s">
        <v>10698</v>
      </c>
      <c r="E1752" s="306" t="s">
        <v>10969</v>
      </c>
      <c r="F1752" s="278" t="s">
        <v>4109</v>
      </c>
      <c r="G1752" s="278" t="s">
        <v>4108</v>
      </c>
      <c r="H1752" s="306" t="s">
        <v>11339</v>
      </c>
      <c r="I1752" s="269" t="s">
        <v>11340</v>
      </c>
      <c r="J1752" s="306" t="s">
        <v>10969</v>
      </c>
    </row>
    <row r="1753" spans="1:10" ht="14.5" customHeight="1" x14ac:dyDescent="0.25">
      <c r="A1753" s="278" t="s">
        <v>3705</v>
      </c>
      <c r="B1753" s="278" t="s">
        <v>10904</v>
      </c>
      <c r="C1753" s="278" t="s">
        <v>10697</v>
      </c>
      <c r="D1753" s="279" t="s">
        <v>10698</v>
      </c>
      <c r="E1753" s="306" t="s">
        <v>10969</v>
      </c>
      <c r="F1753" s="278" t="s">
        <v>4109</v>
      </c>
      <c r="G1753" s="278" t="s">
        <v>4108</v>
      </c>
      <c r="H1753" s="306" t="s">
        <v>11281</v>
      </c>
      <c r="I1753" s="269" t="s">
        <v>11282</v>
      </c>
      <c r="J1753" s="306" t="s">
        <v>10969</v>
      </c>
    </row>
    <row r="1754" spans="1:10" ht="14.5" customHeight="1" x14ac:dyDescent="0.25">
      <c r="A1754" s="278" t="s">
        <v>3705</v>
      </c>
      <c r="B1754" s="278" t="s">
        <v>10904</v>
      </c>
      <c r="C1754" s="278" t="s">
        <v>10699</v>
      </c>
      <c r="D1754" s="279" t="s">
        <v>10700</v>
      </c>
      <c r="E1754" s="306" t="s">
        <v>10969</v>
      </c>
      <c r="F1754" s="278" t="s">
        <v>4109</v>
      </c>
      <c r="G1754" s="278" t="s">
        <v>4109</v>
      </c>
      <c r="H1754" s="306" t="s">
        <v>11337</v>
      </c>
      <c r="I1754" s="269" t="s">
        <v>11338</v>
      </c>
      <c r="J1754" s="306" t="s">
        <v>10969</v>
      </c>
    </row>
    <row r="1755" spans="1:10" ht="14.5" customHeight="1" x14ac:dyDescent="0.25">
      <c r="A1755" s="278" t="s">
        <v>3705</v>
      </c>
      <c r="B1755" s="278" t="s">
        <v>10904</v>
      </c>
      <c r="C1755" s="278" t="s">
        <v>10699</v>
      </c>
      <c r="D1755" s="279" t="s">
        <v>10700</v>
      </c>
      <c r="E1755" s="306" t="s">
        <v>10969</v>
      </c>
      <c r="F1755" s="278" t="s">
        <v>4109</v>
      </c>
      <c r="G1755" s="278" t="s">
        <v>4109</v>
      </c>
      <c r="H1755" s="306" t="s">
        <v>11339</v>
      </c>
      <c r="I1755" s="269" t="s">
        <v>11340</v>
      </c>
      <c r="J1755" s="306" t="s">
        <v>10969</v>
      </c>
    </row>
    <row r="1756" spans="1:10" ht="14.5" customHeight="1" x14ac:dyDescent="0.25">
      <c r="A1756" s="278" t="s">
        <v>3705</v>
      </c>
      <c r="B1756" s="278" t="s">
        <v>10904</v>
      </c>
      <c r="C1756" s="278" t="s">
        <v>10699</v>
      </c>
      <c r="D1756" s="279" t="s">
        <v>10700</v>
      </c>
      <c r="E1756" s="306" t="s">
        <v>10969</v>
      </c>
      <c r="F1756" s="278" t="s">
        <v>4109</v>
      </c>
      <c r="G1756" s="278" t="s">
        <v>4109</v>
      </c>
      <c r="H1756" s="306" t="s">
        <v>11281</v>
      </c>
      <c r="I1756" s="269" t="s">
        <v>11282</v>
      </c>
      <c r="J1756" s="306" t="s">
        <v>10969</v>
      </c>
    </row>
    <row r="1757" spans="1:10" ht="14.5" customHeight="1" x14ac:dyDescent="0.25">
      <c r="A1757" s="282" t="s">
        <v>3705</v>
      </c>
      <c r="B1757" s="278" t="s">
        <v>10904</v>
      </c>
      <c r="C1757" s="282" t="s">
        <v>10701</v>
      </c>
      <c r="D1757" s="283" t="s">
        <v>10702</v>
      </c>
      <c r="E1757" s="306" t="s">
        <v>10969</v>
      </c>
      <c r="F1757" s="278" t="s">
        <v>4109</v>
      </c>
      <c r="G1757" s="278" t="s">
        <v>4108</v>
      </c>
      <c r="H1757" s="306" t="s">
        <v>11337</v>
      </c>
      <c r="I1757" s="269" t="s">
        <v>11338</v>
      </c>
      <c r="J1757" s="306" t="s">
        <v>10969</v>
      </c>
    </row>
    <row r="1758" spans="1:10" ht="14.5" customHeight="1" x14ac:dyDescent="0.25">
      <c r="A1758" s="282" t="s">
        <v>3705</v>
      </c>
      <c r="B1758" s="278" t="s">
        <v>10904</v>
      </c>
      <c r="C1758" s="282" t="s">
        <v>10701</v>
      </c>
      <c r="D1758" s="283" t="s">
        <v>10702</v>
      </c>
      <c r="E1758" s="306" t="s">
        <v>10969</v>
      </c>
      <c r="F1758" s="278" t="s">
        <v>4109</v>
      </c>
      <c r="G1758" s="278" t="s">
        <v>4108</v>
      </c>
      <c r="H1758" s="306" t="s">
        <v>11339</v>
      </c>
      <c r="I1758" s="269" t="s">
        <v>11340</v>
      </c>
      <c r="J1758" s="306" t="s">
        <v>10969</v>
      </c>
    </row>
    <row r="1759" spans="1:10" ht="14.5" customHeight="1" x14ac:dyDescent="0.25">
      <c r="A1759" s="282" t="s">
        <v>3705</v>
      </c>
      <c r="B1759" s="278" t="s">
        <v>10904</v>
      </c>
      <c r="C1759" s="282" t="s">
        <v>10701</v>
      </c>
      <c r="D1759" s="283" t="s">
        <v>10702</v>
      </c>
      <c r="E1759" s="306" t="s">
        <v>10969</v>
      </c>
      <c r="F1759" s="278" t="s">
        <v>4109</v>
      </c>
      <c r="G1759" s="278" t="s">
        <v>4108</v>
      </c>
      <c r="H1759" s="306" t="s">
        <v>11281</v>
      </c>
      <c r="I1759" s="269" t="s">
        <v>11282</v>
      </c>
      <c r="J1759" s="306" t="s">
        <v>10969</v>
      </c>
    </row>
    <row r="1760" spans="1:10" ht="14.5" customHeight="1" x14ac:dyDescent="0.25">
      <c r="A1760" s="278" t="s">
        <v>3705</v>
      </c>
      <c r="B1760" s="278" t="s">
        <v>10904</v>
      </c>
      <c r="C1760" s="278" t="s">
        <v>10703</v>
      </c>
      <c r="D1760" s="279" t="s">
        <v>10704</v>
      </c>
      <c r="E1760" s="306" t="s">
        <v>10969</v>
      </c>
      <c r="F1760" s="278" t="s">
        <v>4109</v>
      </c>
      <c r="G1760" s="278" t="s">
        <v>4108</v>
      </c>
      <c r="H1760" s="306" t="s">
        <v>11219</v>
      </c>
      <c r="I1760" s="269" t="s">
        <v>11220</v>
      </c>
      <c r="J1760" s="306" t="s">
        <v>10969</v>
      </c>
    </row>
    <row r="1761" spans="1:10" ht="14.5" customHeight="1" x14ac:dyDescent="0.25">
      <c r="A1761" s="278" t="s">
        <v>3705</v>
      </c>
      <c r="B1761" s="278" t="s">
        <v>10904</v>
      </c>
      <c r="C1761" s="278" t="s">
        <v>10703</v>
      </c>
      <c r="D1761" s="279" t="s">
        <v>10704</v>
      </c>
      <c r="E1761" s="306" t="s">
        <v>10969</v>
      </c>
      <c r="F1761" s="278" t="s">
        <v>4109</v>
      </c>
      <c r="G1761" s="278" t="s">
        <v>4108</v>
      </c>
      <c r="H1761" s="306" t="s">
        <v>11337</v>
      </c>
      <c r="I1761" s="269" t="s">
        <v>11338</v>
      </c>
      <c r="J1761" s="306" t="s">
        <v>10969</v>
      </c>
    </row>
    <row r="1762" spans="1:10" ht="14.5" customHeight="1" x14ac:dyDescent="0.25">
      <c r="A1762" s="278" t="s">
        <v>3705</v>
      </c>
      <c r="B1762" s="278" t="s">
        <v>10904</v>
      </c>
      <c r="C1762" s="278" t="s">
        <v>10703</v>
      </c>
      <c r="D1762" s="279" t="s">
        <v>10704</v>
      </c>
      <c r="E1762" s="306" t="s">
        <v>10969</v>
      </c>
      <c r="F1762" s="278" t="s">
        <v>4109</v>
      </c>
      <c r="G1762" s="278" t="s">
        <v>4108</v>
      </c>
      <c r="H1762" s="306" t="s">
        <v>11339</v>
      </c>
      <c r="I1762" s="269" t="s">
        <v>11340</v>
      </c>
      <c r="J1762" s="306" t="s">
        <v>10969</v>
      </c>
    </row>
    <row r="1763" spans="1:10" ht="14.5" customHeight="1" x14ac:dyDescent="0.25">
      <c r="A1763" s="278" t="s">
        <v>3705</v>
      </c>
      <c r="B1763" s="278" t="s">
        <v>10904</v>
      </c>
      <c r="C1763" s="278" t="s">
        <v>10703</v>
      </c>
      <c r="D1763" s="279" t="s">
        <v>10704</v>
      </c>
      <c r="E1763" s="306" t="s">
        <v>10969</v>
      </c>
      <c r="F1763" s="278" t="s">
        <v>4109</v>
      </c>
      <c r="G1763" s="278" t="s">
        <v>4108</v>
      </c>
      <c r="H1763" s="306" t="s">
        <v>11221</v>
      </c>
      <c r="I1763" s="269" t="s">
        <v>11222</v>
      </c>
      <c r="J1763" s="306" t="s">
        <v>10969</v>
      </c>
    </row>
    <row r="1764" spans="1:10" ht="14.5" customHeight="1" x14ac:dyDescent="0.25">
      <c r="A1764" s="278" t="s">
        <v>3705</v>
      </c>
      <c r="B1764" s="278" t="s">
        <v>10904</v>
      </c>
      <c r="C1764" s="278" t="s">
        <v>10703</v>
      </c>
      <c r="D1764" s="279" t="s">
        <v>10704</v>
      </c>
      <c r="E1764" s="306" t="s">
        <v>10969</v>
      </c>
      <c r="F1764" s="278" t="s">
        <v>4109</v>
      </c>
      <c r="G1764" s="278" t="s">
        <v>4108</v>
      </c>
      <c r="H1764" s="306" t="s">
        <v>11281</v>
      </c>
      <c r="I1764" s="269" t="s">
        <v>11282</v>
      </c>
      <c r="J1764" s="306" t="s">
        <v>10969</v>
      </c>
    </row>
    <row r="1765" spans="1:10" ht="14.5" customHeight="1" x14ac:dyDescent="0.25">
      <c r="A1765" s="278" t="s">
        <v>3705</v>
      </c>
      <c r="B1765" s="278" t="s">
        <v>10904</v>
      </c>
      <c r="C1765" s="278" t="s">
        <v>10705</v>
      </c>
      <c r="D1765" s="279" t="s">
        <v>10706</v>
      </c>
      <c r="E1765" s="306" t="s">
        <v>10969</v>
      </c>
      <c r="F1765" s="278" t="s">
        <v>4109</v>
      </c>
      <c r="G1765" s="278" t="s">
        <v>4108</v>
      </c>
      <c r="H1765" s="306" t="s">
        <v>11219</v>
      </c>
      <c r="I1765" s="269" t="s">
        <v>11220</v>
      </c>
      <c r="J1765" s="306" t="s">
        <v>10969</v>
      </c>
    </row>
    <row r="1766" spans="1:10" ht="14.5" customHeight="1" x14ac:dyDescent="0.25">
      <c r="A1766" s="278" t="s">
        <v>3705</v>
      </c>
      <c r="B1766" s="278" t="s">
        <v>10904</v>
      </c>
      <c r="C1766" s="278" t="s">
        <v>10705</v>
      </c>
      <c r="D1766" s="279" t="s">
        <v>10706</v>
      </c>
      <c r="E1766" s="306" t="s">
        <v>10969</v>
      </c>
      <c r="F1766" s="278" t="s">
        <v>4109</v>
      </c>
      <c r="G1766" s="278" t="s">
        <v>4108</v>
      </c>
      <c r="H1766" s="306" t="s">
        <v>11221</v>
      </c>
      <c r="I1766" s="269" t="s">
        <v>11222</v>
      </c>
      <c r="J1766" s="306" t="s">
        <v>10969</v>
      </c>
    </row>
    <row r="1767" spans="1:10" ht="14.5" customHeight="1" x14ac:dyDescent="0.25">
      <c r="A1767" s="278" t="s">
        <v>3705</v>
      </c>
      <c r="B1767" s="278" t="s">
        <v>10904</v>
      </c>
      <c r="C1767" s="278" t="s">
        <v>10705</v>
      </c>
      <c r="D1767" s="279" t="s">
        <v>10706</v>
      </c>
      <c r="E1767" s="306" t="s">
        <v>10969</v>
      </c>
      <c r="F1767" s="278" t="s">
        <v>4109</v>
      </c>
      <c r="G1767" s="278" t="s">
        <v>4108</v>
      </c>
      <c r="H1767" s="306" t="s">
        <v>11281</v>
      </c>
      <c r="I1767" s="269" t="s">
        <v>11282</v>
      </c>
      <c r="J1767" s="306" t="s">
        <v>10969</v>
      </c>
    </row>
    <row r="1768" spans="1:10" ht="14.5" customHeight="1" x14ac:dyDescent="0.25">
      <c r="A1768" s="278" t="s">
        <v>3705</v>
      </c>
      <c r="B1768" s="278" t="s">
        <v>10904</v>
      </c>
      <c r="C1768" s="278" t="s">
        <v>10707</v>
      </c>
      <c r="D1768" s="279" t="s">
        <v>10708</v>
      </c>
      <c r="E1768" s="306" t="s">
        <v>10969</v>
      </c>
      <c r="F1768" s="278" t="s">
        <v>4109</v>
      </c>
      <c r="G1768" s="278" t="s">
        <v>4108</v>
      </c>
      <c r="H1768" s="306" t="s">
        <v>11242</v>
      </c>
      <c r="I1768" s="269" t="s">
        <v>11243</v>
      </c>
      <c r="J1768" s="306" t="s">
        <v>10969</v>
      </c>
    </row>
    <row r="1769" spans="1:10" ht="14.5" customHeight="1" x14ac:dyDescent="0.25">
      <c r="A1769" s="278" t="s">
        <v>3705</v>
      </c>
      <c r="B1769" s="278" t="s">
        <v>10904</v>
      </c>
      <c r="C1769" s="278" t="s">
        <v>10707</v>
      </c>
      <c r="D1769" s="279" t="s">
        <v>10708</v>
      </c>
      <c r="E1769" s="306" t="s">
        <v>10969</v>
      </c>
      <c r="F1769" s="278" t="s">
        <v>4109</v>
      </c>
      <c r="G1769" s="278" t="s">
        <v>4108</v>
      </c>
      <c r="H1769" s="306" t="s">
        <v>11341</v>
      </c>
      <c r="I1769" s="269" t="s">
        <v>11342</v>
      </c>
      <c r="J1769" s="306" t="s">
        <v>10969</v>
      </c>
    </row>
    <row r="1770" spans="1:10" ht="14.5" customHeight="1" x14ac:dyDescent="0.25">
      <c r="A1770" s="278" t="s">
        <v>3705</v>
      </c>
      <c r="B1770" s="278" t="s">
        <v>10904</v>
      </c>
      <c r="C1770" s="278" t="s">
        <v>10707</v>
      </c>
      <c r="D1770" s="279" t="s">
        <v>10708</v>
      </c>
      <c r="E1770" s="306" t="s">
        <v>10969</v>
      </c>
      <c r="F1770" s="278" t="s">
        <v>4109</v>
      </c>
      <c r="G1770" s="278" t="s">
        <v>4108</v>
      </c>
      <c r="H1770" s="306" t="s">
        <v>11281</v>
      </c>
      <c r="I1770" s="269" t="s">
        <v>11282</v>
      </c>
      <c r="J1770" s="306" t="s">
        <v>10969</v>
      </c>
    </row>
    <row r="1771" spans="1:10" ht="14.5" customHeight="1" x14ac:dyDescent="0.25">
      <c r="A1771" s="278" t="s">
        <v>3705</v>
      </c>
      <c r="B1771" s="278" t="s">
        <v>10904</v>
      </c>
      <c r="C1771" s="278" t="s">
        <v>10709</v>
      </c>
      <c r="D1771" s="279" t="s">
        <v>10710</v>
      </c>
      <c r="E1771" s="306" t="s">
        <v>10969</v>
      </c>
      <c r="F1771" s="278" t="s">
        <v>4109</v>
      </c>
      <c r="G1771" s="278" t="s">
        <v>4108</v>
      </c>
      <c r="H1771" s="306" t="s">
        <v>11242</v>
      </c>
      <c r="I1771" s="269" t="s">
        <v>11243</v>
      </c>
      <c r="J1771" s="306" t="s">
        <v>10969</v>
      </c>
    </row>
    <row r="1772" spans="1:10" ht="14.5" customHeight="1" x14ac:dyDescent="0.25">
      <c r="A1772" s="278" t="s">
        <v>3705</v>
      </c>
      <c r="B1772" s="278" t="s">
        <v>10904</v>
      </c>
      <c r="C1772" s="278" t="s">
        <v>10709</v>
      </c>
      <c r="D1772" s="279" t="s">
        <v>10710</v>
      </c>
      <c r="E1772" s="306" t="s">
        <v>10969</v>
      </c>
      <c r="F1772" s="278" t="s">
        <v>4109</v>
      </c>
      <c r="G1772" s="278" t="s">
        <v>4108</v>
      </c>
      <c r="H1772" s="306" t="s">
        <v>11341</v>
      </c>
      <c r="I1772" s="269" t="s">
        <v>11342</v>
      </c>
      <c r="J1772" s="306" t="s">
        <v>10969</v>
      </c>
    </row>
    <row r="1773" spans="1:10" ht="14.5" customHeight="1" x14ac:dyDescent="0.25">
      <c r="A1773" s="278" t="s">
        <v>3705</v>
      </c>
      <c r="B1773" s="278" t="s">
        <v>10904</v>
      </c>
      <c r="C1773" s="278" t="s">
        <v>10709</v>
      </c>
      <c r="D1773" s="279" t="s">
        <v>10710</v>
      </c>
      <c r="E1773" s="306" t="s">
        <v>10969</v>
      </c>
      <c r="F1773" s="278" t="s">
        <v>4109</v>
      </c>
      <c r="G1773" s="278" t="s">
        <v>4108</v>
      </c>
      <c r="H1773" s="306" t="s">
        <v>11281</v>
      </c>
      <c r="I1773" s="269" t="s">
        <v>11282</v>
      </c>
      <c r="J1773" s="306" t="s">
        <v>10969</v>
      </c>
    </row>
    <row r="1774" spans="1:10" ht="14.5" customHeight="1" x14ac:dyDescent="0.25">
      <c r="A1774" s="278" t="s">
        <v>3705</v>
      </c>
      <c r="B1774" s="278" t="s">
        <v>10904</v>
      </c>
      <c r="C1774" s="278" t="s">
        <v>10711</v>
      </c>
      <c r="D1774" s="279" t="s">
        <v>10712</v>
      </c>
      <c r="E1774" s="306" t="s">
        <v>10969</v>
      </c>
      <c r="F1774" s="278" t="s">
        <v>4109</v>
      </c>
      <c r="G1774" s="278" t="s">
        <v>4108</v>
      </c>
      <c r="H1774" s="306" t="s">
        <v>11242</v>
      </c>
      <c r="I1774" s="269" t="s">
        <v>11243</v>
      </c>
      <c r="J1774" s="306" t="s">
        <v>10969</v>
      </c>
    </row>
    <row r="1775" spans="1:10" ht="14.5" customHeight="1" x14ac:dyDescent="0.25">
      <c r="A1775" s="278" t="s">
        <v>3705</v>
      </c>
      <c r="B1775" s="278" t="s">
        <v>10904</v>
      </c>
      <c r="C1775" s="278" t="s">
        <v>10711</v>
      </c>
      <c r="D1775" s="279" t="s">
        <v>10712</v>
      </c>
      <c r="E1775" s="306" t="s">
        <v>10969</v>
      </c>
      <c r="F1775" s="278" t="s">
        <v>4109</v>
      </c>
      <c r="G1775" s="278" t="s">
        <v>4108</v>
      </c>
      <c r="H1775" s="306" t="s">
        <v>11341</v>
      </c>
      <c r="I1775" s="269" t="s">
        <v>11342</v>
      </c>
      <c r="J1775" s="306" t="s">
        <v>10969</v>
      </c>
    </row>
    <row r="1776" spans="1:10" ht="14.5" customHeight="1" x14ac:dyDescent="0.25">
      <c r="A1776" s="278" t="s">
        <v>3705</v>
      </c>
      <c r="B1776" s="278" t="s">
        <v>10904</v>
      </c>
      <c r="C1776" s="278" t="s">
        <v>10711</v>
      </c>
      <c r="D1776" s="279" t="s">
        <v>10712</v>
      </c>
      <c r="E1776" s="306" t="s">
        <v>10969</v>
      </c>
      <c r="F1776" s="278" t="s">
        <v>4109</v>
      </c>
      <c r="G1776" s="278" t="s">
        <v>4108</v>
      </c>
      <c r="H1776" s="306" t="s">
        <v>11281</v>
      </c>
      <c r="I1776" s="269" t="s">
        <v>11282</v>
      </c>
      <c r="J1776" s="306" t="s">
        <v>10969</v>
      </c>
    </row>
    <row r="1777" spans="1:10" ht="14.5" customHeight="1" x14ac:dyDescent="0.25">
      <c r="A1777" s="278" t="s">
        <v>3705</v>
      </c>
      <c r="B1777" s="278" t="s">
        <v>10904</v>
      </c>
      <c r="C1777" s="278" t="s">
        <v>10713</v>
      </c>
      <c r="D1777" s="279" t="s">
        <v>10714</v>
      </c>
      <c r="E1777" s="306" t="s">
        <v>10969</v>
      </c>
      <c r="F1777" s="278" t="s">
        <v>4109</v>
      </c>
      <c r="G1777" s="278" t="s">
        <v>4108</v>
      </c>
      <c r="H1777" s="306" t="s">
        <v>11242</v>
      </c>
      <c r="I1777" s="269" t="s">
        <v>11243</v>
      </c>
      <c r="J1777" s="306" t="s">
        <v>10969</v>
      </c>
    </row>
    <row r="1778" spans="1:10" ht="14.5" customHeight="1" x14ac:dyDescent="0.25">
      <c r="A1778" s="278" t="s">
        <v>3705</v>
      </c>
      <c r="B1778" s="278" t="s">
        <v>10904</v>
      </c>
      <c r="C1778" s="278" t="s">
        <v>10713</v>
      </c>
      <c r="D1778" s="279" t="s">
        <v>10714</v>
      </c>
      <c r="E1778" s="306" t="s">
        <v>10969</v>
      </c>
      <c r="F1778" s="278" t="s">
        <v>4109</v>
      </c>
      <c r="G1778" s="278" t="s">
        <v>4108</v>
      </c>
      <c r="H1778" s="306" t="s">
        <v>11341</v>
      </c>
      <c r="I1778" s="269" t="s">
        <v>11342</v>
      </c>
      <c r="J1778" s="306" t="s">
        <v>10969</v>
      </c>
    </row>
    <row r="1779" spans="1:10" ht="14.5" customHeight="1" x14ac:dyDescent="0.25">
      <c r="A1779" s="278" t="s">
        <v>3705</v>
      </c>
      <c r="B1779" s="278" t="s">
        <v>10904</v>
      </c>
      <c r="C1779" s="278" t="s">
        <v>10713</v>
      </c>
      <c r="D1779" s="279" t="s">
        <v>10714</v>
      </c>
      <c r="E1779" s="306" t="s">
        <v>10969</v>
      </c>
      <c r="F1779" s="278" t="s">
        <v>4109</v>
      </c>
      <c r="G1779" s="278" t="s">
        <v>4108</v>
      </c>
      <c r="H1779" s="306" t="s">
        <v>11281</v>
      </c>
      <c r="I1779" s="269" t="s">
        <v>11282</v>
      </c>
      <c r="J1779" s="306" t="s">
        <v>10969</v>
      </c>
    </row>
    <row r="1780" spans="1:10" ht="14.5" customHeight="1" x14ac:dyDescent="0.25">
      <c r="A1780" s="278" t="s">
        <v>3705</v>
      </c>
      <c r="B1780" s="278" t="s">
        <v>10904</v>
      </c>
      <c r="C1780" s="278" t="s">
        <v>10716</v>
      </c>
      <c r="D1780" s="279" t="s">
        <v>10717</v>
      </c>
      <c r="E1780" s="306" t="s">
        <v>10969</v>
      </c>
      <c r="F1780" s="278" t="s">
        <v>4109</v>
      </c>
      <c r="G1780" s="278" t="s">
        <v>4108</v>
      </c>
      <c r="H1780" s="306" t="s">
        <v>11242</v>
      </c>
      <c r="I1780" s="269" t="s">
        <v>11243</v>
      </c>
      <c r="J1780" s="306" t="s">
        <v>10969</v>
      </c>
    </row>
    <row r="1781" spans="1:10" ht="14.5" customHeight="1" x14ac:dyDescent="0.25">
      <c r="A1781" s="278" t="s">
        <v>3705</v>
      </c>
      <c r="B1781" s="278" t="s">
        <v>10904</v>
      </c>
      <c r="C1781" s="278" t="s">
        <v>10716</v>
      </c>
      <c r="D1781" s="279" t="s">
        <v>10717</v>
      </c>
      <c r="E1781" s="306" t="s">
        <v>10969</v>
      </c>
      <c r="F1781" s="278" t="s">
        <v>4109</v>
      </c>
      <c r="G1781" s="278" t="s">
        <v>4108</v>
      </c>
      <c r="H1781" s="306" t="s">
        <v>11341</v>
      </c>
      <c r="I1781" s="269" t="s">
        <v>11342</v>
      </c>
      <c r="J1781" s="306" t="s">
        <v>10969</v>
      </c>
    </row>
    <row r="1782" spans="1:10" ht="14.5" customHeight="1" x14ac:dyDescent="0.25">
      <c r="A1782" s="278" t="s">
        <v>3705</v>
      </c>
      <c r="B1782" s="278" t="s">
        <v>10904</v>
      </c>
      <c r="C1782" s="278" t="s">
        <v>10716</v>
      </c>
      <c r="D1782" s="279" t="s">
        <v>10717</v>
      </c>
      <c r="E1782" s="306" t="s">
        <v>10969</v>
      </c>
      <c r="F1782" s="278" t="s">
        <v>4109</v>
      </c>
      <c r="G1782" s="278" t="s">
        <v>4108</v>
      </c>
      <c r="H1782" s="306" t="s">
        <v>11281</v>
      </c>
      <c r="I1782" s="269" t="s">
        <v>11282</v>
      </c>
      <c r="J1782" s="306" t="s">
        <v>10969</v>
      </c>
    </row>
    <row r="1783" spans="1:10" ht="14.5" customHeight="1" x14ac:dyDescent="0.25">
      <c r="A1783" s="278" t="s">
        <v>3705</v>
      </c>
      <c r="B1783" s="278" t="s">
        <v>10904</v>
      </c>
      <c r="C1783" s="278" t="s">
        <v>10718</v>
      </c>
      <c r="D1783" s="279" t="s">
        <v>10719</v>
      </c>
      <c r="E1783" s="306" t="s">
        <v>10969</v>
      </c>
      <c r="F1783" s="278" t="s">
        <v>4109</v>
      </c>
      <c r="G1783" s="278" t="s">
        <v>4108</v>
      </c>
      <c r="H1783" s="306" t="s">
        <v>11219</v>
      </c>
      <c r="I1783" s="269" t="s">
        <v>11220</v>
      </c>
      <c r="J1783" s="306" t="s">
        <v>10969</v>
      </c>
    </row>
    <row r="1784" spans="1:10" ht="14.5" customHeight="1" x14ac:dyDescent="0.25">
      <c r="A1784" s="278" t="s">
        <v>3705</v>
      </c>
      <c r="B1784" s="278" t="s">
        <v>10904</v>
      </c>
      <c r="C1784" s="278" t="s">
        <v>10718</v>
      </c>
      <c r="D1784" s="279" t="s">
        <v>10719</v>
      </c>
      <c r="E1784" s="306" t="s">
        <v>10969</v>
      </c>
      <c r="F1784" s="278" t="s">
        <v>4109</v>
      </c>
      <c r="G1784" s="278" t="s">
        <v>4108</v>
      </c>
      <c r="H1784" s="306" t="s">
        <v>11242</v>
      </c>
      <c r="I1784" s="269" t="s">
        <v>11243</v>
      </c>
      <c r="J1784" s="306" t="s">
        <v>10969</v>
      </c>
    </row>
    <row r="1785" spans="1:10" ht="14.5" customHeight="1" x14ac:dyDescent="0.25">
      <c r="A1785" s="278" t="s">
        <v>3705</v>
      </c>
      <c r="B1785" s="278" t="s">
        <v>10904</v>
      </c>
      <c r="C1785" s="278" t="s">
        <v>10718</v>
      </c>
      <c r="D1785" s="279" t="s">
        <v>10719</v>
      </c>
      <c r="E1785" s="306" t="s">
        <v>10969</v>
      </c>
      <c r="F1785" s="278" t="s">
        <v>4109</v>
      </c>
      <c r="G1785" s="278" t="s">
        <v>4108</v>
      </c>
      <c r="H1785" s="306" t="s">
        <v>11341</v>
      </c>
      <c r="I1785" s="269" t="s">
        <v>11342</v>
      </c>
      <c r="J1785" s="306" t="s">
        <v>10969</v>
      </c>
    </row>
    <row r="1786" spans="1:10" ht="14.5" customHeight="1" x14ac:dyDescent="0.25">
      <c r="A1786" s="278" t="s">
        <v>3705</v>
      </c>
      <c r="B1786" s="278" t="s">
        <v>10904</v>
      </c>
      <c r="C1786" s="278" t="s">
        <v>10718</v>
      </c>
      <c r="D1786" s="279" t="s">
        <v>10719</v>
      </c>
      <c r="E1786" s="306" t="s">
        <v>10969</v>
      </c>
      <c r="F1786" s="278" t="s">
        <v>4109</v>
      </c>
      <c r="G1786" s="278" t="s">
        <v>4108</v>
      </c>
      <c r="H1786" s="306" t="s">
        <v>11221</v>
      </c>
      <c r="I1786" s="269" t="s">
        <v>11222</v>
      </c>
      <c r="J1786" s="306" t="s">
        <v>10969</v>
      </c>
    </row>
    <row r="1787" spans="1:10" ht="14.5" customHeight="1" x14ac:dyDescent="0.25">
      <c r="A1787" s="278" t="s">
        <v>3705</v>
      </c>
      <c r="B1787" s="278" t="s">
        <v>10904</v>
      </c>
      <c r="C1787" s="278" t="s">
        <v>10718</v>
      </c>
      <c r="D1787" s="279" t="s">
        <v>10719</v>
      </c>
      <c r="E1787" s="306" t="s">
        <v>10969</v>
      </c>
      <c r="F1787" s="278" t="s">
        <v>4109</v>
      </c>
      <c r="G1787" s="278" t="s">
        <v>4108</v>
      </c>
      <c r="H1787" s="306" t="s">
        <v>11281</v>
      </c>
      <c r="I1787" s="269" t="s">
        <v>11282</v>
      </c>
      <c r="J1787" s="306" t="s">
        <v>10969</v>
      </c>
    </row>
    <row r="1788" spans="1:10" ht="14.5" customHeight="1" x14ac:dyDescent="0.25">
      <c r="A1788" s="278" t="s">
        <v>3705</v>
      </c>
      <c r="B1788" s="278" t="s">
        <v>10904</v>
      </c>
      <c r="C1788" s="278" t="s">
        <v>10720</v>
      </c>
      <c r="D1788" s="279" t="s">
        <v>10721</v>
      </c>
      <c r="E1788" s="306" t="s">
        <v>10969</v>
      </c>
      <c r="F1788" s="278" t="s">
        <v>4109</v>
      </c>
      <c r="G1788" s="278" t="s">
        <v>4108</v>
      </c>
      <c r="H1788" s="306" t="s">
        <v>11226</v>
      </c>
      <c r="I1788" s="269" t="s">
        <v>11227</v>
      </c>
      <c r="J1788" s="306" t="s">
        <v>10969</v>
      </c>
    </row>
    <row r="1789" spans="1:10" ht="14.5" customHeight="1" x14ac:dyDescent="0.25">
      <c r="A1789" s="278" t="s">
        <v>3705</v>
      </c>
      <c r="B1789" s="278" t="s">
        <v>10904</v>
      </c>
      <c r="C1789" s="278" t="s">
        <v>10722</v>
      </c>
      <c r="D1789" s="279" t="s">
        <v>10723</v>
      </c>
      <c r="E1789" s="306" t="s">
        <v>10969</v>
      </c>
      <c r="F1789" s="278" t="s">
        <v>4109</v>
      </c>
      <c r="G1789" s="278" t="s">
        <v>4108</v>
      </c>
      <c r="H1789" s="306" t="s">
        <v>11226</v>
      </c>
      <c r="I1789" s="269" t="s">
        <v>11227</v>
      </c>
      <c r="J1789" s="306" t="s">
        <v>10969</v>
      </c>
    </row>
    <row r="1790" spans="1:10" ht="14.5" customHeight="1" x14ac:dyDescent="0.25">
      <c r="A1790" s="278" t="s">
        <v>3705</v>
      </c>
      <c r="B1790" s="278" t="s">
        <v>10904</v>
      </c>
      <c r="C1790" s="278" t="s">
        <v>10724</v>
      </c>
      <c r="D1790" s="279" t="s">
        <v>10725</v>
      </c>
      <c r="E1790" s="306" t="s">
        <v>10969</v>
      </c>
      <c r="F1790" s="278" t="s">
        <v>4109</v>
      </c>
      <c r="G1790" s="278" t="s">
        <v>4108</v>
      </c>
      <c r="H1790" s="306" t="s">
        <v>11343</v>
      </c>
      <c r="I1790" s="269" t="s">
        <v>11344</v>
      </c>
      <c r="J1790" s="306" t="s">
        <v>10969</v>
      </c>
    </row>
    <row r="1791" spans="1:10" ht="14.5" customHeight="1" x14ac:dyDescent="0.25">
      <c r="A1791" s="278" t="s">
        <v>3705</v>
      </c>
      <c r="B1791" s="278" t="s">
        <v>10904</v>
      </c>
      <c r="C1791" s="278" t="s">
        <v>10726</v>
      </c>
      <c r="D1791" s="279" t="s">
        <v>10727</v>
      </c>
      <c r="E1791" s="306" t="s">
        <v>10969</v>
      </c>
      <c r="F1791" s="278" t="s">
        <v>4109</v>
      </c>
      <c r="G1791" s="278" t="s">
        <v>4108</v>
      </c>
      <c r="H1791" s="306" t="s">
        <v>11343</v>
      </c>
      <c r="I1791" s="269" t="s">
        <v>11344</v>
      </c>
      <c r="J1791" s="306" t="s">
        <v>10969</v>
      </c>
    </row>
    <row r="1792" spans="1:10" ht="14.5" customHeight="1" x14ac:dyDescent="0.25">
      <c r="A1792" s="278" t="s">
        <v>3705</v>
      </c>
      <c r="B1792" s="278" t="s">
        <v>10904</v>
      </c>
      <c r="C1792" s="278" t="s">
        <v>10728</v>
      </c>
      <c r="D1792" s="279" t="s">
        <v>10729</v>
      </c>
      <c r="E1792" s="306" t="s">
        <v>10969</v>
      </c>
      <c r="F1792" s="278" t="s">
        <v>4109</v>
      </c>
      <c r="G1792" s="278" t="s">
        <v>4109</v>
      </c>
      <c r="H1792" s="306" t="s">
        <v>11343</v>
      </c>
      <c r="I1792" s="269" t="s">
        <v>11344</v>
      </c>
      <c r="J1792" s="306" t="s">
        <v>10969</v>
      </c>
    </row>
    <row r="1793" spans="1:10" ht="14.5" customHeight="1" x14ac:dyDescent="0.25">
      <c r="A1793" s="278" t="s">
        <v>3705</v>
      </c>
      <c r="B1793" s="278" t="s">
        <v>10904</v>
      </c>
      <c r="C1793" s="278" t="s">
        <v>10730</v>
      </c>
      <c r="D1793" s="279" t="s">
        <v>10731</v>
      </c>
      <c r="E1793" s="306" t="s">
        <v>10969</v>
      </c>
      <c r="F1793" s="278" t="s">
        <v>4109</v>
      </c>
      <c r="G1793" s="278" t="s">
        <v>4108</v>
      </c>
      <c r="H1793" s="306" t="s">
        <v>11345</v>
      </c>
      <c r="I1793" s="269" t="s">
        <v>11346</v>
      </c>
      <c r="J1793" s="306" t="s">
        <v>10969</v>
      </c>
    </row>
    <row r="1794" spans="1:10" ht="14.5" customHeight="1" x14ac:dyDescent="0.25">
      <c r="A1794" s="278" t="s">
        <v>3705</v>
      </c>
      <c r="B1794" s="278" t="s">
        <v>10904</v>
      </c>
      <c r="C1794" s="278" t="s">
        <v>10732</v>
      </c>
      <c r="D1794" s="279" t="s">
        <v>10733</v>
      </c>
      <c r="E1794" s="306" t="s">
        <v>10969</v>
      </c>
      <c r="F1794" s="278" t="s">
        <v>4109</v>
      </c>
      <c r="G1794" s="278" t="s">
        <v>4108</v>
      </c>
      <c r="H1794" s="306" t="s">
        <v>11345</v>
      </c>
      <c r="I1794" s="269" t="s">
        <v>11346</v>
      </c>
      <c r="J1794" s="306" t="s">
        <v>10969</v>
      </c>
    </row>
    <row r="1795" spans="1:10" ht="14.5" customHeight="1" x14ac:dyDescent="0.25">
      <c r="A1795" s="278" t="s">
        <v>3705</v>
      </c>
      <c r="B1795" s="278" t="s">
        <v>10904</v>
      </c>
      <c r="C1795" s="278" t="s">
        <v>10734</v>
      </c>
      <c r="D1795" s="279" t="s">
        <v>10735</v>
      </c>
      <c r="E1795" s="306" t="s">
        <v>10969</v>
      </c>
      <c r="F1795" s="278" t="s">
        <v>4109</v>
      </c>
      <c r="G1795" s="278" t="s">
        <v>4109</v>
      </c>
      <c r="H1795" s="306" t="s">
        <v>11345</v>
      </c>
      <c r="I1795" s="269" t="s">
        <v>11346</v>
      </c>
      <c r="J1795" s="306" t="s">
        <v>10969</v>
      </c>
    </row>
    <row r="1796" spans="1:10" ht="14.5" customHeight="1" x14ac:dyDescent="0.25">
      <c r="A1796" s="278" t="s">
        <v>3705</v>
      </c>
      <c r="B1796" s="278" t="s">
        <v>10904</v>
      </c>
      <c r="C1796" s="278" t="s">
        <v>10736</v>
      </c>
      <c r="D1796" s="279" t="s">
        <v>10737</v>
      </c>
      <c r="E1796" s="306" t="s">
        <v>10969</v>
      </c>
      <c r="F1796" s="278" t="s">
        <v>4109</v>
      </c>
      <c r="G1796" s="278" t="s">
        <v>4108</v>
      </c>
      <c r="H1796" s="306" t="s">
        <v>11333</v>
      </c>
      <c r="I1796" s="269" t="s">
        <v>11334</v>
      </c>
      <c r="J1796" s="306" t="s">
        <v>10969</v>
      </c>
    </row>
    <row r="1797" spans="1:10" ht="14.5" customHeight="1" x14ac:dyDescent="0.25">
      <c r="A1797" s="278" t="s">
        <v>3705</v>
      </c>
      <c r="B1797" s="278" t="s">
        <v>10904</v>
      </c>
      <c r="C1797" s="278" t="s">
        <v>10738</v>
      </c>
      <c r="D1797" s="279" t="s">
        <v>10739</v>
      </c>
      <c r="E1797" s="306" t="s">
        <v>10969</v>
      </c>
      <c r="F1797" s="278" t="s">
        <v>4109</v>
      </c>
      <c r="G1797" s="278" t="s">
        <v>4108</v>
      </c>
      <c r="H1797" s="306" t="s">
        <v>11333</v>
      </c>
      <c r="I1797" s="269" t="s">
        <v>11334</v>
      </c>
      <c r="J1797" s="306" t="s">
        <v>10969</v>
      </c>
    </row>
    <row r="1798" spans="1:10" ht="14.5" customHeight="1" x14ac:dyDescent="0.25">
      <c r="A1798" s="278" t="s">
        <v>3705</v>
      </c>
      <c r="B1798" s="278" t="s">
        <v>10904</v>
      </c>
      <c r="C1798" s="278" t="s">
        <v>10740</v>
      </c>
      <c r="D1798" s="279" t="s">
        <v>10741</v>
      </c>
      <c r="E1798" s="306" t="s">
        <v>10969</v>
      </c>
      <c r="F1798" s="278" t="s">
        <v>4109</v>
      </c>
      <c r="G1798" s="278" t="s">
        <v>4109</v>
      </c>
      <c r="H1798" s="306" t="s">
        <v>11333</v>
      </c>
      <c r="I1798" s="269" t="s">
        <v>11334</v>
      </c>
      <c r="J1798" s="306" t="s">
        <v>10969</v>
      </c>
    </row>
    <row r="1799" spans="1:10" s="337" customFormat="1" ht="14.5" customHeight="1" x14ac:dyDescent="0.25">
      <c r="A1799" s="356" t="s">
        <v>3705</v>
      </c>
      <c r="B1799" s="338" t="s">
        <v>10904</v>
      </c>
      <c r="C1799" s="338" t="s">
        <v>10742</v>
      </c>
      <c r="D1799" s="339" t="s">
        <v>10743</v>
      </c>
      <c r="E1799" s="340" t="s">
        <v>10969</v>
      </c>
      <c r="F1799" s="338" t="s">
        <v>4109</v>
      </c>
      <c r="G1799" s="338" t="s">
        <v>4108</v>
      </c>
      <c r="H1799" s="340" t="s">
        <v>11347</v>
      </c>
      <c r="I1799" s="341" t="s">
        <v>11348</v>
      </c>
      <c r="J1799" s="340" t="s">
        <v>10969</v>
      </c>
    </row>
    <row r="1800" spans="1:10" ht="14.5" customHeight="1" x14ac:dyDescent="0.25">
      <c r="A1800" s="352" t="s">
        <v>3705</v>
      </c>
      <c r="B1800" s="284" t="s">
        <v>10904</v>
      </c>
      <c r="C1800" s="284" t="s">
        <v>10742</v>
      </c>
      <c r="D1800" s="285" t="s">
        <v>10743</v>
      </c>
      <c r="E1800" s="342" t="s">
        <v>10969</v>
      </c>
      <c r="F1800" s="284" t="s">
        <v>4109</v>
      </c>
      <c r="G1800" s="284" t="s">
        <v>4108</v>
      </c>
      <c r="H1800" s="342" t="s">
        <v>11349</v>
      </c>
      <c r="I1800" s="271" t="s">
        <v>11348</v>
      </c>
      <c r="J1800" s="342" t="s">
        <v>10969</v>
      </c>
    </row>
    <row r="1801" spans="1:10" s="337" customFormat="1" ht="14.5" customHeight="1" x14ac:dyDescent="0.25">
      <c r="A1801" s="356" t="s">
        <v>3705</v>
      </c>
      <c r="B1801" s="338" t="s">
        <v>10904</v>
      </c>
      <c r="C1801" s="338" t="s">
        <v>10744</v>
      </c>
      <c r="D1801" s="339" t="s">
        <v>10745</v>
      </c>
      <c r="E1801" s="340" t="s">
        <v>10969</v>
      </c>
      <c r="F1801" s="338" t="s">
        <v>4109</v>
      </c>
      <c r="G1801" s="338" t="s">
        <v>4108</v>
      </c>
      <c r="H1801" s="340" t="s">
        <v>11347</v>
      </c>
      <c r="I1801" s="341" t="s">
        <v>11348</v>
      </c>
      <c r="J1801" s="340" t="s">
        <v>10969</v>
      </c>
    </row>
    <row r="1802" spans="1:10" ht="14.5" customHeight="1" x14ac:dyDescent="0.25">
      <c r="A1802" s="352" t="s">
        <v>3705</v>
      </c>
      <c r="B1802" s="284" t="s">
        <v>10904</v>
      </c>
      <c r="C1802" s="284" t="s">
        <v>10744</v>
      </c>
      <c r="D1802" s="285" t="s">
        <v>10745</v>
      </c>
      <c r="E1802" s="342" t="s">
        <v>10969</v>
      </c>
      <c r="F1802" s="284" t="s">
        <v>4109</v>
      </c>
      <c r="G1802" s="284" t="s">
        <v>4108</v>
      </c>
      <c r="H1802" s="342" t="s">
        <v>11349</v>
      </c>
      <c r="I1802" s="271" t="s">
        <v>11348</v>
      </c>
      <c r="J1802" s="342" t="s">
        <v>10969</v>
      </c>
    </row>
    <row r="1803" spans="1:10" s="337" customFormat="1" ht="14.5" customHeight="1" x14ac:dyDescent="0.25">
      <c r="A1803" s="356" t="s">
        <v>3705</v>
      </c>
      <c r="B1803" s="338" t="s">
        <v>10904</v>
      </c>
      <c r="C1803" s="338" t="s">
        <v>10746</v>
      </c>
      <c r="D1803" s="339" t="s">
        <v>10747</v>
      </c>
      <c r="E1803" s="340" t="s">
        <v>10969</v>
      </c>
      <c r="F1803" s="338" t="s">
        <v>4109</v>
      </c>
      <c r="G1803" s="338" t="s">
        <v>4109</v>
      </c>
      <c r="H1803" s="340" t="s">
        <v>11347</v>
      </c>
      <c r="I1803" s="341" t="s">
        <v>11348</v>
      </c>
      <c r="J1803" s="340" t="s">
        <v>10969</v>
      </c>
    </row>
    <row r="1804" spans="1:10" ht="14.5" customHeight="1" x14ac:dyDescent="0.25">
      <c r="A1804" s="352" t="s">
        <v>3705</v>
      </c>
      <c r="B1804" s="284" t="s">
        <v>10904</v>
      </c>
      <c r="C1804" s="284" t="s">
        <v>10746</v>
      </c>
      <c r="D1804" s="285" t="s">
        <v>10747</v>
      </c>
      <c r="E1804" s="342" t="s">
        <v>10969</v>
      </c>
      <c r="F1804" s="284" t="s">
        <v>4109</v>
      </c>
      <c r="G1804" s="284" t="s">
        <v>4109</v>
      </c>
      <c r="H1804" s="342" t="s">
        <v>11349</v>
      </c>
      <c r="I1804" s="271" t="s">
        <v>11348</v>
      </c>
      <c r="J1804" s="342" t="s">
        <v>10969</v>
      </c>
    </row>
    <row r="1805" spans="1:10" ht="14.5" customHeight="1" x14ac:dyDescent="0.25">
      <c r="A1805" s="278" t="s">
        <v>3705</v>
      </c>
      <c r="B1805" s="278" t="s">
        <v>10904</v>
      </c>
      <c r="C1805" s="278" t="s">
        <v>10748</v>
      </c>
      <c r="D1805" s="279" t="s">
        <v>10749</v>
      </c>
      <c r="E1805" s="306" t="s">
        <v>10969</v>
      </c>
      <c r="F1805" s="278" t="s">
        <v>4109</v>
      </c>
      <c r="G1805" s="278" t="s">
        <v>4108</v>
      </c>
      <c r="H1805" s="306" t="s">
        <v>11219</v>
      </c>
      <c r="I1805" s="269" t="s">
        <v>11220</v>
      </c>
      <c r="J1805" s="306" t="s">
        <v>10969</v>
      </c>
    </row>
    <row r="1806" spans="1:10" ht="14.5" customHeight="1" x14ac:dyDescent="0.25">
      <c r="A1806" s="278" t="s">
        <v>3705</v>
      </c>
      <c r="B1806" s="278" t="s">
        <v>10904</v>
      </c>
      <c r="C1806" s="278" t="s">
        <v>10748</v>
      </c>
      <c r="D1806" s="279" t="s">
        <v>10749</v>
      </c>
      <c r="E1806" s="306" t="s">
        <v>10969</v>
      </c>
      <c r="F1806" s="278" t="s">
        <v>4109</v>
      </c>
      <c r="G1806" s="278" t="s">
        <v>4108</v>
      </c>
      <c r="H1806" s="306" t="s">
        <v>11333</v>
      </c>
      <c r="I1806" s="269" t="s">
        <v>11334</v>
      </c>
      <c r="J1806" s="306" t="s">
        <v>10969</v>
      </c>
    </row>
    <row r="1807" spans="1:10" ht="14.5" customHeight="1" x14ac:dyDescent="0.25">
      <c r="A1807" s="278" t="s">
        <v>3705</v>
      </c>
      <c r="B1807" s="278" t="s">
        <v>10904</v>
      </c>
      <c r="C1807" s="278" t="s">
        <v>10748</v>
      </c>
      <c r="D1807" s="279" t="s">
        <v>10749</v>
      </c>
      <c r="E1807" s="306" t="s">
        <v>10969</v>
      </c>
      <c r="F1807" s="278" t="s">
        <v>4109</v>
      </c>
      <c r="G1807" s="278" t="s">
        <v>4108</v>
      </c>
      <c r="H1807" s="306" t="s">
        <v>11221</v>
      </c>
      <c r="I1807" s="269" t="s">
        <v>11222</v>
      </c>
      <c r="J1807" s="306" t="s">
        <v>10969</v>
      </c>
    </row>
    <row r="1808" spans="1:10" ht="14.5" customHeight="1" x14ac:dyDescent="0.25">
      <c r="A1808" s="278" t="s">
        <v>3705</v>
      </c>
      <c r="B1808" s="278" t="s">
        <v>10904</v>
      </c>
      <c r="C1808" s="278" t="s">
        <v>10750</v>
      </c>
      <c r="D1808" s="279" t="s">
        <v>10751</v>
      </c>
      <c r="E1808" s="306" t="s">
        <v>10969</v>
      </c>
      <c r="F1808" s="278" t="s">
        <v>4109</v>
      </c>
      <c r="G1808" s="278" t="s">
        <v>4108</v>
      </c>
      <c r="H1808" s="306" t="s">
        <v>11219</v>
      </c>
      <c r="I1808" s="269" t="s">
        <v>11220</v>
      </c>
      <c r="J1808" s="306" t="s">
        <v>10969</v>
      </c>
    </row>
    <row r="1809" spans="1:10" ht="14.5" customHeight="1" x14ac:dyDescent="0.25">
      <c r="A1809" s="278" t="s">
        <v>3705</v>
      </c>
      <c r="B1809" s="278" t="s">
        <v>10904</v>
      </c>
      <c r="C1809" s="278" t="s">
        <v>10750</v>
      </c>
      <c r="D1809" s="279" t="s">
        <v>10751</v>
      </c>
      <c r="E1809" s="306" t="s">
        <v>10969</v>
      </c>
      <c r="F1809" s="278" t="s">
        <v>4109</v>
      </c>
      <c r="G1809" s="278" t="s">
        <v>4108</v>
      </c>
      <c r="H1809" s="306" t="s">
        <v>11349</v>
      </c>
      <c r="I1809" s="269" t="s">
        <v>11348</v>
      </c>
      <c r="J1809" s="306" t="s">
        <v>10969</v>
      </c>
    </row>
    <row r="1810" spans="1:10" ht="14.5" customHeight="1" x14ac:dyDescent="0.25">
      <c r="A1810" s="278" t="s">
        <v>3705</v>
      </c>
      <c r="B1810" s="278" t="s">
        <v>10904</v>
      </c>
      <c r="C1810" s="278" t="s">
        <v>10750</v>
      </c>
      <c r="D1810" s="279" t="s">
        <v>10751</v>
      </c>
      <c r="E1810" s="306" t="s">
        <v>10969</v>
      </c>
      <c r="F1810" s="278" t="s">
        <v>4109</v>
      </c>
      <c r="G1810" s="278" t="s">
        <v>4108</v>
      </c>
      <c r="H1810" s="306" t="s">
        <v>11221</v>
      </c>
      <c r="I1810" s="269" t="s">
        <v>11222</v>
      </c>
      <c r="J1810" s="306" t="s">
        <v>10969</v>
      </c>
    </row>
    <row r="1811" spans="1:10" ht="14.5" customHeight="1" x14ac:dyDescent="0.25">
      <c r="A1811" s="278" t="s">
        <v>3705</v>
      </c>
      <c r="B1811" s="278" t="s">
        <v>10904</v>
      </c>
      <c r="C1811" s="278" t="s">
        <v>10752</v>
      </c>
      <c r="D1811" s="279" t="s">
        <v>10753</v>
      </c>
      <c r="E1811" s="306" t="s">
        <v>10969</v>
      </c>
      <c r="F1811" s="278" t="s">
        <v>4109</v>
      </c>
      <c r="G1811" s="278" t="s">
        <v>4108</v>
      </c>
      <c r="H1811" s="306" t="s">
        <v>11219</v>
      </c>
      <c r="I1811" s="269" t="s">
        <v>11220</v>
      </c>
      <c r="J1811" s="306" t="s">
        <v>10969</v>
      </c>
    </row>
    <row r="1812" spans="1:10" ht="14.5" customHeight="1" x14ac:dyDescent="0.25">
      <c r="A1812" s="278" t="s">
        <v>3705</v>
      </c>
      <c r="B1812" s="278" t="s">
        <v>10904</v>
      </c>
      <c r="C1812" s="278" t="s">
        <v>10752</v>
      </c>
      <c r="D1812" s="279" t="s">
        <v>10753</v>
      </c>
      <c r="E1812" s="306" t="s">
        <v>10969</v>
      </c>
      <c r="F1812" s="278" t="s">
        <v>4109</v>
      </c>
      <c r="G1812" s="278" t="s">
        <v>4108</v>
      </c>
      <c r="H1812" s="306" t="s">
        <v>11343</v>
      </c>
      <c r="I1812" s="269" t="s">
        <v>11344</v>
      </c>
      <c r="J1812" s="306" t="s">
        <v>10969</v>
      </c>
    </row>
    <row r="1813" spans="1:10" ht="14.5" customHeight="1" x14ac:dyDescent="0.25">
      <c r="A1813" s="278" t="s">
        <v>3705</v>
      </c>
      <c r="B1813" s="278" t="s">
        <v>10904</v>
      </c>
      <c r="C1813" s="278" t="s">
        <v>10752</v>
      </c>
      <c r="D1813" s="279" t="s">
        <v>10753</v>
      </c>
      <c r="E1813" s="306" t="s">
        <v>10969</v>
      </c>
      <c r="F1813" s="278" t="s">
        <v>4109</v>
      </c>
      <c r="G1813" s="278" t="s">
        <v>4108</v>
      </c>
      <c r="H1813" s="306" t="s">
        <v>11221</v>
      </c>
      <c r="I1813" s="269" t="s">
        <v>11222</v>
      </c>
      <c r="J1813" s="306" t="s">
        <v>10969</v>
      </c>
    </row>
    <row r="1814" spans="1:10" ht="14.5" customHeight="1" x14ac:dyDescent="0.25">
      <c r="A1814" s="278" t="s">
        <v>3705</v>
      </c>
      <c r="B1814" s="278" t="s">
        <v>10904</v>
      </c>
      <c r="C1814" s="278" t="s">
        <v>10754</v>
      </c>
      <c r="D1814" s="279" t="s">
        <v>10755</v>
      </c>
      <c r="E1814" s="306" t="s">
        <v>10969</v>
      </c>
      <c r="F1814" s="278" t="s">
        <v>4109</v>
      </c>
      <c r="G1814" s="278" t="s">
        <v>4108</v>
      </c>
      <c r="H1814" s="306" t="s">
        <v>11219</v>
      </c>
      <c r="I1814" s="269" t="s">
        <v>11220</v>
      </c>
      <c r="J1814" s="306" t="s">
        <v>10969</v>
      </c>
    </row>
    <row r="1815" spans="1:10" ht="14.5" customHeight="1" x14ac:dyDescent="0.25">
      <c r="A1815" s="278" t="s">
        <v>3705</v>
      </c>
      <c r="B1815" s="278" t="s">
        <v>10904</v>
      </c>
      <c r="C1815" s="278" t="s">
        <v>10754</v>
      </c>
      <c r="D1815" s="279" t="s">
        <v>10755</v>
      </c>
      <c r="E1815" s="306" t="s">
        <v>10969</v>
      </c>
      <c r="F1815" s="278" t="s">
        <v>4109</v>
      </c>
      <c r="G1815" s="278" t="s">
        <v>4108</v>
      </c>
      <c r="H1815" s="306" t="s">
        <v>11345</v>
      </c>
      <c r="I1815" s="269" t="s">
        <v>11346</v>
      </c>
      <c r="J1815" s="306" t="s">
        <v>10969</v>
      </c>
    </row>
    <row r="1816" spans="1:10" ht="14.5" customHeight="1" x14ac:dyDescent="0.25">
      <c r="A1816" s="278" t="s">
        <v>3705</v>
      </c>
      <c r="B1816" s="278" t="s">
        <v>10904</v>
      </c>
      <c r="C1816" s="278" t="s">
        <v>10754</v>
      </c>
      <c r="D1816" s="279" t="s">
        <v>10755</v>
      </c>
      <c r="E1816" s="306" t="s">
        <v>10969</v>
      </c>
      <c r="F1816" s="278" t="s">
        <v>4109</v>
      </c>
      <c r="G1816" s="278" t="s">
        <v>4108</v>
      </c>
      <c r="H1816" s="306" t="s">
        <v>11221</v>
      </c>
      <c r="I1816" s="269" t="s">
        <v>11222</v>
      </c>
      <c r="J1816" s="306" t="s">
        <v>10969</v>
      </c>
    </row>
    <row r="1817" spans="1:10" ht="14.5" customHeight="1" x14ac:dyDescent="0.25">
      <c r="A1817" s="278" t="s">
        <v>3705</v>
      </c>
      <c r="B1817" s="278" t="s">
        <v>10904</v>
      </c>
      <c r="C1817" s="278" t="s">
        <v>10756</v>
      </c>
      <c r="D1817" s="279" t="s">
        <v>10757</v>
      </c>
      <c r="E1817" s="306" t="s">
        <v>10969</v>
      </c>
      <c r="F1817" s="278" t="s">
        <v>4109</v>
      </c>
      <c r="G1817" s="278" t="s">
        <v>4108</v>
      </c>
      <c r="H1817" s="306" t="s">
        <v>11350</v>
      </c>
      <c r="I1817" s="269" t="s">
        <v>11351</v>
      </c>
      <c r="J1817" s="306" t="s">
        <v>10969</v>
      </c>
    </row>
    <row r="1818" spans="1:10" ht="14.5" customHeight="1" x14ac:dyDescent="0.25">
      <c r="A1818" s="278" t="s">
        <v>3705</v>
      </c>
      <c r="B1818" s="278" t="s">
        <v>10904</v>
      </c>
      <c r="C1818" s="278" t="s">
        <v>10756</v>
      </c>
      <c r="D1818" s="279" t="s">
        <v>10757</v>
      </c>
      <c r="E1818" s="306" t="s">
        <v>10969</v>
      </c>
      <c r="F1818" s="278" t="s">
        <v>4109</v>
      </c>
      <c r="G1818" s="278" t="s">
        <v>4108</v>
      </c>
      <c r="H1818" s="306" t="s">
        <v>11352</v>
      </c>
      <c r="I1818" s="269" t="s">
        <v>11353</v>
      </c>
      <c r="J1818" s="306" t="s">
        <v>10969</v>
      </c>
    </row>
    <row r="1819" spans="1:10" ht="14.5" customHeight="1" x14ac:dyDescent="0.25">
      <c r="A1819" s="278" t="s">
        <v>3705</v>
      </c>
      <c r="B1819" s="278" t="s">
        <v>10904</v>
      </c>
      <c r="C1819" s="278" t="s">
        <v>10756</v>
      </c>
      <c r="D1819" s="279" t="s">
        <v>10757</v>
      </c>
      <c r="E1819" s="306" t="s">
        <v>10969</v>
      </c>
      <c r="F1819" s="278" t="s">
        <v>4109</v>
      </c>
      <c r="G1819" s="278" t="s">
        <v>4108</v>
      </c>
      <c r="H1819" s="306" t="s">
        <v>11226</v>
      </c>
      <c r="I1819" s="269" t="s">
        <v>11227</v>
      </c>
      <c r="J1819" s="306" t="s">
        <v>10969</v>
      </c>
    </row>
    <row r="1820" spans="1:10" ht="14.5" customHeight="1" x14ac:dyDescent="0.25">
      <c r="A1820" s="278" t="s">
        <v>3705</v>
      </c>
      <c r="B1820" s="278" t="s">
        <v>10904</v>
      </c>
      <c r="C1820" s="278" t="s">
        <v>10758</v>
      </c>
      <c r="D1820" s="279" t="s">
        <v>10759</v>
      </c>
      <c r="E1820" s="306" t="s">
        <v>10969</v>
      </c>
      <c r="F1820" s="278" t="s">
        <v>4109</v>
      </c>
      <c r="G1820" s="278" t="s">
        <v>4108</v>
      </c>
      <c r="H1820" s="306" t="s">
        <v>11350</v>
      </c>
      <c r="I1820" s="269" t="s">
        <v>11351</v>
      </c>
      <c r="J1820" s="306" t="s">
        <v>10969</v>
      </c>
    </row>
    <row r="1821" spans="1:10" ht="14.5" customHeight="1" x14ac:dyDescent="0.25">
      <c r="A1821" s="278" t="s">
        <v>3705</v>
      </c>
      <c r="B1821" s="278" t="s">
        <v>10904</v>
      </c>
      <c r="C1821" s="278" t="s">
        <v>10758</v>
      </c>
      <c r="D1821" s="279" t="s">
        <v>10759</v>
      </c>
      <c r="E1821" s="306" t="s">
        <v>10969</v>
      </c>
      <c r="F1821" s="278" t="s">
        <v>4109</v>
      </c>
      <c r="G1821" s="278" t="s">
        <v>4108</v>
      </c>
      <c r="H1821" s="306" t="s">
        <v>11352</v>
      </c>
      <c r="I1821" s="269" t="s">
        <v>11353</v>
      </c>
      <c r="J1821" s="306" t="s">
        <v>10969</v>
      </c>
    </row>
    <row r="1822" spans="1:10" ht="14.5" customHeight="1" x14ac:dyDescent="0.25">
      <c r="A1822" s="278" t="s">
        <v>3705</v>
      </c>
      <c r="B1822" s="278" t="s">
        <v>10904</v>
      </c>
      <c r="C1822" s="278" t="s">
        <v>10758</v>
      </c>
      <c r="D1822" s="279" t="s">
        <v>10759</v>
      </c>
      <c r="E1822" s="306" t="s">
        <v>10969</v>
      </c>
      <c r="F1822" s="278" t="s">
        <v>4109</v>
      </c>
      <c r="G1822" s="278" t="s">
        <v>4108</v>
      </c>
      <c r="H1822" s="306" t="s">
        <v>11226</v>
      </c>
      <c r="I1822" s="269" t="s">
        <v>11227</v>
      </c>
      <c r="J1822" s="306" t="s">
        <v>10969</v>
      </c>
    </row>
    <row r="1823" spans="1:10" ht="14.5" customHeight="1" x14ac:dyDescent="0.25">
      <c r="A1823" s="278" t="s">
        <v>3705</v>
      </c>
      <c r="B1823" s="278" t="s">
        <v>10904</v>
      </c>
      <c r="C1823" s="278" t="s">
        <v>10760</v>
      </c>
      <c r="D1823" s="279" t="s">
        <v>10761</v>
      </c>
      <c r="E1823" s="306" t="s">
        <v>10969</v>
      </c>
      <c r="F1823" s="278" t="s">
        <v>4109</v>
      </c>
      <c r="G1823" s="278" t="s">
        <v>4108</v>
      </c>
      <c r="H1823" s="306" t="s">
        <v>11350</v>
      </c>
      <c r="I1823" s="269" t="s">
        <v>11351</v>
      </c>
      <c r="J1823" s="306" t="s">
        <v>10969</v>
      </c>
    </row>
    <row r="1824" spans="1:10" ht="14.5" customHeight="1" x14ac:dyDescent="0.25">
      <c r="A1824" s="278" t="s">
        <v>3705</v>
      </c>
      <c r="B1824" s="278" t="s">
        <v>10904</v>
      </c>
      <c r="C1824" s="278" t="s">
        <v>10760</v>
      </c>
      <c r="D1824" s="279" t="s">
        <v>10761</v>
      </c>
      <c r="E1824" s="306" t="s">
        <v>10969</v>
      </c>
      <c r="F1824" s="278" t="s">
        <v>4109</v>
      </c>
      <c r="G1824" s="278" t="s">
        <v>4108</v>
      </c>
      <c r="H1824" s="306" t="s">
        <v>11352</v>
      </c>
      <c r="I1824" s="269" t="s">
        <v>11353</v>
      </c>
      <c r="J1824" s="306" t="s">
        <v>10969</v>
      </c>
    </row>
    <row r="1825" spans="1:10" ht="14.5" customHeight="1" x14ac:dyDescent="0.25">
      <c r="A1825" s="278" t="s">
        <v>3705</v>
      </c>
      <c r="B1825" s="278" t="s">
        <v>10904</v>
      </c>
      <c r="C1825" s="278" t="s">
        <v>10760</v>
      </c>
      <c r="D1825" s="279" t="s">
        <v>10761</v>
      </c>
      <c r="E1825" s="306" t="s">
        <v>10969</v>
      </c>
      <c r="F1825" s="278" t="s">
        <v>4109</v>
      </c>
      <c r="G1825" s="278" t="s">
        <v>4108</v>
      </c>
      <c r="H1825" s="306" t="s">
        <v>11226</v>
      </c>
      <c r="I1825" s="269" t="s">
        <v>11227</v>
      </c>
      <c r="J1825" s="306" t="s">
        <v>10969</v>
      </c>
    </row>
    <row r="1826" spans="1:10" ht="14.5" customHeight="1" x14ac:dyDescent="0.25">
      <c r="A1826" s="278" t="s">
        <v>3705</v>
      </c>
      <c r="B1826" s="278" t="s">
        <v>10904</v>
      </c>
      <c r="C1826" s="278" t="s">
        <v>10762</v>
      </c>
      <c r="D1826" s="279" t="s">
        <v>10763</v>
      </c>
      <c r="E1826" s="306" t="s">
        <v>10969</v>
      </c>
      <c r="F1826" s="278" t="s">
        <v>4109</v>
      </c>
      <c r="G1826" s="278" t="s">
        <v>4108</v>
      </c>
      <c r="H1826" s="306" t="s">
        <v>11350</v>
      </c>
      <c r="I1826" s="269" t="s">
        <v>11351</v>
      </c>
      <c r="J1826" s="306" t="s">
        <v>10969</v>
      </c>
    </row>
    <row r="1827" spans="1:10" ht="14.5" customHeight="1" x14ac:dyDescent="0.25">
      <c r="A1827" s="278" t="s">
        <v>3705</v>
      </c>
      <c r="B1827" s="278" t="s">
        <v>10904</v>
      </c>
      <c r="C1827" s="278" t="s">
        <v>10762</v>
      </c>
      <c r="D1827" s="279" t="s">
        <v>10763</v>
      </c>
      <c r="E1827" s="306" t="s">
        <v>10969</v>
      </c>
      <c r="F1827" s="278" t="s">
        <v>4109</v>
      </c>
      <c r="G1827" s="278" t="s">
        <v>4108</v>
      </c>
      <c r="H1827" s="306" t="s">
        <v>11352</v>
      </c>
      <c r="I1827" s="269" t="s">
        <v>11353</v>
      </c>
      <c r="J1827" s="306" t="s">
        <v>10969</v>
      </c>
    </row>
    <row r="1828" spans="1:10" ht="14.5" customHeight="1" x14ac:dyDescent="0.25">
      <c r="A1828" s="278" t="s">
        <v>3705</v>
      </c>
      <c r="B1828" s="278" t="s">
        <v>10904</v>
      </c>
      <c r="C1828" s="278" t="s">
        <v>10762</v>
      </c>
      <c r="D1828" s="279" t="s">
        <v>10763</v>
      </c>
      <c r="E1828" s="306" t="s">
        <v>10969</v>
      </c>
      <c r="F1828" s="278" t="s">
        <v>4109</v>
      </c>
      <c r="G1828" s="278" t="s">
        <v>4108</v>
      </c>
      <c r="H1828" s="306" t="s">
        <v>11226</v>
      </c>
      <c r="I1828" s="269" t="s">
        <v>11227</v>
      </c>
      <c r="J1828" s="306" t="s">
        <v>10969</v>
      </c>
    </row>
    <row r="1829" spans="1:10" ht="14.5" customHeight="1" x14ac:dyDescent="0.25">
      <c r="A1829" s="278" t="s">
        <v>3705</v>
      </c>
      <c r="B1829" s="278" t="s">
        <v>10904</v>
      </c>
      <c r="C1829" s="278" t="s">
        <v>10764</v>
      </c>
      <c r="D1829" s="279" t="s">
        <v>10765</v>
      </c>
      <c r="E1829" s="306" t="s">
        <v>10969</v>
      </c>
      <c r="F1829" s="278" t="s">
        <v>4109</v>
      </c>
      <c r="G1829" s="278" t="s">
        <v>4108</v>
      </c>
      <c r="H1829" s="306" t="s">
        <v>11350</v>
      </c>
      <c r="I1829" s="269" t="s">
        <v>11351</v>
      </c>
      <c r="J1829" s="306" t="s">
        <v>10969</v>
      </c>
    </row>
    <row r="1830" spans="1:10" ht="14.5" customHeight="1" x14ac:dyDescent="0.25">
      <c r="A1830" s="278" t="s">
        <v>3705</v>
      </c>
      <c r="B1830" s="278" t="s">
        <v>10904</v>
      </c>
      <c r="C1830" s="278" t="s">
        <v>10764</v>
      </c>
      <c r="D1830" s="279" t="s">
        <v>10765</v>
      </c>
      <c r="E1830" s="306" t="s">
        <v>10969</v>
      </c>
      <c r="F1830" s="278" t="s">
        <v>4109</v>
      </c>
      <c r="G1830" s="278" t="s">
        <v>4108</v>
      </c>
      <c r="H1830" s="306" t="s">
        <v>11352</v>
      </c>
      <c r="I1830" s="269" t="s">
        <v>11353</v>
      </c>
      <c r="J1830" s="306" t="s">
        <v>10969</v>
      </c>
    </row>
    <row r="1831" spans="1:10" ht="14.5" customHeight="1" x14ac:dyDescent="0.25">
      <c r="A1831" s="278" t="s">
        <v>3705</v>
      </c>
      <c r="B1831" s="278" t="s">
        <v>10904</v>
      </c>
      <c r="C1831" s="278" t="s">
        <v>10764</v>
      </c>
      <c r="D1831" s="279" t="s">
        <v>10765</v>
      </c>
      <c r="E1831" s="306" t="s">
        <v>10969</v>
      </c>
      <c r="F1831" s="278" t="s">
        <v>4109</v>
      </c>
      <c r="G1831" s="278" t="s">
        <v>4108</v>
      </c>
      <c r="H1831" s="306" t="s">
        <v>11226</v>
      </c>
      <c r="I1831" s="269" t="s">
        <v>11227</v>
      </c>
      <c r="J1831" s="306" t="s">
        <v>10969</v>
      </c>
    </row>
    <row r="1832" spans="1:10" ht="14.5" customHeight="1" x14ac:dyDescent="0.25">
      <c r="A1832" s="278" t="s">
        <v>3705</v>
      </c>
      <c r="B1832" s="278" t="s">
        <v>10904</v>
      </c>
      <c r="C1832" s="278" t="s">
        <v>10766</v>
      </c>
      <c r="D1832" s="279" t="s">
        <v>10767</v>
      </c>
      <c r="E1832" s="306" t="s">
        <v>10969</v>
      </c>
      <c r="F1832" s="278" t="s">
        <v>4109</v>
      </c>
      <c r="G1832" s="278" t="s">
        <v>4109</v>
      </c>
      <c r="H1832" s="306" t="s">
        <v>11350</v>
      </c>
      <c r="I1832" s="269" t="s">
        <v>11351</v>
      </c>
      <c r="J1832" s="306" t="s">
        <v>10969</v>
      </c>
    </row>
    <row r="1833" spans="1:10" ht="14.5" customHeight="1" x14ac:dyDescent="0.25">
      <c r="A1833" s="278" t="s">
        <v>3705</v>
      </c>
      <c r="B1833" s="278" t="s">
        <v>10904</v>
      </c>
      <c r="C1833" s="278" t="s">
        <v>10766</v>
      </c>
      <c r="D1833" s="279" t="s">
        <v>10767</v>
      </c>
      <c r="E1833" s="306" t="s">
        <v>10969</v>
      </c>
      <c r="F1833" s="278" t="s">
        <v>4109</v>
      </c>
      <c r="G1833" s="278" t="s">
        <v>4109</v>
      </c>
      <c r="H1833" s="306" t="s">
        <v>11352</v>
      </c>
      <c r="I1833" s="269" t="s">
        <v>11353</v>
      </c>
      <c r="J1833" s="306" t="s">
        <v>10969</v>
      </c>
    </row>
    <row r="1834" spans="1:10" ht="14.5" customHeight="1" x14ac:dyDescent="0.25">
      <c r="A1834" s="278" t="s">
        <v>3705</v>
      </c>
      <c r="B1834" s="278" t="s">
        <v>10904</v>
      </c>
      <c r="C1834" s="278" t="s">
        <v>10766</v>
      </c>
      <c r="D1834" s="279" t="s">
        <v>10767</v>
      </c>
      <c r="E1834" s="306" t="s">
        <v>10969</v>
      </c>
      <c r="F1834" s="278" t="s">
        <v>4109</v>
      </c>
      <c r="G1834" s="278" t="s">
        <v>4109</v>
      </c>
      <c r="H1834" s="306" t="s">
        <v>11226</v>
      </c>
      <c r="I1834" s="269" t="s">
        <v>11227</v>
      </c>
      <c r="J1834" s="306" t="s">
        <v>10969</v>
      </c>
    </row>
    <row r="1835" spans="1:10" ht="14.5" customHeight="1" x14ac:dyDescent="0.25">
      <c r="A1835" s="278" t="s">
        <v>3705</v>
      </c>
      <c r="B1835" s="278" t="s">
        <v>10904</v>
      </c>
      <c r="C1835" s="278" t="s">
        <v>10768</v>
      </c>
      <c r="D1835" s="279" t="s">
        <v>10769</v>
      </c>
      <c r="E1835" s="306" t="s">
        <v>10969</v>
      </c>
      <c r="F1835" s="278" t="s">
        <v>4109</v>
      </c>
      <c r="G1835" s="278" t="s">
        <v>4109</v>
      </c>
      <c r="H1835" s="306" t="s">
        <v>11350</v>
      </c>
      <c r="I1835" s="269" t="s">
        <v>11351</v>
      </c>
      <c r="J1835" s="306" t="s">
        <v>10969</v>
      </c>
    </row>
    <row r="1836" spans="1:10" ht="14.5" customHeight="1" x14ac:dyDescent="0.25">
      <c r="A1836" s="278" t="s">
        <v>3705</v>
      </c>
      <c r="B1836" s="278" t="s">
        <v>10904</v>
      </c>
      <c r="C1836" s="278" t="s">
        <v>10768</v>
      </c>
      <c r="D1836" s="279" t="s">
        <v>10769</v>
      </c>
      <c r="E1836" s="306" t="s">
        <v>10969</v>
      </c>
      <c r="F1836" s="278" t="s">
        <v>4109</v>
      </c>
      <c r="G1836" s="278" t="s">
        <v>4109</v>
      </c>
      <c r="H1836" s="306" t="s">
        <v>11352</v>
      </c>
      <c r="I1836" s="269" t="s">
        <v>11353</v>
      </c>
      <c r="J1836" s="306" t="s">
        <v>10969</v>
      </c>
    </row>
    <row r="1837" spans="1:10" ht="14.5" customHeight="1" x14ac:dyDescent="0.25">
      <c r="A1837" s="278" t="s">
        <v>3705</v>
      </c>
      <c r="B1837" s="278" t="s">
        <v>10904</v>
      </c>
      <c r="C1837" s="278" t="s">
        <v>10768</v>
      </c>
      <c r="D1837" s="279" t="s">
        <v>10769</v>
      </c>
      <c r="E1837" s="306" t="s">
        <v>10969</v>
      </c>
      <c r="F1837" s="278" t="s">
        <v>4109</v>
      </c>
      <c r="G1837" s="278" t="s">
        <v>4109</v>
      </c>
      <c r="H1837" s="306" t="s">
        <v>11226</v>
      </c>
      <c r="I1837" s="269" t="s">
        <v>11227</v>
      </c>
      <c r="J1837" s="306" t="s">
        <v>10969</v>
      </c>
    </row>
    <row r="1838" spans="1:10" ht="14.5" customHeight="1" x14ac:dyDescent="0.25">
      <c r="A1838" s="278" t="s">
        <v>3705</v>
      </c>
      <c r="B1838" s="278" t="s">
        <v>10904</v>
      </c>
      <c r="C1838" s="278" t="s">
        <v>10770</v>
      </c>
      <c r="D1838" s="279" t="s">
        <v>10771</v>
      </c>
      <c r="E1838" s="306" t="s">
        <v>10969</v>
      </c>
      <c r="F1838" s="278" t="s">
        <v>4109</v>
      </c>
      <c r="G1838" s="278" t="s">
        <v>4108</v>
      </c>
      <c r="H1838" s="306" t="s">
        <v>11350</v>
      </c>
      <c r="I1838" s="269" t="s">
        <v>11351</v>
      </c>
      <c r="J1838" s="306" t="s">
        <v>10969</v>
      </c>
    </row>
    <row r="1839" spans="1:10" ht="14.5" customHeight="1" x14ac:dyDescent="0.25">
      <c r="A1839" s="278" t="s">
        <v>3705</v>
      </c>
      <c r="B1839" s="278" t="s">
        <v>10904</v>
      </c>
      <c r="C1839" s="278" t="s">
        <v>10770</v>
      </c>
      <c r="D1839" s="279" t="s">
        <v>10771</v>
      </c>
      <c r="E1839" s="306" t="s">
        <v>10969</v>
      </c>
      <c r="F1839" s="278" t="s">
        <v>4109</v>
      </c>
      <c r="G1839" s="278" t="s">
        <v>4108</v>
      </c>
      <c r="H1839" s="306" t="s">
        <v>11352</v>
      </c>
      <c r="I1839" s="269" t="s">
        <v>11353</v>
      </c>
      <c r="J1839" s="306" t="s">
        <v>10969</v>
      </c>
    </row>
    <row r="1840" spans="1:10" ht="14.5" customHeight="1" x14ac:dyDescent="0.25">
      <c r="A1840" s="278" t="s">
        <v>3705</v>
      </c>
      <c r="B1840" s="278" t="s">
        <v>10904</v>
      </c>
      <c r="C1840" s="278" t="s">
        <v>10770</v>
      </c>
      <c r="D1840" s="279" t="s">
        <v>10771</v>
      </c>
      <c r="E1840" s="306" t="s">
        <v>10969</v>
      </c>
      <c r="F1840" s="278" t="s">
        <v>4109</v>
      </c>
      <c r="G1840" s="278" t="s">
        <v>4108</v>
      </c>
      <c r="H1840" s="306" t="s">
        <v>11226</v>
      </c>
      <c r="I1840" s="269" t="s">
        <v>11227</v>
      </c>
      <c r="J1840" s="306" t="s">
        <v>10969</v>
      </c>
    </row>
    <row r="1841" spans="1:10" ht="14.5" customHeight="1" x14ac:dyDescent="0.25">
      <c r="A1841" s="278" t="s">
        <v>3705</v>
      </c>
      <c r="B1841" s="278" t="s">
        <v>10904</v>
      </c>
      <c r="C1841" s="278" t="s">
        <v>10772</v>
      </c>
      <c r="D1841" s="279" t="s">
        <v>10773</v>
      </c>
      <c r="E1841" s="306" t="s">
        <v>10969</v>
      </c>
      <c r="F1841" s="278" t="s">
        <v>4109</v>
      </c>
      <c r="G1841" s="278" t="s">
        <v>4108</v>
      </c>
      <c r="H1841" s="306" t="s">
        <v>11226</v>
      </c>
      <c r="I1841" s="269" t="s">
        <v>11227</v>
      </c>
      <c r="J1841" s="306" t="s">
        <v>10969</v>
      </c>
    </row>
    <row r="1842" spans="1:10" ht="14.5" customHeight="1" x14ac:dyDescent="0.25">
      <c r="A1842" s="278" t="s">
        <v>3705</v>
      </c>
      <c r="B1842" s="278" t="s">
        <v>10904</v>
      </c>
      <c r="C1842" s="278" t="s">
        <v>10774</v>
      </c>
      <c r="D1842" s="279" t="s">
        <v>10775</v>
      </c>
      <c r="E1842" s="306" t="s">
        <v>10969</v>
      </c>
      <c r="F1842" s="278" t="s">
        <v>4109</v>
      </c>
      <c r="G1842" s="278" t="s">
        <v>4108</v>
      </c>
      <c r="H1842" s="306" t="s">
        <v>11295</v>
      </c>
      <c r="I1842" s="269" t="s">
        <v>11296</v>
      </c>
      <c r="J1842" s="306" t="s">
        <v>10969</v>
      </c>
    </row>
    <row r="1843" spans="1:10" ht="14.5" customHeight="1" x14ac:dyDescent="0.25">
      <c r="A1843" s="278" t="s">
        <v>3705</v>
      </c>
      <c r="B1843" s="278" t="s">
        <v>10904</v>
      </c>
      <c r="C1843" s="278" t="s">
        <v>10774</v>
      </c>
      <c r="D1843" s="279" t="s">
        <v>10775</v>
      </c>
      <c r="E1843" s="306" t="s">
        <v>10969</v>
      </c>
      <c r="F1843" s="278" t="s">
        <v>4109</v>
      </c>
      <c r="G1843" s="278" t="s">
        <v>4108</v>
      </c>
      <c r="H1843" s="306" t="s">
        <v>11352</v>
      </c>
      <c r="I1843" s="269" t="s">
        <v>11353</v>
      </c>
      <c r="J1843" s="306" t="s">
        <v>10969</v>
      </c>
    </row>
    <row r="1844" spans="1:10" ht="14.5" customHeight="1" x14ac:dyDescent="0.25">
      <c r="A1844" s="278" t="s">
        <v>3705</v>
      </c>
      <c r="B1844" s="278" t="s">
        <v>10904</v>
      </c>
      <c r="C1844" s="278" t="s">
        <v>10774</v>
      </c>
      <c r="D1844" s="279" t="s">
        <v>10775</v>
      </c>
      <c r="E1844" s="306" t="s">
        <v>10969</v>
      </c>
      <c r="F1844" s="278" t="s">
        <v>4109</v>
      </c>
      <c r="G1844" s="278" t="s">
        <v>4108</v>
      </c>
      <c r="H1844" s="306" t="s">
        <v>11226</v>
      </c>
      <c r="I1844" s="269" t="s">
        <v>11227</v>
      </c>
      <c r="J1844" s="306" t="s">
        <v>10969</v>
      </c>
    </row>
    <row r="1845" spans="1:10" ht="14.5" customHeight="1" x14ac:dyDescent="0.25">
      <c r="A1845" s="278" t="s">
        <v>3705</v>
      </c>
      <c r="B1845" s="278" t="s">
        <v>10904</v>
      </c>
      <c r="C1845" s="278" t="s">
        <v>10776</v>
      </c>
      <c r="D1845" s="279" t="s">
        <v>10777</v>
      </c>
      <c r="E1845" s="306" t="s">
        <v>10969</v>
      </c>
      <c r="F1845" s="278" t="s">
        <v>4109</v>
      </c>
      <c r="G1845" s="278" t="s">
        <v>4108</v>
      </c>
      <c r="H1845" s="306" t="s">
        <v>11350</v>
      </c>
      <c r="I1845" s="269" t="s">
        <v>11351</v>
      </c>
      <c r="J1845" s="306" t="s">
        <v>10969</v>
      </c>
    </row>
    <row r="1846" spans="1:10" ht="14.5" customHeight="1" x14ac:dyDescent="0.25">
      <c r="A1846" s="278" t="s">
        <v>3705</v>
      </c>
      <c r="B1846" s="278" t="s">
        <v>10904</v>
      </c>
      <c r="C1846" s="278" t="s">
        <v>10776</v>
      </c>
      <c r="D1846" s="279" t="s">
        <v>10777</v>
      </c>
      <c r="E1846" s="306" t="s">
        <v>10969</v>
      </c>
      <c r="F1846" s="278" t="s">
        <v>4109</v>
      </c>
      <c r="G1846" s="278" t="s">
        <v>4108</v>
      </c>
      <c r="H1846" s="306" t="s">
        <v>11352</v>
      </c>
      <c r="I1846" s="269" t="s">
        <v>11353</v>
      </c>
      <c r="J1846" s="306" t="s">
        <v>10969</v>
      </c>
    </row>
    <row r="1847" spans="1:10" ht="14.5" customHeight="1" x14ac:dyDescent="0.25">
      <c r="A1847" s="278" t="s">
        <v>3705</v>
      </c>
      <c r="B1847" s="278" t="s">
        <v>10904</v>
      </c>
      <c r="C1847" s="278" t="s">
        <v>10776</v>
      </c>
      <c r="D1847" s="279" t="s">
        <v>10777</v>
      </c>
      <c r="E1847" s="306" t="s">
        <v>10969</v>
      </c>
      <c r="F1847" s="278" t="s">
        <v>4109</v>
      </c>
      <c r="G1847" s="278" t="s">
        <v>4108</v>
      </c>
      <c r="H1847" s="306" t="s">
        <v>11226</v>
      </c>
      <c r="I1847" s="269" t="s">
        <v>11227</v>
      </c>
      <c r="J1847" s="306" t="s">
        <v>10969</v>
      </c>
    </row>
    <row r="1848" spans="1:10" ht="14.5" customHeight="1" x14ac:dyDescent="0.25">
      <c r="A1848" s="278" t="s">
        <v>3705</v>
      </c>
      <c r="B1848" s="278" t="s">
        <v>10904</v>
      </c>
      <c r="C1848" s="278" t="s">
        <v>10778</v>
      </c>
      <c r="D1848" s="279" t="s">
        <v>10779</v>
      </c>
      <c r="E1848" s="306" t="s">
        <v>10969</v>
      </c>
      <c r="F1848" s="278" t="s">
        <v>4109</v>
      </c>
      <c r="G1848" s="278" t="s">
        <v>4108</v>
      </c>
      <c r="H1848" s="306" t="s">
        <v>11350</v>
      </c>
      <c r="I1848" s="269" t="s">
        <v>11351</v>
      </c>
      <c r="J1848" s="306" t="s">
        <v>10969</v>
      </c>
    </row>
    <row r="1849" spans="1:10" ht="14.5" customHeight="1" x14ac:dyDescent="0.25">
      <c r="A1849" s="278" t="s">
        <v>3705</v>
      </c>
      <c r="B1849" s="278" t="s">
        <v>10904</v>
      </c>
      <c r="C1849" s="278" t="s">
        <v>10778</v>
      </c>
      <c r="D1849" s="279" t="s">
        <v>10779</v>
      </c>
      <c r="E1849" s="306" t="s">
        <v>10969</v>
      </c>
      <c r="F1849" s="278" t="s">
        <v>4109</v>
      </c>
      <c r="G1849" s="278" t="s">
        <v>4108</v>
      </c>
      <c r="H1849" s="306" t="s">
        <v>11352</v>
      </c>
      <c r="I1849" s="269" t="s">
        <v>11353</v>
      </c>
      <c r="J1849" s="306" t="s">
        <v>10969</v>
      </c>
    </row>
    <row r="1850" spans="1:10" ht="14.5" customHeight="1" x14ac:dyDescent="0.25">
      <c r="A1850" s="278" t="s">
        <v>3705</v>
      </c>
      <c r="B1850" s="278" t="s">
        <v>10904</v>
      </c>
      <c r="C1850" s="278" t="s">
        <v>10778</v>
      </c>
      <c r="D1850" s="279" t="s">
        <v>10779</v>
      </c>
      <c r="E1850" s="306" t="s">
        <v>10969</v>
      </c>
      <c r="F1850" s="278" t="s">
        <v>4109</v>
      </c>
      <c r="G1850" s="278" t="s">
        <v>4108</v>
      </c>
      <c r="H1850" s="306" t="s">
        <v>11226</v>
      </c>
      <c r="I1850" s="269" t="s">
        <v>11227</v>
      </c>
      <c r="J1850" s="306" t="s">
        <v>10969</v>
      </c>
    </row>
    <row r="1851" spans="1:10" ht="14.5" customHeight="1" x14ac:dyDescent="0.25">
      <c r="A1851" s="278" t="s">
        <v>3705</v>
      </c>
      <c r="B1851" s="278" t="s">
        <v>10904</v>
      </c>
      <c r="C1851" s="278" t="s">
        <v>10780</v>
      </c>
      <c r="D1851" s="279" t="s">
        <v>10781</v>
      </c>
      <c r="E1851" s="306" t="s">
        <v>10969</v>
      </c>
      <c r="F1851" s="278" t="s">
        <v>4109</v>
      </c>
      <c r="G1851" s="278" t="s">
        <v>4108</v>
      </c>
      <c r="H1851" s="306" t="s">
        <v>11350</v>
      </c>
      <c r="I1851" s="269" t="s">
        <v>11351</v>
      </c>
      <c r="J1851" s="306" t="s">
        <v>10969</v>
      </c>
    </row>
    <row r="1852" spans="1:10" ht="14.5" customHeight="1" x14ac:dyDescent="0.25">
      <c r="A1852" s="278" t="s">
        <v>3705</v>
      </c>
      <c r="B1852" s="278" t="s">
        <v>10904</v>
      </c>
      <c r="C1852" s="278" t="s">
        <v>10780</v>
      </c>
      <c r="D1852" s="279" t="s">
        <v>10781</v>
      </c>
      <c r="E1852" s="306" t="s">
        <v>10969</v>
      </c>
      <c r="F1852" s="278" t="s">
        <v>4109</v>
      </c>
      <c r="G1852" s="278" t="s">
        <v>4108</v>
      </c>
      <c r="H1852" s="306" t="s">
        <v>11352</v>
      </c>
      <c r="I1852" s="269" t="s">
        <v>11353</v>
      </c>
      <c r="J1852" s="306" t="s">
        <v>10969</v>
      </c>
    </row>
    <row r="1853" spans="1:10" ht="14.5" customHeight="1" x14ac:dyDescent="0.25">
      <c r="A1853" s="278" t="s">
        <v>3705</v>
      </c>
      <c r="B1853" s="278" t="s">
        <v>10904</v>
      </c>
      <c r="C1853" s="278" t="s">
        <v>10780</v>
      </c>
      <c r="D1853" s="279" t="s">
        <v>10781</v>
      </c>
      <c r="E1853" s="306" t="s">
        <v>10969</v>
      </c>
      <c r="F1853" s="278" t="s">
        <v>4109</v>
      </c>
      <c r="G1853" s="278" t="s">
        <v>4108</v>
      </c>
      <c r="H1853" s="306" t="s">
        <v>11226</v>
      </c>
      <c r="I1853" s="269" t="s">
        <v>11227</v>
      </c>
      <c r="J1853" s="306" t="s">
        <v>10969</v>
      </c>
    </row>
    <row r="1854" spans="1:10" ht="14.5" customHeight="1" x14ac:dyDescent="0.25">
      <c r="A1854" s="278" t="s">
        <v>3705</v>
      </c>
      <c r="B1854" s="278" t="s">
        <v>10904</v>
      </c>
      <c r="C1854" s="278" t="s">
        <v>10783</v>
      </c>
      <c r="D1854" s="279" t="s">
        <v>10784</v>
      </c>
      <c r="E1854" s="306" t="s">
        <v>10969</v>
      </c>
      <c r="F1854" s="278" t="s">
        <v>4109</v>
      </c>
      <c r="G1854" s="278" t="s">
        <v>4108</v>
      </c>
      <c r="H1854" s="306" t="s">
        <v>11350</v>
      </c>
      <c r="I1854" s="269" t="s">
        <v>11351</v>
      </c>
      <c r="J1854" s="306" t="s">
        <v>10969</v>
      </c>
    </row>
    <row r="1855" spans="1:10" ht="14.5" customHeight="1" x14ac:dyDescent="0.25">
      <c r="A1855" s="278" t="s">
        <v>3705</v>
      </c>
      <c r="B1855" s="278" t="s">
        <v>10904</v>
      </c>
      <c r="C1855" s="278" t="s">
        <v>10783</v>
      </c>
      <c r="D1855" s="279" t="s">
        <v>10784</v>
      </c>
      <c r="E1855" s="306" t="s">
        <v>10969</v>
      </c>
      <c r="F1855" s="278" t="s">
        <v>4109</v>
      </c>
      <c r="G1855" s="278" t="s">
        <v>4108</v>
      </c>
      <c r="H1855" s="306" t="s">
        <v>11352</v>
      </c>
      <c r="I1855" s="269" t="s">
        <v>11353</v>
      </c>
      <c r="J1855" s="306" t="s">
        <v>10969</v>
      </c>
    </row>
    <row r="1856" spans="1:10" ht="14.5" customHeight="1" x14ac:dyDescent="0.25">
      <c r="A1856" s="278" t="s">
        <v>3705</v>
      </c>
      <c r="B1856" s="278" t="s">
        <v>10904</v>
      </c>
      <c r="C1856" s="278" t="s">
        <v>10783</v>
      </c>
      <c r="D1856" s="279" t="s">
        <v>10784</v>
      </c>
      <c r="E1856" s="306" t="s">
        <v>10969</v>
      </c>
      <c r="F1856" s="278" t="s">
        <v>4109</v>
      </c>
      <c r="G1856" s="278" t="s">
        <v>4108</v>
      </c>
      <c r="H1856" s="306" t="s">
        <v>11226</v>
      </c>
      <c r="I1856" s="269" t="s">
        <v>11227</v>
      </c>
      <c r="J1856" s="306" t="s">
        <v>10969</v>
      </c>
    </row>
    <row r="1857" spans="1:10" ht="14.5" customHeight="1" x14ac:dyDescent="0.25">
      <c r="A1857" s="278" t="s">
        <v>3705</v>
      </c>
      <c r="B1857" s="278" t="s">
        <v>10904</v>
      </c>
      <c r="C1857" s="278" t="s">
        <v>10785</v>
      </c>
      <c r="D1857" s="279" t="s">
        <v>10786</v>
      </c>
      <c r="E1857" s="306" t="s">
        <v>10969</v>
      </c>
      <c r="F1857" s="278" t="s">
        <v>4109</v>
      </c>
      <c r="G1857" s="278" t="s">
        <v>4108</v>
      </c>
      <c r="H1857" s="306" t="s">
        <v>11350</v>
      </c>
      <c r="I1857" s="269" t="s">
        <v>11351</v>
      </c>
      <c r="J1857" s="306" t="s">
        <v>10969</v>
      </c>
    </row>
    <row r="1858" spans="1:10" ht="14.5" customHeight="1" x14ac:dyDescent="0.25">
      <c r="A1858" s="278" t="s">
        <v>3705</v>
      </c>
      <c r="B1858" s="278" t="s">
        <v>10904</v>
      </c>
      <c r="C1858" s="278" t="s">
        <v>10785</v>
      </c>
      <c r="D1858" s="279" t="s">
        <v>10786</v>
      </c>
      <c r="E1858" s="306" t="s">
        <v>10969</v>
      </c>
      <c r="F1858" s="278" t="s">
        <v>4109</v>
      </c>
      <c r="G1858" s="278" t="s">
        <v>4108</v>
      </c>
      <c r="H1858" s="306" t="s">
        <v>11352</v>
      </c>
      <c r="I1858" s="269" t="s">
        <v>11353</v>
      </c>
      <c r="J1858" s="306" t="s">
        <v>10969</v>
      </c>
    </row>
    <row r="1859" spans="1:10" ht="14.5" customHeight="1" x14ac:dyDescent="0.25">
      <c r="A1859" s="278" t="s">
        <v>3705</v>
      </c>
      <c r="B1859" s="278" t="s">
        <v>10904</v>
      </c>
      <c r="C1859" s="278" t="s">
        <v>10785</v>
      </c>
      <c r="D1859" s="279" t="s">
        <v>10786</v>
      </c>
      <c r="E1859" s="306" t="s">
        <v>10969</v>
      </c>
      <c r="F1859" s="278" t="s">
        <v>4109</v>
      </c>
      <c r="G1859" s="278" t="s">
        <v>4108</v>
      </c>
      <c r="H1859" s="306" t="s">
        <v>11226</v>
      </c>
      <c r="I1859" s="269" t="s">
        <v>11227</v>
      </c>
      <c r="J1859" s="306" t="s">
        <v>10969</v>
      </c>
    </row>
    <row r="1860" spans="1:10" ht="14.5" customHeight="1" x14ac:dyDescent="0.25">
      <c r="A1860" s="278" t="s">
        <v>3705</v>
      </c>
      <c r="B1860" s="278" t="s">
        <v>10904</v>
      </c>
      <c r="C1860" s="278" t="s">
        <v>10787</v>
      </c>
      <c r="D1860" s="279" t="s">
        <v>10788</v>
      </c>
      <c r="E1860" s="306" t="s">
        <v>10969</v>
      </c>
      <c r="F1860" s="278" t="s">
        <v>4109</v>
      </c>
      <c r="G1860" s="278" t="s">
        <v>4108</v>
      </c>
      <c r="H1860" s="306" t="s">
        <v>11219</v>
      </c>
      <c r="I1860" s="269" t="s">
        <v>11220</v>
      </c>
      <c r="J1860" s="306" t="s">
        <v>10969</v>
      </c>
    </row>
    <row r="1861" spans="1:10" ht="14.5" customHeight="1" x14ac:dyDescent="0.25">
      <c r="A1861" s="278" t="s">
        <v>3705</v>
      </c>
      <c r="B1861" s="278" t="s">
        <v>10904</v>
      </c>
      <c r="C1861" s="278" t="s">
        <v>10787</v>
      </c>
      <c r="D1861" s="279" t="s">
        <v>10788</v>
      </c>
      <c r="E1861" s="306" t="s">
        <v>10969</v>
      </c>
      <c r="F1861" s="278" t="s">
        <v>4109</v>
      </c>
      <c r="G1861" s="278" t="s">
        <v>4108</v>
      </c>
      <c r="H1861" s="306" t="s">
        <v>11350</v>
      </c>
      <c r="I1861" s="269" t="s">
        <v>11351</v>
      </c>
      <c r="J1861" s="306" t="s">
        <v>10969</v>
      </c>
    </row>
    <row r="1862" spans="1:10" ht="14.5" customHeight="1" x14ac:dyDescent="0.25">
      <c r="A1862" s="278" t="s">
        <v>3705</v>
      </c>
      <c r="B1862" s="278" t="s">
        <v>10904</v>
      </c>
      <c r="C1862" s="278" t="s">
        <v>10787</v>
      </c>
      <c r="D1862" s="279" t="s">
        <v>10788</v>
      </c>
      <c r="E1862" s="306" t="s">
        <v>10969</v>
      </c>
      <c r="F1862" s="278" t="s">
        <v>4109</v>
      </c>
      <c r="G1862" s="278" t="s">
        <v>4108</v>
      </c>
      <c r="H1862" s="306" t="s">
        <v>11221</v>
      </c>
      <c r="I1862" s="269" t="s">
        <v>11222</v>
      </c>
      <c r="J1862" s="306" t="s">
        <v>10969</v>
      </c>
    </row>
    <row r="1863" spans="1:10" ht="14.5" customHeight="1" x14ac:dyDescent="0.25">
      <c r="A1863" s="278" t="s">
        <v>3705</v>
      </c>
      <c r="B1863" s="278" t="s">
        <v>10904</v>
      </c>
      <c r="C1863" s="278" t="s">
        <v>10787</v>
      </c>
      <c r="D1863" s="279" t="s">
        <v>10788</v>
      </c>
      <c r="E1863" s="306" t="s">
        <v>10969</v>
      </c>
      <c r="F1863" s="278" t="s">
        <v>4109</v>
      </c>
      <c r="G1863" s="278" t="s">
        <v>4108</v>
      </c>
      <c r="H1863" s="306" t="s">
        <v>11352</v>
      </c>
      <c r="I1863" s="269" t="s">
        <v>11353</v>
      </c>
      <c r="J1863" s="306" t="s">
        <v>10969</v>
      </c>
    </row>
    <row r="1864" spans="1:10" ht="14.5" customHeight="1" x14ac:dyDescent="0.25">
      <c r="A1864" s="278" t="s">
        <v>3705</v>
      </c>
      <c r="B1864" s="278" t="s">
        <v>10904</v>
      </c>
      <c r="C1864" s="278" t="s">
        <v>10787</v>
      </c>
      <c r="D1864" s="279" t="s">
        <v>10788</v>
      </c>
      <c r="E1864" s="306" t="s">
        <v>10969</v>
      </c>
      <c r="F1864" s="278" t="s">
        <v>4109</v>
      </c>
      <c r="G1864" s="278" t="s">
        <v>4108</v>
      </c>
      <c r="H1864" s="306" t="s">
        <v>11226</v>
      </c>
      <c r="I1864" s="269" t="s">
        <v>11227</v>
      </c>
      <c r="J1864" s="306" t="s">
        <v>10969</v>
      </c>
    </row>
    <row r="1865" spans="1:10" ht="14.5" customHeight="1" x14ac:dyDescent="0.25">
      <c r="A1865" s="278" t="s">
        <v>3705</v>
      </c>
      <c r="B1865" s="278" t="s">
        <v>10904</v>
      </c>
      <c r="C1865" s="278" t="s">
        <v>10789</v>
      </c>
      <c r="D1865" s="279" t="s">
        <v>10790</v>
      </c>
      <c r="E1865" s="306" t="s">
        <v>10969</v>
      </c>
      <c r="F1865" s="278" t="s">
        <v>4109</v>
      </c>
      <c r="G1865" s="278" t="s">
        <v>4108</v>
      </c>
      <c r="H1865" s="306" t="s">
        <v>11350</v>
      </c>
      <c r="I1865" s="269" t="s">
        <v>11351</v>
      </c>
      <c r="J1865" s="306" t="s">
        <v>10969</v>
      </c>
    </row>
    <row r="1866" spans="1:10" ht="14.5" customHeight="1" x14ac:dyDescent="0.25">
      <c r="A1866" s="278" t="s">
        <v>3705</v>
      </c>
      <c r="B1866" s="278" t="s">
        <v>10904</v>
      </c>
      <c r="C1866" s="278" t="s">
        <v>10789</v>
      </c>
      <c r="D1866" s="279" t="s">
        <v>10790</v>
      </c>
      <c r="E1866" s="306" t="s">
        <v>10969</v>
      </c>
      <c r="F1866" s="278" t="s">
        <v>4109</v>
      </c>
      <c r="G1866" s="278" t="s">
        <v>4108</v>
      </c>
      <c r="H1866" s="306" t="s">
        <v>11352</v>
      </c>
      <c r="I1866" s="269" t="s">
        <v>11353</v>
      </c>
      <c r="J1866" s="306" t="s">
        <v>10969</v>
      </c>
    </row>
    <row r="1867" spans="1:10" ht="14.5" customHeight="1" x14ac:dyDescent="0.25">
      <c r="A1867" s="278" t="s">
        <v>3705</v>
      </c>
      <c r="B1867" s="278" t="s">
        <v>10904</v>
      </c>
      <c r="C1867" s="278" t="s">
        <v>10789</v>
      </c>
      <c r="D1867" s="279" t="s">
        <v>10790</v>
      </c>
      <c r="E1867" s="306" t="s">
        <v>10969</v>
      </c>
      <c r="F1867" s="278" t="s">
        <v>4109</v>
      </c>
      <c r="G1867" s="278" t="s">
        <v>4108</v>
      </c>
      <c r="H1867" s="306" t="s">
        <v>11226</v>
      </c>
      <c r="I1867" s="269" t="s">
        <v>11227</v>
      </c>
      <c r="J1867" s="306" t="s">
        <v>10969</v>
      </c>
    </row>
    <row r="1868" spans="1:10" ht="14.5" customHeight="1" x14ac:dyDescent="0.25">
      <c r="A1868" s="278" t="s">
        <v>3705</v>
      </c>
      <c r="B1868" s="278" t="s">
        <v>10904</v>
      </c>
      <c r="C1868" s="278" t="s">
        <v>10791</v>
      </c>
      <c r="D1868" s="279" t="s">
        <v>10792</v>
      </c>
      <c r="E1868" s="306" t="s">
        <v>10969</v>
      </c>
      <c r="F1868" s="278" t="s">
        <v>4109</v>
      </c>
      <c r="G1868" s="278" t="s">
        <v>4108</v>
      </c>
      <c r="H1868" s="306" t="s">
        <v>11354</v>
      </c>
      <c r="I1868" s="269" t="s">
        <v>11355</v>
      </c>
      <c r="J1868" s="306" t="s">
        <v>10969</v>
      </c>
    </row>
    <row r="1869" spans="1:10" ht="14.5" customHeight="1" x14ac:dyDescent="0.25">
      <c r="A1869" s="278" t="s">
        <v>3705</v>
      </c>
      <c r="B1869" s="278" t="s">
        <v>10904</v>
      </c>
      <c r="C1869" s="278" t="s">
        <v>10791</v>
      </c>
      <c r="D1869" s="279" t="s">
        <v>10792</v>
      </c>
      <c r="E1869" s="306" t="s">
        <v>10969</v>
      </c>
      <c r="F1869" s="278" t="s">
        <v>4109</v>
      </c>
      <c r="G1869" s="278" t="s">
        <v>4108</v>
      </c>
      <c r="H1869" s="306" t="s">
        <v>11226</v>
      </c>
      <c r="I1869" s="269" t="s">
        <v>11227</v>
      </c>
      <c r="J1869" s="306" t="s">
        <v>10969</v>
      </c>
    </row>
    <row r="1870" spans="1:10" ht="14.5" customHeight="1" x14ac:dyDescent="0.25">
      <c r="A1870" s="278" t="s">
        <v>3705</v>
      </c>
      <c r="B1870" s="278" t="s">
        <v>10904</v>
      </c>
      <c r="C1870" s="278" t="s">
        <v>10793</v>
      </c>
      <c r="D1870" s="279" t="s">
        <v>10794</v>
      </c>
      <c r="E1870" s="306" t="s">
        <v>10969</v>
      </c>
      <c r="F1870" s="278" t="s">
        <v>4109</v>
      </c>
      <c r="G1870" s="278" t="s">
        <v>4108</v>
      </c>
      <c r="H1870" s="306" t="s">
        <v>11354</v>
      </c>
      <c r="I1870" s="269" t="s">
        <v>11355</v>
      </c>
      <c r="J1870" s="306" t="s">
        <v>10969</v>
      </c>
    </row>
    <row r="1871" spans="1:10" ht="14.5" customHeight="1" x14ac:dyDescent="0.25">
      <c r="A1871" s="278" t="s">
        <v>3705</v>
      </c>
      <c r="B1871" s="278" t="s">
        <v>10904</v>
      </c>
      <c r="C1871" s="278" t="s">
        <v>10795</v>
      </c>
      <c r="D1871" s="279" t="s">
        <v>10796</v>
      </c>
      <c r="E1871" s="306" t="s">
        <v>10969</v>
      </c>
      <c r="F1871" s="278" t="s">
        <v>4109</v>
      </c>
      <c r="G1871" s="278" t="s">
        <v>4108</v>
      </c>
      <c r="H1871" s="306" t="s">
        <v>11354</v>
      </c>
      <c r="I1871" s="269" t="s">
        <v>11355</v>
      </c>
      <c r="J1871" s="306" t="s">
        <v>10969</v>
      </c>
    </row>
    <row r="1872" spans="1:10" ht="14.5" customHeight="1" x14ac:dyDescent="0.25">
      <c r="A1872" s="278" t="s">
        <v>3705</v>
      </c>
      <c r="B1872" s="278" t="s">
        <v>10904</v>
      </c>
      <c r="C1872" s="278" t="s">
        <v>10797</v>
      </c>
      <c r="D1872" s="279" t="s">
        <v>10798</v>
      </c>
      <c r="E1872" s="306" t="s">
        <v>10969</v>
      </c>
      <c r="F1872" s="278" t="s">
        <v>4109</v>
      </c>
      <c r="G1872" s="278" t="s">
        <v>4109</v>
      </c>
      <c r="H1872" s="306" t="s">
        <v>11354</v>
      </c>
      <c r="I1872" s="269" t="s">
        <v>11355</v>
      </c>
      <c r="J1872" s="306" t="s">
        <v>10969</v>
      </c>
    </row>
    <row r="1873" spans="1:10" ht="14.5" customHeight="1" x14ac:dyDescent="0.25">
      <c r="A1873" s="278" t="s">
        <v>3705</v>
      </c>
      <c r="B1873" s="278" t="s">
        <v>10904</v>
      </c>
      <c r="C1873" s="278" t="s">
        <v>10797</v>
      </c>
      <c r="D1873" s="279" t="s">
        <v>10798</v>
      </c>
      <c r="E1873" s="306" t="s">
        <v>10969</v>
      </c>
      <c r="F1873" s="278" t="s">
        <v>4109</v>
      </c>
      <c r="G1873" s="278" t="s">
        <v>4109</v>
      </c>
      <c r="H1873" s="306" t="s">
        <v>11356</v>
      </c>
      <c r="I1873" s="269" t="s">
        <v>11357</v>
      </c>
      <c r="J1873" s="306" t="s">
        <v>10969</v>
      </c>
    </row>
    <row r="1874" spans="1:10" ht="14.5" customHeight="1" x14ac:dyDescent="0.25">
      <c r="A1874" s="278" t="s">
        <v>3705</v>
      </c>
      <c r="B1874" s="278" t="s">
        <v>10904</v>
      </c>
      <c r="C1874" s="278" t="s">
        <v>10797</v>
      </c>
      <c r="D1874" s="279" t="s">
        <v>10798</v>
      </c>
      <c r="E1874" s="306" t="s">
        <v>10969</v>
      </c>
      <c r="F1874" s="278" t="s">
        <v>4109</v>
      </c>
      <c r="G1874" s="278" t="s">
        <v>4109</v>
      </c>
      <c r="H1874" s="306" t="s">
        <v>11358</v>
      </c>
      <c r="I1874" s="269" t="s">
        <v>11359</v>
      </c>
      <c r="J1874" s="306" t="s">
        <v>10969</v>
      </c>
    </row>
    <row r="1875" spans="1:10" ht="14.5" customHeight="1" x14ac:dyDescent="0.25">
      <c r="A1875" s="278" t="s">
        <v>3705</v>
      </c>
      <c r="B1875" s="278" t="s">
        <v>10904</v>
      </c>
      <c r="C1875" s="278" t="s">
        <v>10799</v>
      </c>
      <c r="D1875" s="279" t="s">
        <v>10800</v>
      </c>
      <c r="E1875" s="306" t="s">
        <v>10969</v>
      </c>
      <c r="F1875" s="278" t="s">
        <v>4109</v>
      </c>
      <c r="G1875" s="278" t="s">
        <v>4108</v>
      </c>
      <c r="H1875" s="306" t="s">
        <v>11354</v>
      </c>
      <c r="I1875" s="269" t="s">
        <v>11355</v>
      </c>
      <c r="J1875" s="306" t="s">
        <v>10969</v>
      </c>
    </row>
    <row r="1876" spans="1:10" ht="14.5" customHeight="1" x14ac:dyDescent="0.25">
      <c r="A1876" s="278" t="s">
        <v>3705</v>
      </c>
      <c r="B1876" s="278" t="s">
        <v>10904</v>
      </c>
      <c r="C1876" s="278" t="s">
        <v>10799</v>
      </c>
      <c r="D1876" s="279" t="s">
        <v>10800</v>
      </c>
      <c r="E1876" s="306" t="s">
        <v>10969</v>
      </c>
      <c r="F1876" s="278" t="s">
        <v>4109</v>
      </c>
      <c r="G1876" s="278" t="s">
        <v>4108</v>
      </c>
      <c r="H1876" s="306" t="s">
        <v>11226</v>
      </c>
      <c r="I1876" s="269" t="s">
        <v>11227</v>
      </c>
      <c r="J1876" s="306" t="s">
        <v>10969</v>
      </c>
    </row>
    <row r="1877" spans="1:10" ht="14.5" customHeight="1" x14ac:dyDescent="0.25">
      <c r="A1877" s="278" t="s">
        <v>3705</v>
      </c>
      <c r="B1877" s="278" t="s">
        <v>10904</v>
      </c>
      <c r="C1877" s="278" t="s">
        <v>10801</v>
      </c>
      <c r="D1877" s="279" t="s">
        <v>10802</v>
      </c>
      <c r="E1877" s="306" t="s">
        <v>10969</v>
      </c>
      <c r="F1877" s="278" t="s">
        <v>4109</v>
      </c>
      <c r="G1877" s="278" t="s">
        <v>4108</v>
      </c>
      <c r="H1877" s="306" t="s">
        <v>11226</v>
      </c>
      <c r="I1877" s="269" t="s">
        <v>11227</v>
      </c>
      <c r="J1877" s="306" t="s">
        <v>10969</v>
      </c>
    </row>
    <row r="1878" spans="1:10" ht="14.5" customHeight="1" x14ac:dyDescent="0.25">
      <c r="A1878" s="278" t="s">
        <v>3705</v>
      </c>
      <c r="B1878" s="278" t="s">
        <v>10904</v>
      </c>
      <c r="C1878" s="278" t="s">
        <v>10803</v>
      </c>
      <c r="D1878" s="279" t="s">
        <v>10804</v>
      </c>
      <c r="E1878" s="306" t="s">
        <v>10969</v>
      </c>
      <c r="F1878" s="278" t="s">
        <v>4109</v>
      </c>
      <c r="G1878" s="278" t="s">
        <v>4108</v>
      </c>
      <c r="H1878" s="306" t="s">
        <v>11226</v>
      </c>
      <c r="I1878" s="269" t="s">
        <v>11227</v>
      </c>
      <c r="J1878" s="306" t="s">
        <v>10969</v>
      </c>
    </row>
    <row r="1879" spans="1:10" ht="14.5" customHeight="1" x14ac:dyDescent="0.25">
      <c r="A1879" s="278" t="s">
        <v>3705</v>
      </c>
      <c r="B1879" s="278" t="s">
        <v>10904</v>
      </c>
      <c r="C1879" s="278" t="s">
        <v>10805</v>
      </c>
      <c r="D1879" s="279" t="s">
        <v>10806</v>
      </c>
      <c r="E1879" s="306" t="s">
        <v>10969</v>
      </c>
      <c r="F1879" s="278" t="s">
        <v>4109</v>
      </c>
      <c r="G1879" s="278" t="s">
        <v>4108</v>
      </c>
      <c r="H1879" s="306" t="s">
        <v>11219</v>
      </c>
      <c r="I1879" s="269" t="s">
        <v>11220</v>
      </c>
      <c r="J1879" s="306" t="s">
        <v>10969</v>
      </c>
    </row>
    <row r="1880" spans="1:10" ht="14.5" customHeight="1" x14ac:dyDescent="0.25">
      <c r="A1880" s="278" t="s">
        <v>3705</v>
      </c>
      <c r="B1880" s="278" t="s">
        <v>10904</v>
      </c>
      <c r="C1880" s="278" t="s">
        <v>10805</v>
      </c>
      <c r="D1880" s="279" t="s">
        <v>10806</v>
      </c>
      <c r="E1880" s="306" t="s">
        <v>10969</v>
      </c>
      <c r="F1880" s="278" t="s">
        <v>4109</v>
      </c>
      <c r="G1880" s="278" t="s">
        <v>4108</v>
      </c>
      <c r="H1880" s="306" t="s">
        <v>11354</v>
      </c>
      <c r="I1880" s="269" t="s">
        <v>11355</v>
      </c>
      <c r="J1880" s="306" t="s">
        <v>10969</v>
      </c>
    </row>
    <row r="1881" spans="1:10" ht="14.5" customHeight="1" x14ac:dyDescent="0.25">
      <c r="A1881" s="278" t="s">
        <v>3705</v>
      </c>
      <c r="B1881" s="278" t="s">
        <v>10904</v>
      </c>
      <c r="C1881" s="278" t="s">
        <v>10805</v>
      </c>
      <c r="D1881" s="279" t="s">
        <v>10806</v>
      </c>
      <c r="E1881" s="306" t="s">
        <v>10969</v>
      </c>
      <c r="F1881" s="278" t="s">
        <v>4109</v>
      </c>
      <c r="G1881" s="278" t="s">
        <v>4108</v>
      </c>
      <c r="H1881" s="306" t="s">
        <v>11221</v>
      </c>
      <c r="I1881" s="269" t="s">
        <v>11222</v>
      </c>
      <c r="J1881" s="306" t="s">
        <v>10969</v>
      </c>
    </row>
    <row r="1882" spans="1:10" ht="14.5" customHeight="1" x14ac:dyDescent="0.25">
      <c r="A1882" s="278" t="s">
        <v>3705</v>
      </c>
      <c r="B1882" s="278" t="s">
        <v>10904</v>
      </c>
      <c r="C1882" s="278" t="s">
        <v>10807</v>
      </c>
      <c r="D1882" s="279" t="s">
        <v>10808</v>
      </c>
      <c r="E1882" s="306" t="s">
        <v>10969</v>
      </c>
      <c r="F1882" s="278" t="s">
        <v>4109</v>
      </c>
      <c r="G1882" s="278" t="s">
        <v>4108</v>
      </c>
      <c r="H1882" s="306" t="s">
        <v>11360</v>
      </c>
      <c r="I1882" s="269" t="s">
        <v>11361</v>
      </c>
      <c r="J1882" s="306" t="s">
        <v>10969</v>
      </c>
    </row>
    <row r="1883" spans="1:10" ht="14.5" customHeight="1" x14ac:dyDescent="0.25">
      <c r="A1883" s="278" t="s">
        <v>3705</v>
      </c>
      <c r="B1883" s="278" t="s">
        <v>10904</v>
      </c>
      <c r="C1883" s="278" t="s">
        <v>10807</v>
      </c>
      <c r="D1883" s="279" t="s">
        <v>10808</v>
      </c>
      <c r="E1883" s="306" t="s">
        <v>10969</v>
      </c>
      <c r="F1883" s="278" t="s">
        <v>4109</v>
      </c>
      <c r="G1883" s="278" t="s">
        <v>4108</v>
      </c>
      <c r="H1883" s="306" t="s">
        <v>11283</v>
      </c>
      <c r="I1883" s="269" t="s">
        <v>11284</v>
      </c>
      <c r="J1883" s="306" t="s">
        <v>10969</v>
      </c>
    </row>
    <row r="1884" spans="1:10" ht="14.5" customHeight="1" x14ac:dyDescent="0.25">
      <c r="A1884" s="278" t="s">
        <v>3705</v>
      </c>
      <c r="B1884" s="278" t="s">
        <v>10904</v>
      </c>
      <c r="C1884" s="278" t="s">
        <v>10807</v>
      </c>
      <c r="D1884" s="279" t="s">
        <v>10808</v>
      </c>
      <c r="E1884" s="306" t="s">
        <v>10969</v>
      </c>
      <c r="F1884" s="278" t="s">
        <v>4109</v>
      </c>
      <c r="G1884" s="278" t="s">
        <v>4108</v>
      </c>
      <c r="H1884" s="306" t="s">
        <v>11337</v>
      </c>
      <c r="I1884" s="269" t="s">
        <v>11338</v>
      </c>
      <c r="J1884" s="306" t="s">
        <v>10969</v>
      </c>
    </row>
    <row r="1885" spans="1:10" ht="14.5" customHeight="1" x14ac:dyDescent="0.25">
      <c r="A1885" s="278" t="s">
        <v>3705</v>
      </c>
      <c r="B1885" s="278" t="s">
        <v>10904</v>
      </c>
      <c r="C1885" s="278" t="s">
        <v>10807</v>
      </c>
      <c r="D1885" s="279" t="s">
        <v>10808</v>
      </c>
      <c r="E1885" s="306" t="s">
        <v>10969</v>
      </c>
      <c r="F1885" s="278" t="s">
        <v>4109</v>
      </c>
      <c r="G1885" s="278" t="s">
        <v>4108</v>
      </c>
      <c r="H1885" s="306" t="s">
        <v>11276</v>
      </c>
      <c r="I1885" s="269" t="s">
        <v>11277</v>
      </c>
      <c r="J1885" s="306" t="s">
        <v>10969</v>
      </c>
    </row>
    <row r="1886" spans="1:10" ht="14.5" customHeight="1" x14ac:dyDescent="0.25">
      <c r="A1886" s="278" t="s">
        <v>3705</v>
      </c>
      <c r="B1886" s="278" t="s">
        <v>10904</v>
      </c>
      <c r="C1886" s="278" t="s">
        <v>10807</v>
      </c>
      <c r="D1886" s="279" t="s">
        <v>10808</v>
      </c>
      <c r="E1886" s="306" t="s">
        <v>10969</v>
      </c>
      <c r="F1886" s="278" t="s">
        <v>4109</v>
      </c>
      <c r="G1886" s="278" t="s">
        <v>4108</v>
      </c>
      <c r="H1886" s="306" t="s">
        <v>11278</v>
      </c>
      <c r="I1886" s="269" t="s">
        <v>11279</v>
      </c>
      <c r="J1886" s="306" t="s">
        <v>10969</v>
      </c>
    </row>
    <row r="1887" spans="1:10" ht="14.5" customHeight="1" x14ac:dyDescent="0.25">
      <c r="A1887" s="278" t="s">
        <v>3705</v>
      </c>
      <c r="B1887" s="278" t="s">
        <v>10904</v>
      </c>
      <c r="C1887" s="278" t="s">
        <v>10807</v>
      </c>
      <c r="D1887" s="279" t="s">
        <v>10808</v>
      </c>
      <c r="E1887" s="306" t="s">
        <v>10969</v>
      </c>
      <c r="F1887" s="278" t="s">
        <v>4109</v>
      </c>
      <c r="G1887" s="278" t="s">
        <v>4108</v>
      </c>
      <c r="H1887" s="306" t="s">
        <v>11280</v>
      </c>
      <c r="I1887" s="269" t="s">
        <v>11279</v>
      </c>
      <c r="J1887" s="306" t="s">
        <v>10969</v>
      </c>
    </row>
    <row r="1888" spans="1:10" ht="14.5" customHeight="1" x14ac:dyDescent="0.25">
      <c r="A1888" s="278" t="s">
        <v>3705</v>
      </c>
      <c r="B1888" s="278" t="s">
        <v>10904</v>
      </c>
      <c r="C1888" s="278" t="s">
        <v>10807</v>
      </c>
      <c r="D1888" s="279" t="s">
        <v>10808</v>
      </c>
      <c r="E1888" s="306" t="s">
        <v>10969</v>
      </c>
      <c r="F1888" s="278" t="s">
        <v>4109</v>
      </c>
      <c r="G1888" s="278" t="s">
        <v>4108</v>
      </c>
      <c r="H1888" s="306" t="s">
        <v>11242</v>
      </c>
      <c r="I1888" s="269" t="s">
        <v>11243</v>
      </c>
      <c r="J1888" s="306" t="s">
        <v>10969</v>
      </c>
    </row>
    <row r="1889" spans="1:10" ht="14.5" customHeight="1" x14ac:dyDescent="0.25">
      <c r="A1889" s="278" t="s">
        <v>3705</v>
      </c>
      <c r="B1889" s="278" t="s">
        <v>10904</v>
      </c>
      <c r="C1889" s="278" t="s">
        <v>10807</v>
      </c>
      <c r="D1889" s="279" t="s">
        <v>10808</v>
      </c>
      <c r="E1889" s="306" t="s">
        <v>10969</v>
      </c>
      <c r="F1889" s="278" t="s">
        <v>4109</v>
      </c>
      <c r="G1889" s="278" t="s">
        <v>4108</v>
      </c>
      <c r="H1889" s="306" t="s">
        <v>11341</v>
      </c>
      <c r="I1889" s="269" t="s">
        <v>11342</v>
      </c>
      <c r="J1889" s="306" t="s">
        <v>10969</v>
      </c>
    </row>
    <row r="1890" spans="1:10" ht="14.5" customHeight="1" x14ac:dyDescent="0.25">
      <c r="A1890" s="278" t="s">
        <v>3705</v>
      </c>
      <c r="B1890" s="278" t="s">
        <v>10904</v>
      </c>
      <c r="C1890" s="278" t="s">
        <v>10807</v>
      </c>
      <c r="D1890" s="279" t="s">
        <v>10808</v>
      </c>
      <c r="E1890" s="306" t="s">
        <v>10969</v>
      </c>
      <c r="F1890" s="278" t="s">
        <v>4109</v>
      </c>
      <c r="G1890" s="278" t="s">
        <v>4108</v>
      </c>
      <c r="H1890" s="306" t="s">
        <v>11281</v>
      </c>
      <c r="I1890" s="269" t="s">
        <v>11282</v>
      </c>
      <c r="J1890" s="306" t="s">
        <v>10969</v>
      </c>
    </row>
    <row r="1891" spans="1:10" s="362" customFormat="1" ht="14.5" customHeight="1" x14ac:dyDescent="0.25">
      <c r="A1891" s="352" t="s">
        <v>3705</v>
      </c>
      <c r="B1891" s="372" t="s">
        <v>10904</v>
      </c>
      <c r="C1891" s="372" t="s">
        <v>10809</v>
      </c>
      <c r="D1891" s="373" t="s">
        <v>10810</v>
      </c>
      <c r="E1891" s="374" t="s">
        <v>10969</v>
      </c>
      <c r="F1891" s="372" t="s">
        <v>4109</v>
      </c>
      <c r="G1891" s="372" t="s">
        <v>4108</v>
      </c>
      <c r="H1891" s="374" t="s">
        <v>11362</v>
      </c>
      <c r="I1891" s="375" t="s">
        <v>11363</v>
      </c>
      <c r="J1891" s="374" t="s">
        <v>10969</v>
      </c>
    </row>
    <row r="1892" spans="1:10" ht="14.5" customHeight="1" x14ac:dyDescent="0.25">
      <c r="A1892" s="356" t="s">
        <v>3705</v>
      </c>
      <c r="B1892" s="338" t="s">
        <v>10904</v>
      </c>
      <c r="C1892" s="338" t="s">
        <v>10809</v>
      </c>
      <c r="D1892" s="339" t="s">
        <v>10810</v>
      </c>
      <c r="E1892" s="340" t="s">
        <v>10969</v>
      </c>
      <c r="F1892" s="338" t="s">
        <v>4109</v>
      </c>
      <c r="G1892" s="338" t="s">
        <v>4108</v>
      </c>
      <c r="H1892" s="340" t="s">
        <v>11364</v>
      </c>
      <c r="I1892" s="341" t="s">
        <v>11365</v>
      </c>
      <c r="J1892" s="340" t="s">
        <v>10969</v>
      </c>
    </row>
    <row r="1893" spans="1:10" ht="14.5" customHeight="1" x14ac:dyDescent="0.25">
      <c r="A1893" s="278" t="s">
        <v>3705</v>
      </c>
      <c r="B1893" s="278" t="s">
        <v>10904</v>
      </c>
      <c r="C1893" s="278" t="s">
        <v>10811</v>
      </c>
      <c r="D1893" s="279" t="s">
        <v>10812</v>
      </c>
      <c r="E1893" s="306" t="s">
        <v>10969</v>
      </c>
      <c r="F1893" s="278" t="s">
        <v>4109</v>
      </c>
      <c r="G1893" s="278" t="s">
        <v>4108</v>
      </c>
      <c r="H1893" s="306" t="s">
        <v>11219</v>
      </c>
      <c r="I1893" s="269" t="s">
        <v>11220</v>
      </c>
      <c r="J1893" s="306" t="s">
        <v>10969</v>
      </c>
    </row>
    <row r="1894" spans="1:10" ht="14.5" customHeight="1" x14ac:dyDescent="0.25">
      <c r="A1894" s="278" t="s">
        <v>3705</v>
      </c>
      <c r="B1894" s="278" t="s">
        <v>10904</v>
      </c>
      <c r="C1894" s="278" t="s">
        <v>10811</v>
      </c>
      <c r="D1894" s="279" t="s">
        <v>10812</v>
      </c>
      <c r="E1894" s="306" t="s">
        <v>10969</v>
      </c>
      <c r="F1894" s="278" t="s">
        <v>4109</v>
      </c>
      <c r="G1894" s="278" t="s">
        <v>4108</v>
      </c>
      <c r="H1894" s="306" t="s">
        <v>11221</v>
      </c>
      <c r="I1894" s="269" t="s">
        <v>11222</v>
      </c>
      <c r="J1894" s="306" t="s">
        <v>10969</v>
      </c>
    </row>
    <row r="1895" spans="1:10" ht="14.5" customHeight="1" x14ac:dyDescent="0.25">
      <c r="A1895" s="278" t="s">
        <v>3705</v>
      </c>
      <c r="B1895" s="278" t="s">
        <v>10904</v>
      </c>
      <c r="C1895" s="278" t="s">
        <v>10811</v>
      </c>
      <c r="D1895" s="279" t="s">
        <v>10812</v>
      </c>
      <c r="E1895" s="306" t="s">
        <v>10969</v>
      </c>
      <c r="F1895" s="278" t="s">
        <v>4109</v>
      </c>
      <c r="G1895" s="278" t="s">
        <v>4108</v>
      </c>
      <c r="H1895" s="306" t="s">
        <v>11238</v>
      </c>
      <c r="I1895" s="269" t="s">
        <v>11239</v>
      </c>
      <c r="J1895" s="306" t="s">
        <v>10969</v>
      </c>
    </row>
    <row r="1896" spans="1:10" ht="14.5" customHeight="1" x14ac:dyDescent="0.25">
      <c r="A1896" s="278" t="s">
        <v>3705</v>
      </c>
      <c r="B1896" s="278" t="s">
        <v>10904</v>
      </c>
      <c r="C1896" s="278" t="s">
        <v>10811</v>
      </c>
      <c r="D1896" s="279" t="s">
        <v>10812</v>
      </c>
      <c r="E1896" s="306" t="s">
        <v>10969</v>
      </c>
      <c r="F1896" s="278" t="s">
        <v>4109</v>
      </c>
      <c r="G1896" s="278" t="s">
        <v>4108</v>
      </c>
      <c r="H1896" s="306" t="s">
        <v>11193</v>
      </c>
      <c r="I1896" s="269" t="s">
        <v>11194</v>
      </c>
      <c r="J1896" s="306" t="s">
        <v>10969</v>
      </c>
    </row>
    <row r="1897" spans="1:10" ht="14.5" customHeight="1" x14ac:dyDescent="0.25">
      <c r="A1897" s="278" t="s">
        <v>3705</v>
      </c>
      <c r="B1897" s="278" t="s">
        <v>10904</v>
      </c>
      <c r="C1897" s="278" t="s">
        <v>10811</v>
      </c>
      <c r="D1897" s="279" t="s">
        <v>10812</v>
      </c>
      <c r="E1897" s="306" t="s">
        <v>10969</v>
      </c>
      <c r="F1897" s="278" t="s">
        <v>4109</v>
      </c>
      <c r="G1897" s="278" t="s">
        <v>4108</v>
      </c>
      <c r="H1897" s="306" t="s">
        <v>11281</v>
      </c>
      <c r="I1897" s="269" t="s">
        <v>11282</v>
      </c>
      <c r="J1897" s="306" t="s">
        <v>10969</v>
      </c>
    </row>
    <row r="1898" spans="1:10" ht="14.5" customHeight="1" x14ac:dyDescent="0.25">
      <c r="A1898" s="278" t="s">
        <v>3705</v>
      </c>
      <c r="B1898" s="278" t="s">
        <v>10904</v>
      </c>
      <c r="C1898" s="278" t="s">
        <v>10813</v>
      </c>
      <c r="D1898" s="279" t="s">
        <v>10814</v>
      </c>
      <c r="E1898" s="306" t="s">
        <v>10969</v>
      </c>
      <c r="F1898" s="278" t="s">
        <v>4109</v>
      </c>
      <c r="G1898" s="278" t="s">
        <v>4108</v>
      </c>
      <c r="H1898" s="306" t="s">
        <v>11219</v>
      </c>
      <c r="I1898" s="269" t="s">
        <v>11220</v>
      </c>
      <c r="J1898" s="306" t="s">
        <v>10969</v>
      </c>
    </row>
    <row r="1899" spans="1:10" ht="14.5" customHeight="1" x14ac:dyDescent="0.25">
      <c r="A1899" s="278" t="s">
        <v>3705</v>
      </c>
      <c r="B1899" s="278" t="s">
        <v>10904</v>
      </c>
      <c r="C1899" s="278" t="s">
        <v>10813</v>
      </c>
      <c r="D1899" s="279" t="s">
        <v>10814</v>
      </c>
      <c r="E1899" s="306" t="s">
        <v>10969</v>
      </c>
      <c r="F1899" s="278" t="s">
        <v>4109</v>
      </c>
      <c r="G1899" s="278" t="s">
        <v>4108</v>
      </c>
      <c r="H1899" s="306" t="s">
        <v>11221</v>
      </c>
      <c r="I1899" s="269" t="s">
        <v>11222</v>
      </c>
      <c r="J1899" s="306" t="s">
        <v>10969</v>
      </c>
    </row>
    <row r="1900" spans="1:10" ht="14.5" customHeight="1" x14ac:dyDescent="0.25">
      <c r="A1900" s="278" t="s">
        <v>3705</v>
      </c>
      <c r="B1900" s="278" t="s">
        <v>10904</v>
      </c>
      <c r="C1900" s="278" t="s">
        <v>10813</v>
      </c>
      <c r="D1900" s="279" t="s">
        <v>10814</v>
      </c>
      <c r="E1900" s="306" t="s">
        <v>10969</v>
      </c>
      <c r="F1900" s="278" t="s">
        <v>4109</v>
      </c>
      <c r="G1900" s="278" t="s">
        <v>4108</v>
      </c>
      <c r="H1900" s="306" t="s">
        <v>11193</v>
      </c>
      <c r="I1900" s="269" t="s">
        <v>11194</v>
      </c>
      <c r="J1900" s="306" t="s">
        <v>10969</v>
      </c>
    </row>
    <row r="1901" spans="1:10" ht="14.5" customHeight="1" x14ac:dyDescent="0.25">
      <c r="A1901" s="278" t="s">
        <v>3705</v>
      </c>
      <c r="B1901" s="278" t="s">
        <v>10904</v>
      </c>
      <c r="C1901" s="278" t="s">
        <v>10813</v>
      </c>
      <c r="D1901" s="279" t="s">
        <v>10814</v>
      </c>
      <c r="E1901" s="306" t="s">
        <v>10969</v>
      </c>
      <c r="F1901" s="278" t="s">
        <v>4109</v>
      </c>
      <c r="G1901" s="278" t="s">
        <v>4108</v>
      </c>
      <c r="H1901" s="306" t="s">
        <v>11281</v>
      </c>
      <c r="I1901" s="269" t="s">
        <v>11282</v>
      </c>
      <c r="J1901" s="306" t="s">
        <v>10969</v>
      </c>
    </row>
    <row r="1902" spans="1:10" ht="14.5" customHeight="1" x14ac:dyDescent="0.25">
      <c r="A1902" s="278" t="s">
        <v>3705</v>
      </c>
      <c r="B1902" s="278" t="s">
        <v>10904</v>
      </c>
      <c r="C1902" s="278" t="s">
        <v>10815</v>
      </c>
      <c r="D1902" s="279" t="s">
        <v>10816</v>
      </c>
      <c r="E1902" s="306" t="s">
        <v>10969</v>
      </c>
      <c r="F1902" s="278" t="s">
        <v>4109</v>
      </c>
      <c r="G1902" s="278" t="s">
        <v>4108</v>
      </c>
      <c r="H1902" s="306" t="s">
        <v>11281</v>
      </c>
      <c r="I1902" s="269" t="s">
        <v>11282</v>
      </c>
      <c r="J1902" s="306" t="s">
        <v>10969</v>
      </c>
    </row>
    <row r="1903" spans="1:10" ht="14.5" customHeight="1" x14ac:dyDescent="0.25">
      <c r="A1903" s="278" t="s">
        <v>3705</v>
      </c>
      <c r="B1903" s="278" t="s">
        <v>10904</v>
      </c>
      <c r="C1903" s="278" t="s">
        <v>10817</v>
      </c>
      <c r="D1903" s="279" t="s">
        <v>10818</v>
      </c>
      <c r="E1903" s="306" t="s">
        <v>10969</v>
      </c>
      <c r="F1903" s="278" t="s">
        <v>4109</v>
      </c>
      <c r="G1903" s="278" t="s">
        <v>4108</v>
      </c>
      <c r="H1903" s="306" t="s">
        <v>11281</v>
      </c>
      <c r="I1903" s="269" t="s">
        <v>11282</v>
      </c>
      <c r="J1903" s="306" t="s">
        <v>10969</v>
      </c>
    </row>
    <row r="1904" spans="1:10" ht="14.5" customHeight="1" x14ac:dyDescent="0.25">
      <c r="A1904" s="278" t="s">
        <v>3705</v>
      </c>
      <c r="B1904" s="278" t="s">
        <v>10904</v>
      </c>
      <c r="C1904" s="278" t="s">
        <v>10819</v>
      </c>
      <c r="D1904" s="279" t="s">
        <v>10820</v>
      </c>
      <c r="E1904" s="306" t="s">
        <v>10969</v>
      </c>
      <c r="F1904" s="278" t="s">
        <v>4109</v>
      </c>
      <c r="G1904" s="278" t="s">
        <v>4108</v>
      </c>
      <c r="H1904" s="306" t="s">
        <v>11281</v>
      </c>
      <c r="I1904" s="269" t="s">
        <v>11282</v>
      </c>
      <c r="J1904" s="306" t="s">
        <v>10969</v>
      </c>
    </row>
    <row r="1905" spans="1:10" ht="14.5" customHeight="1" x14ac:dyDescent="0.25">
      <c r="A1905" s="278" t="s">
        <v>3705</v>
      </c>
      <c r="B1905" s="278" t="s">
        <v>10904</v>
      </c>
      <c r="C1905" s="278" t="s">
        <v>10821</v>
      </c>
      <c r="D1905" s="279" t="s">
        <v>10822</v>
      </c>
      <c r="E1905" s="306" t="s">
        <v>10969</v>
      </c>
      <c r="F1905" s="278" t="s">
        <v>4109</v>
      </c>
      <c r="G1905" s="278" t="s">
        <v>4108</v>
      </c>
      <c r="H1905" s="306" t="s">
        <v>11256</v>
      </c>
      <c r="I1905" s="269" t="s">
        <v>11257</v>
      </c>
      <c r="J1905" s="306" t="s">
        <v>10969</v>
      </c>
    </row>
    <row r="1906" spans="1:10" ht="14.5" customHeight="1" x14ac:dyDescent="0.25">
      <c r="A1906" s="278" t="s">
        <v>3705</v>
      </c>
      <c r="B1906" s="278" t="s">
        <v>10904</v>
      </c>
      <c r="C1906" s="278" t="s">
        <v>10821</v>
      </c>
      <c r="D1906" s="279" t="s">
        <v>10822</v>
      </c>
      <c r="E1906" s="306" t="s">
        <v>10969</v>
      </c>
      <c r="F1906" s="278" t="s">
        <v>4109</v>
      </c>
      <c r="G1906" s="278" t="s">
        <v>4108</v>
      </c>
      <c r="H1906" s="306" t="s">
        <v>11337</v>
      </c>
      <c r="I1906" s="269" t="s">
        <v>11338</v>
      </c>
      <c r="J1906" s="306" t="s">
        <v>10969</v>
      </c>
    </row>
    <row r="1907" spans="1:10" ht="14.5" customHeight="1" x14ac:dyDescent="0.25">
      <c r="A1907" s="278" t="s">
        <v>3705</v>
      </c>
      <c r="B1907" s="278" t="s">
        <v>10904</v>
      </c>
      <c r="C1907" s="278" t="s">
        <v>10821</v>
      </c>
      <c r="D1907" s="279" t="s">
        <v>10822</v>
      </c>
      <c r="E1907" s="306" t="s">
        <v>10969</v>
      </c>
      <c r="F1907" s="278" t="s">
        <v>4109</v>
      </c>
      <c r="G1907" s="278" t="s">
        <v>4108</v>
      </c>
      <c r="H1907" s="306" t="s">
        <v>11276</v>
      </c>
      <c r="I1907" s="269" t="s">
        <v>11277</v>
      </c>
      <c r="J1907" s="306" t="s">
        <v>10969</v>
      </c>
    </row>
    <row r="1908" spans="1:10" ht="14.5" customHeight="1" x14ac:dyDescent="0.25">
      <c r="A1908" s="278" t="s">
        <v>3705</v>
      </c>
      <c r="B1908" s="278" t="s">
        <v>10904</v>
      </c>
      <c r="C1908" s="278" t="s">
        <v>10821</v>
      </c>
      <c r="D1908" s="279" t="s">
        <v>10822</v>
      </c>
      <c r="E1908" s="306" t="s">
        <v>10969</v>
      </c>
      <c r="F1908" s="278" t="s">
        <v>4109</v>
      </c>
      <c r="G1908" s="278" t="s">
        <v>4108</v>
      </c>
      <c r="H1908" s="306" t="s">
        <v>11278</v>
      </c>
      <c r="I1908" s="269" t="s">
        <v>11279</v>
      </c>
      <c r="J1908" s="306" t="s">
        <v>10969</v>
      </c>
    </row>
    <row r="1909" spans="1:10" ht="14.5" customHeight="1" x14ac:dyDescent="0.25">
      <c r="A1909" s="278" t="s">
        <v>3705</v>
      </c>
      <c r="B1909" s="278" t="s">
        <v>10904</v>
      </c>
      <c r="C1909" s="278" t="s">
        <v>10821</v>
      </c>
      <c r="D1909" s="279" t="s">
        <v>10822</v>
      </c>
      <c r="E1909" s="306" t="s">
        <v>10969</v>
      </c>
      <c r="F1909" s="278" t="s">
        <v>4109</v>
      </c>
      <c r="G1909" s="278" t="s">
        <v>4108</v>
      </c>
      <c r="H1909" s="306" t="s">
        <v>11242</v>
      </c>
      <c r="I1909" s="269" t="s">
        <v>11243</v>
      </c>
      <c r="J1909" s="306" t="s">
        <v>10969</v>
      </c>
    </row>
    <row r="1910" spans="1:10" ht="14.5" customHeight="1" x14ac:dyDescent="0.25">
      <c r="A1910" s="278" t="s">
        <v>3705</v>
      </c>
      <c r="B1910" s="278" t="s">
        <v>10904</v>
      </c>
      <c r="C1910" s="278" t="s">
        <v>10821</v>
      </c>
      <c r="D1910" s="279" t="s">
        <v>10822</v>
      </c>
      <c r="E1910" s="306" t="s">
        <v>10969</v>
      </c>
      <c r="F1910" s="278" t="s">
        <v>4109</v>
      </c>
      <c r="G1910" s="278" t="s">
        <v>4108</v>
      </c>
      <c r="H1910" s="306" t="s">
        <v>11281</v>
      </c>
      <c r="I1910" s="269" t="s">
        <v>11282</v>
      </c>
      <c r="J1910" s="306" t="s">
        <v>10969</v>
      </c>
    </row>
    <row r="1911" spans="1:10" ht="14.5" customHeight="1" x14ac:dyDescent="0.25">
      <c r="A1911" s="278" t="s">
        <v>3705</v>
      </c>
      <c r="B1911" s="278" t="s">
        <v>10904</v>
      </c>
      <c r="C1911" s="278" t="s">
        <v>10823</v>
      </c>
      <c r="D1911" s="279" t="s">
        <v>10824</v>
      </c>
      <c r="E1911" s="306" t="s">
        <v>10969</v>
      </c>
      <c r="F1911" s="278" t="s">
        <v>4109</v>
      </c>
      <c r="G1911" s="278" t="s">
        <v>4108</v>
      </c>
      <c r="H1911" s="306" t="s">
        <v>11360</v>
      </c>
      <c r="I1911" s="269" t="s">
        <v>11361</v>
      </c>
      <c r="J1911" s="306" t="s">
        <v>10969</v>
      </c>
    </row>
    <row r="1912" spans="1:10" ht="14.5" customHeight="1" x14ac:dyDescent="0.25">
      <c r="A1912" s="356" t="s">
        <v>3705</v>
      </c>
      <c r="B1912" s="338" t="s">
        <v>10904</v>
      </c>
      <c r="C1912" s="338" t="s">
        <v>10823</v>
      </c>
      <c r="D1912" s="339" t="s">
        <v>10824</v>
      </c>
      <c r="E1912" s="340" t="s">
        <v>10969</v>
      </c>
      <c r="F1912" s="338" t="s">
        <v>4109</v>
      </c>
      <c r="G1912" s="338" t="s">
        <v>4108</v>
      </c>
      <c r="H1912" s="340" t="s">
        <v>11283</v>
      </c>
      <c r="I1912" s="341" t="s">
        <v>11284</v>
      </c>
      <c r="J1912" s="340" t="s">
        <v>10969</v>
      </c>
    </row>
    <row r="1913" spans="1:10" ht="14.5" customHeight="1" x14ac:dyDescent="0.25">
      <c r="A1913" s="278" t="s">
        <v>3705</v>
      </c>
      <c r="B1913" s="278" t="s">
        <v>10904</v>
      </c>
      <c r="C1913" s="278" t="s">
        <v>10823</v>
      </c>
      <c r="D1913" s="279" t="s">
        <v>10824</v>
      </c>
      <c r="E1913" s="306" t="s">
        <v>10969</v>
      </c>
      <c r="F1913" s="278" t="s">
        <v>4109</v>
      </c>
      <c r="G1913" s="278" t="s">
        <v>4108</v>
      </c>
      <c r="H1913" s="306" t="s">
        <v>11256</v>
      </c>
      <c r="I1913" s="269" t="s">
        <v>11257</v>
      </c>
      <c r="J1913" s="306" t="s">
        <v>10969</v>
      </c>
    </row>
    <row r="1914" spans="1:10" ht="14.5" customHeight="1" x14ac:dyDescent="0.25">
      <c r="A1914" s="278" t="s">
        <v>3705</v>
      </c>
      <c r="B1914" s="278" t="s">
        <v>10904</v>
      </c>
      <c r="C1914" s="278" t="s">
        <v>10823</v>
      </c>
      <c r="D1914" s="279" t="s">
        <v>10824</v>
      </c>
      <c r="E1914" s="306" t="s">
        <v>10969</v>
      </c>
      <c r="F1914" s="278" t="s">
        <v>4109</v>
      </c>
      <c r="G1914" s="278" t="s">
        <v>4108</v>
      </c>
      <c r="H1914" s="306" t="s">
        <v>11276</v>
      </c>
      <c r="I1914" s="269" t="s">
        <v>11277</v>
      </c>
      <c r="J1914" s="306" t="s">
        <v>10969</v>
      </c>
    </row>
    <row r="1915" spans="1:10" ht="14.5" customHeight="1" x14ac:dyDescent="0.25">
      <c r="A1915" s="278" t="s">
        <v>3705</v>
      </c>
      <c r="B1915" s="278" t="s">
        <v>10904</v>
      </c>
      <c r="C1915" s="278" t="s">
        <v>10823</v>
      </c>
      <c r="D1915" s="279" t="s">
        <v>10824</v>
      </c>
      <c r="E1915" s="306" t="s">
        <v>10969</v>
      </c>
      <c r="F1915" s="278" t="s">
        <v>4109</v>
      </c>
      <c r="G1915" s="278" t="s">
        <v>4108</v>
      </c>
      <c r="H1915" s="306" t="s">
        <v>11278</v>
      </c>
      <c r="I1915" s="269" t="s">
        <v>11279</v>
      </c>
      <c r="J1915" s="306" t="s">
        <v>10969</v>
      </c>
    </row>
    <row r="1916" spans="1:10" ht="14.5" customHeight="1" x14ac:dyDescent="0.25">
      <c r="A1916" s="278" t="s">
        <v>3705</v>
      </c>
      <c r="B1916" s="278" t="s">
        <v>10904</v>
      </c>
      <c r="C1916" s="278" t="s">
        <v>10823</v>
      </c>
      <c r="D1916" s="279" t="s">
        <v>10824</v>
      </c>
      <c r="E1916" s="306" t="s">
        <v>10969</v>
      </c>
      <c r="F1916" s="278" t="s">
        <v>4109</v>
      </c>
      <c r="G1916" s="278" t="s">
        <v>4108</v>
      </c>
      <c r="H1916" s="306" t="s">
        <v>11280</v>
      </c>
      <c r="I1916" s="269" t="s">
        <v>11279</v>
      </c>
      <c r="J1916" s="306" t="s">
        <v>10969</v>
      </c>
    </row>
    <row r="1917" spans="1:10" ht="14.5" customHeight="1" x14ac:dyDescent="0.25">
      <c r="A1917" s="278" t="s">
        <v>3705</v>
      </c>
      <c r="B1917" s="278" t="s">
        <v>10904</v>
      </c>
      <c r="C1917" s="278" t="s">
        <v>10823</v>
      </c>
      <c r="D1917" s="279" t="s">
        <v>10824</v>
      </c>
      <c r="E1917" s="306" t="s">
        <v>10969</v>
      </c>
      <c r="F1917" s="278" t="s">
        <v>4109</v>
      </c>
      <c r="G1917" s="278" t="s">
        <v>4108</v>
      </c>
      <c r="H1917" s="306" t="s">
        <v>11281</v>
      </c>
      <c r="I1917" s="269" t="s">
        <v>11282</v>
      </c>
      <c r="J1917" s="306" t="s">
        <v>10969</v>
      </c>
    </row>
    <row r="1918" spans="1:10" ht="14.5" customHeight="1" x14ac:dyDescent="0.25">
      <c r="A1918" s="278" t="s">
        <v>3705</v>
      </c>
      <c r="B1918" s="278" t="s">
        <v>10904</v>
      </c>
      <c r="C1918" s="278" t="s">
        <v>10825</v>
      </c>
      <c r="D1918" s="279" t="s">
        <v>10826</v>
      </c>
      <c r="E1918" s="306" t="s">
        <v>10969</v>
      </c>
      <c r="F1918" s="278" t="s">
        <v>4109</v>
      </c>
      <c r="G1918" s="278" t="s">
        <v>4108</v>
      </c>
      <c r="H1918" s="306" t="s">
        <v>11256</v>
      </c>
      <c r="I1918" s="269" t="s">
        <v>11257</v>
      </c>
      <c r="J1918" s="306" t="s">
        <v>10969</v>
      </c>
    </row>
    <row r="1919" spans="1:10" ht="14.5" customHeight="1" x14ac:dyDescent="0.25">
      <c r="A1919" s="278" t="s">
        <v>3705</v>
      </c>
      <c r="B1919" s="278" t="s">
        <v>10904</v>
      </c>
      <c r="C1919" s="278" t="s">
        <v>10825</v>
      </c>
      <c r="D1919" s="279" t="s">
        <v>10826</v>
      </c>
      <c r="E1919" s="306" t="s">
        <v>10969</v>
      </c>
      <c r="F1919" s="278" t="s">
        <v>4109</v>
      </c>
      <c r="G1919" s="278" t="s">
        <v>4108</v>
      </c>
      <c r="H1919" s="306" t="s">
        <v>11281</v>
      </c>
      <c r="I1919" s="269" t="s">
        <v>11282</v>
      </c>
      <c r="J1919" s="306" t="s">
        <v>10969</v>
      </c>
    </row>
    <row r="1920" spans="1:10" ht="14.5" customHeight="1" x14ac:dyDescent="0.25">
      <c r="A1920" s="278" t="s">
        <v>3705</v>
      </c>
      <c r="B1920" s="278" t="s">
        <v>10904</v>
      </c>
      <c r="C1920" s="278" t="s">
        <v>10827</v>
      </c>
      <c r="D1920" s="279" t="s">
        <v>10828</v>
      </c>
      <c r="E1920" s="306" t="s">
        <v>10969</v>
      </c>
      <c r="F1920" s="278" t="s">
        <v>4109</v>
      </c>
      <c r="G1920" s="278" t="s">
        <v>4108</v>
      </c>
      <c r="H1920" s="306" t="s">
        <v>11360</v>
      </c>
      <c r="I1920" s="269" t="s">
        <v>11361</v>
      </c>
      <c r="J1920" s="306" t="s">
        <v>10969</v>
      </c>
    </row>
    <row r="1921" spans="1:10" ht="14.5" customHeight="1" x14ac:dyDescent="0.25">
      <c r="A1921" s="278" t="s">
        <v>3705</v>
      </c>
      <c r="B1921" s="278" t="s">
        <v>10904</v>
      </c>
      <c r="C1921" s="278" t="s">
        <v>10827</v>
      </c>
      <c r="D1921" s="279" t="s">
        <v>10828</v>
      </c>
      <c r="E1921" s="306" t="s">
        <v>10969</v>
      </c>
      <c r="F1921" s="278" t="s">
        <v>4109</v>
      </c>
      <c r="G1921" s="278" t="s">
        <v>4108</v>
      </c>
      <c r="H1921" s="306" t="s">
        <v>11337</v>
      </c>
      <c r="I1921" s="269" t="s">
        <v>11338</v>
      </c>
      <c r="J1921" s="306" t="s">
        <v>10969</v>
      </c>
    </row>
    <row r="1922" spans="1:10" ht="14.5" customHeight="1" x14ac:dyDescent="0.25">
      <c r="A1922" s="278" t="s">
        <v>3705</v>
      </c>
      <c r="B1922" s="278" t="s">
        <v>10904</v>
      </c>
      <c r="C1922" s="278" t="s">
        <v>10827</v>
      </c>
      <c r="D1922" s="279" t="s">
        <v>10828</v>
      </c>
      <c r="E1922" s="306" t="s">
        <v>10969</v>
      </c>
      <c r="F1922" s="278" t="s">
        <v>4109</v>
      </c>
      <c r="G1922" s="278" t="s">
        <v>4108</v>
      </c>
      <c r="H1922" s="306" t="s">
        <v>11339</v>
      </c>
      <c r="I1922" s="269" t="s">
        <v>11340</v>
      </c>
      <c r="J1922" s="306" t="s">
        <v>10969</v>
      </c>
    </row>
    <row r="1923" spans="1:10" ht="14.5" customHeight="1" x14ac:dyDescent="0.25">
      <c r="A1923" s="278" t="s">
        <v>3705</v>
      </c>
      <c r="B1923" s="278" t="s">
        <v>10904</v>
      </c>
      <c r="C1923" s="278" t="s">
        <v>10827</v>
      </c>
      <c r="D1923" s="279" t="s">
        <v>10828</v>
      </c>
      <c r="E1923" s="306" t="s">
        <v>10969</v>
      </c>
      <c r="F1923" s="278" t="s">
        <v>4109</v>
      </c>
      <c r="G1923" s="278" t="s">
        <v>4108</v>
      </c>
      <c r="H1923" s="306" t="s">
        <v>11281</v>
      </c>
      <c r="I1923" s="269" t="s">
        <v>11282</v>
      </c>
      <c r="J1923" s="306" t="s">
        <v>10969</v>
      </c>
    </row>
    <row r="1924" spans="1:10" ht="14.5" customHeight="1" x14ac:dyDescent="0.25">
      <c r="A1924" s="278" t="s">
        <v>3705</v>
      </c>
      <c r="B1924" s="278" t="s">
        <v>10904</v>
      </c>
      <c r="C1924" s="278" t="s">
        <v>10829</v>
      </c>
      <c r="D1924" s="279" t="s">
        <v>10830</v>
      </c>
      <c r="E1924" s="306" t="s">
        <v>10969</v>
      </c>
      <c r="F1924" s="278" t="s">
        <v>4109</v>
      </c>
      <c r="G1924" s="278" t="s">
        <v>4108</v>
      </c>
      <c r="H1924" s="306" t="s">
        <v>11337</v>
      </c>
      <c r="I1924" s="269" t="s">
        <v>11338</v>
      </c>
      <c r="J1924" s="306" t="s">
        <v>10969</v>
      </c>
    </row>
    <row r="1925" spans="1:10" ht="14.5" customHeight="1" x14ac:dyDescent="0.25">
      <c r="A1925" s="278" t="s">
        <v>3705</v>
      </c>
      <c r="B1925" s="278" t="s">
        <v>10904</v>
      </c>
      <c r="C1925" s="278" t="s">
        <v>10829</v>
      </c>
      <c r="D1925" s="279" t="s">
        <v>10830</v>
      </c>
      <c r="E1925" s="306" t="s">
        <v>10969</v>
      </c>
      <c r="F1925" s="278" t="s">
        <v>4109</v>
      </c>
      <c r="G1925" s="278" t="s">
        <v>4108</v>
      </c>
      <c r="H1925" s="306" t="s">
        <v>11339</v>
      </c>
      <c r="I1925" s="269" t="s">
        <v>11340</v>
      </c>
      <c r="J1925" s="306" t="s">
        <v>10969</v>
      </c>
    </row>
    <row r="1926" spans="1:10" ht="14.5" customHeight="1" x14ac:dyDescent="0.25">
      <c r="A1926" s="278" t="s">
        <v>3705</v>
      </c>
      <c r="B1926" s="278" t="s">
        <v>10904</v>
      </c>
      <c r="C1926" s="278" t="s">
        <v>10829</v>
      </c>
      <c r="D1926" s="279" t="s">
        <v>10830</v>
      </c>
      <c r="E1926" s="306" t="s">
        <v>10969</v>
      </c>
      <c r="F1926" s="278" t="s">
        <v>4109</v>
      </c>
      <c r="G1926" s="278" t="s">
        <v>4108</v>
      </c>
      <c r="H1926" s="306" t="s">
        <v>11281</v>
      </c>
      <c r="I1926" s="269" t="s">
        <v>11282</v>
      </c>
      <c r="J1926" s="306" t="s">
        <v>10969</v>
      </c>
    </row>
    <row r="1927" spans="1:10" ht="14.5" customHeight="1" x14ac:dyDescent="0.25">
      <c r="A1927" s="278" t="s">
        <v>3705</v>
      </c>
      <c r="B1927" s="278" t="s">
        <v>10904</v>
      </c>
      <c r="C1927" s="278" t="s">
        <v>10831</v>
      </c>
      <c r="D1927" s="279" t="s">
        <v>10832</v>
      </c>
      <c r="E1927" s="306" t="s">
        <v>10969</v>
      </c>
      <c r="F1927" s="278" t="s">
        <v>4109</v>
      </c>
      <c r="G1927" s="278" t="s">
        <v>4108</v>
      </c>
      <c r="H1927" s="306" t="s">
        <v>11337</v>
      </c>
      <c r="I1927" s="269" t="s">
        <v>11338</v>
      </c>
      <c r="J1927" s="306" t="s">
        <v>10969</v>
      </c>
    </row>
    <row r="1928" spans="1:10" ht="14.5" customHeight="1" x14ac:dyDescent="0.25">
      <c r="A1928" s="278" t="s">
        <v>3705</v>
      </c>
      <c r="B1928" s="278" t="s">
        <v>10904</v>
      </c>
      <c r="C1928" s="278" t="s">
        <v>10831</v>
      </c>
      <c r="D1928" s="279" t="s">
        <v>10832</v>
      </c>
      <c r="E1928" s="306" t="s">
        <v>10969</v>
      </c>
      <c r="F1928" s="278" t="s">
        <v>4109</v>
      </c>
      <c r="G1928" s="278" t="s">
        <v>4108</v>
      </c>
      <c r="H1928" s="306" t="s">
        <v>11339</v>
      </c>
      <c r="I1928" s="269" t="s">
        <v>11340</v>
      </c>
      <c r="J1928" s="306" t="s">
        <v>10969</v>
      </c>
    </row>
    <row r="1929" spans="1:10" ht="14.5" customHeight="1" x14ac:dyDescent="0.25">
      <c r="A1929" s="278" t="s">
        <v>3705</v>
      </c>
      <c r="B1929" s="278" t="s">
        <v>10904</v>
      </c>
      <c r="C1929" s="278" t="s">
        <v>10831</v>
      </c>
      <c r="D1929" s="279" t="s">
        <v>10832</v>
      </c>
      <c r="E1929" s="306" t="s">
        <v>10969</v>
      </c>
      <c r="F1929" s="278" t="s">
        <v>4109</v>
      </c>
      <c r="G1929" s="278" t="s">
        <v>4108</v>
      </c>
      <c r="H1929" s="306" t="s">
        <v>11276</v>
      </c>
      <c r="I1929" s="269" t="s">
        <v>11277</v>
      </c>
      <c r="J1929" s="306" t="s">
        <v>10969</v>
      </c>
    </row>
    <row r="1930" spans="1:10" ht="14.5" customHeight="1" x14ac:dyDescent="0.25">
      <c r="A1930" s="278" t="s">
        <v>3705</v>
      </c>
      <c r="B1930" s="278" t="s">
        <v>10904</v>
      </c>
      <c r="C1930" s="278" t="s">
        <v>10831</v>
      </c>
      <c r="D1930" s="279" t="s">
        <v>10832</v>
      </c>
      <c r="E1930" s="306" t="s">
        <v>10969</v>
      </c>
      <c r="F1930" s="278" t="s">
        <v>4109</v>
      </c>
      <c r="G1930" s="278" t="s">
        <v>4108</v>
      </c>
      <c r="H1930" s="306" t="s">
        <v>11278</v>
      </c>
      <c r="I1930" s="269" t="s">
        <v>11279</v>
      </c>
      <c r="J1930" s="306" t="s">
        <v>10969</v>
      </c>
    </row>
    <row r="1931" spans="1:10" ht="14.5" customHeight="1" x14ac:dyDescent="0.25">
      <c r="A1931" s="352" t="s">
        <v>3705</v>
      </c>
      <c r="B1931" s="284" t="s">
        <v>10904</v>
      </c>
      <c r="C1931" s="284" t="s">
        <v>10831</v>
      </c>
      <c r="D1931" s="285" t="s">
        <v>10832</v>
      </c>
      <c r="E1931" s="342" t="s">
        <v>10969</v>
      </c>
      <c r="F1931" s="284" t="s">
        <v>4109</v>
      </c>
      <c r="G1931" s="284" t="s">
        <v>4108</v>
      </c>
      <c r="H1931" s="342" t="s">
        <v>11242</v>
      </c>
      <c r="I1931" s="271" t="s">
        <v>11342</v>
      </c>
      <c r="J1931" s="342" t="s">
        <v>10969</v>
      </c>
    </row>
    <row r="1932" spans="1:10" ht="14.5" customHeight="1" x14ac:dyDescent="0.25">
      <c r="A1932" s="278" t="s">
        <v>3705</v>
      </c>
      <c r="B1932" s="278" t="s">
        <v>10904</v>
      </c>
      <c r="C1932" s="278" t="s">
        <v>10831</v>
      </c>
      <c r="D1932" s="279" t="s">
        <v>10832</v>
      </c>
      <c r="E1932" s="306" t="s">
        <v>10969</v>
      </c>
      <c r="F1932" s="278" t="s">
        <v>4109</v>
      </c>
      <c r="G1932" s="278" t="s">
        <v>4108</v>
      </c>
      <c r="H1932" s="306" t="s">
        <v>11281</v>
      </c>
      <c r="I1932" s="269" t="s">
        <v>11282</v>
      </c>
      <c r="J1932" s="306" t="s">
        <v>10969</v>
      </c>
    </row>
    <row r="1933" spans="1:10" ht="14.5" customHeight="1" x14ac:dyDescent="0.25">
      <c r="A1933" s="278" t="s">
        <v>3705</v>
      </c>
      <c r="B1933" s="278" t="s">
        <v>10904</v>
      </c>
      <c r="C1933" s="278" t="s">
        <v>10833</v>
      </c>
      <c r="D1933" s="279" t="s">
        <v>10834</v>
      </c>
      <c r="E1933" s="306" t="s">
        <v>10969</v>
      </c>
      <c r="F1933" s="278" t="s">
        <v>4109</v>
      </c>
      <c r="G1933" s="278" t="s">
        <v>4108</v>
      </c>
      <c r="H1933" s="306" t="s">
        <v>11281</v>
      </c>
      <c r="I1933" s="269" t="s">
        <v>11282</v>
      </c>
      <c r="J1933" s="306" t="s">
        <v>10969</v>
      </c>
    </row>
    <row r="1934" spans="1:10" ht="14.5" customHeight="1" x14ac:dyDescent="0.25">
      <c r="A1934" s="278" t="s">
        <v>3705</v>
      </c>
      <c r="B1934" s="278" t="s">
        <v>10904</v>
      </c>
      <c r="C1934" s="278" t="s">
        <v>10835</v>
      </c>
      <c r="D1934" s="279" t="s">
        <v>10836</v>
      </c>
      <c r="E1934" s="306" t="s">
        <v>10969</v>
      </c>
      <c r="F1934" s="278" t="s">
        <v>4109</v>
      </c>
      <c r="G1934" s="278" t="s">
        <v>4108</v>
      </c>
      <c r="H1934" s="306" t="s">
        <v>11281</v>
      </c>
      <c r="I1934" s="269" t="s">
        <v>11282</v>
      </c>
      <c r="J1934" s="306" t="s">
        <v>10969</v>
      </c>
    </row>
    <row r="1935" spans="1:10" ht="14.5" customHeight="1" x14ac:dyDescent="0.25">
      <c r="A1935" s="278" t="s">
        <v>3705</v>
      </c>
      <c r="B1935" s="278" t="s">
        <v>10904</v>
      </c>
      <c r="C1935" s="278" t="s">
        <v>10838</v>
      </c>
      <c r="D1935" s="279" t="s">
        <v>10839</v>
      </c>
      <c r="E1935" s="306" t="s">
        <v>10969</v>
      </c>
      <c r="F1935" s="278" t="s">
        <v>4109</v>
      </c>
      <c r="G1935" s="278" t="s">
        <v>4108</v>
      </c>
      <c r="H1935" s="306" t="s">
        <v>11256</v>
      </c>
      <c r="I1935" s="269" t="s">
        <v>11257</v>
      </c>
      <c r="J1935" s="306" t="s">
        <v>10969</v>
      </c>
    </row>
    <row r="1936" spans="1:10" ht="14.5" customHeight="1" x14ac:dyDescent="0.25">
      <c r="A1936" s="278" t="s">
        <v>3705</v>
      </c>
      <c r="B1936" s="278" t="s">
        <v>10904</v>
      </c>
      <c r="C1936" s="278" t="s">
        <v>10838</v>
      </c>
      <c r="D1936" s="279" t="s">
        <v>10839</v>
      </c>
      <c r="E1936" s="306" t="s">
        <v>10969</v>
      </c>
      <c r="F1936" s="278" t="s">
        <v>4109</v>
      </c>
      <c r="G1936" s="278" t="s">
        <v>4108</v>
      </c>
      <c r="H1936" s="306" t="s">
        <v>11281</v>
      </c>
      <c r="I1936" s="269" t="s">
        <v>11282</v>
      </c>
      <c r="J1936" s="306" t="s">
        <v>10969</v>
      </c>
    </row>
    <row r="1937" spans="1:10" ht="14.5" customHeight="1" x14ac:dyDescent="0.25">
      <c r="A1937" s="278" t="s">
        <v>3705</v>
      </c>
      <c r="B1937" s="278" t="s">
        <v>10904</v>
      </c>
      <c r="C1937" s="278" t="s">
        <v>10840</v>
      </c>
      <c r="D1937" s="279" t="s">
        <v>10841</v>
      </c>
      <c r="E1937" s="306" t="s">
        <v>10969</v>
      </c>
      <c r="F1937" s="278" t="s">
        <v>4109</v>
      </c>
      <c r="G1937" s="278" t="s">
        <v>4108</v>
      </c>
      <c r="H1937" s="306" t="s">
        <v>11219</v>
      </c>
      <c r="I1937" s="269" t="s">
        <v>11220</v>
      </c>
      <c r="J1937" s="306" t="s">
        <v>10969</v>
      </c>
    </row>
    <row r="1938" spans="1:10" ht="14.5" customHeight="1" x14ac:dyDescent="0.25">
      <c r="A1938" s="278" t="s">
        <v>3705</v>
      </c>
      <c r="B1938" s="278" t="s">
        <v>10904</v>
      </c>
      <c r="C1938" s="278" t="s">
        <v>10840</v>
      </c>
      <c r="D1938" s="279" t="s">
        <v>10841</v>
      </c>
      <c r="E1938" s="306" t="s">
        <v>10969</v>
      </c>
      <c r="F1938" s="278" t="s">
        <v>4109</v>
      </c>
      <c r="G1938" s="278" t="s">
        <v>4108</v>
      </c>
      <c r="H1938" s="306" t="s">
        <v>11221</v>
      </c>
      <c r="I1938" s="269" t="s">
        <v>11222</v>
      </c>
      <c r="J1938" s="306" t="s">
        <v>10969</v>
      </c>
    </row>
    <row r="1939" spans="1:10" ht="14.5" customHeight="1" x14ac:dyDescent="0.25">
      <c r="A1939" s="278" t="s">
        <v>3705</v>
      </c>
      <c r="B1939" s="278" t="s">
        <v>10904</v>
      </c>
      <c r="C1939" s="278" t="s">
        <v>10840</v>
      </c>
      <c r="D1939" s="279" t="s">
        <v>10841</v>
      </c>
      <c r="E1939" s="306" t="s">
        <v>10969</v>
      </c>
      <c r="F1939" s="278" t="s">
        <v>4109</v>
      </c>
      <c r="G1939" s="278" t="s">
        <v>4108</v>
      </c>
      <c r="H1939" s="306" t="s">
        <v>11193</v>
      </c>
      <c r="I1939" s="269" t="s">
        <v>11194</v>
      </c>
      <c r="J1939" s="306" t="s">
        <v>10969</v>
      </c>
    </row>
    <row r="1940" spans="1:10" ht="14.5" customHeight="1" x14ac:dyDescent="0.25">
      <c r="A1940" s="278" t="s">
        <v>3705</v>
      </c>
      <c r="B1940" s="278" t="s">
        <v>10904</v>
      </c>
      <c r="C1940" s="278" t="s">
        <v>10842</v>
      </c>
      <c r="D1940" s="279" t="s">
        <v>10843</v>
      </c>
      <c r="E1940" s="306" t="s">
        <v>10969</v>
      </c>
      <c r="F1940" s="278" t="s">
        <v>4109</v>
      </c>
      <c r="G1940" s="278" t="s">
        <v>4108</v>
      </c>
      <c r="H1940" s="306" t="s">
        <v>11219</v>
      </c>
      <c r="I1940" s="269" t="s">
        <v>11220</v>
      </c>
      <c r="J1940" s="306" t="s">
        <v>10969</v>
      </c>
    </row>
    <row r="1941" spans="1:10" ht="14.5" customHeight="1" x14ac:dyDescent="0.25">
      <c r="A1941" s="278" t="s">
        <v>3705</v>
      </c>
      <c r="B1941" s="278" t="s">
        <v>10904</v>
      </c>
      <c r="C1941" s="278" t="s">
        <v>10842</v>
      </c>
      <c r="D1941" s="279" t="s">
        <v>10843</v>
      </c>
      <c r="E1941" s="306" t="s">
        <v>10969</v>
      </c>
      <c r="F1941" s="278" t="s">
        <v>4109</v>
      </c>
      <c r="G1941" s="278" t="s">
        <v>4108</v>
      </c>
      <c r="H1941" s="306" t="s">
        <v>11221</v>
      </c>
      <c r="I1941" s="269" t="s">
        <v>11222</v>
      </c>
      <c r="J1941" s="306" t="s">
        <v>10969</v>
      </c>
    </row>
    <row r="1942" spans="1:10" ht="14.5" customHeight="1" x14ac:dyDescent="0.25">
      <c r="A1942" s="278" t="s">
        <v>3705</v>
      </c>
      <c r="B1942" s="278" t="s">
        <v>10904</v>
      </c>
      <c r="C1942" s="278" t="s">
        <v>10842</v>
      </c>
      <c r="D1942" s="279" t="s">
        <v>10843</v>
      </c>
      <c r="E1942" s="306" t="s">
        <v>10969</v>
      </c>
      <c r="F1942" s="278" t="s">
        <v>4109</v>
      </c>
      <c r="G1942" s="278" t="s">
        <v>4108</v>
      </c>
      <c r="H1942" s="306" t="s">
        <v>11193</v>
      </c>
      <c r="I1942" s="269" t="s">
        <v>11194</v>
      </c>
      <c r="J1942" s="306" t="s">
        <v>10969</v>
      </c>
    </row>
    <row r="1943" spans="1:10" ht="14.5" customHeight="1" x14ac:dyDescent="0.25">
      <c r="A1943" s="278" t="s">
        <v>3705</v>
      </c>
      <c r="B1943" s="278" t="s">
        <v>10904</v>
      </c>
      <c r="C1943" s="278" t="s">
        <v>10844</v>
      </c>
      <c r="D1943" s="279" t="s">
        <v>10845</v>
      </c>
      <c r="E1943" s="306" t="s">
        <v>10969</v>
      </c>
      <c r="F1943" s="278" t="s">
        <v>4109</v>
      </c>
      <c r="G1943" s="278" t="s">
        <v>4108</v>
      </c>
      <c r="H1943" s="306" t="s">
        <v>11219</v>
      </c>
      <c r="I1943" s="269" t="s">
        <v>11220</v>
      </c>
      <c r="J1943" s="306" t="s">
        <v>10969</v>
      </c>
    </row>
    <row r="1944" spans="1:10" ht="14.5" customHeight="1" x14ac:dyDescent="0.25">
      <c r="A1944" s="278" t="s">
        <v>3705</v>
      </c>
      <c r="B1944" s="278" t="s">
        <v>10904</v>
      </c>
      <c r="C1944" s="278" t="s">
        <v>10844</v>
      </c>
      <c r="D1944" s="279" t="s">
        <v>10845</v>
      </c>
      <c r="E1944" s="306" t="s">
        <v>10969</v>
      </c>
      <c r="F1944" s="278" t="s">
        <v>4109</v>
      </c>
      <c r="G1944" s="278" t="s">
        <v>4108</v>
      </c>
      <c r="H1944" s="306" t="s">
        <v>11221</v>
      </c>
      <c r="I1944" s="269" t="s">
        <v>11222</v>
      </c>
      <c r="J1944" s="306" t="s">
        <v>10969</v>
      </c>
    </row>
    <row r="1945" spans="1:10" ht="14.5" customHeight="1" x14ac:dyDescent="0.25">
      <c r="A1945" s="278" t="s">
        <v>3705</v>
      </c>
      <c r="B1945" s="278" t="s">
        <v>10904</v>
      </c>
      <c r="C1945" s="278" t="s">
        <v>10844</v>
      </c>
      <c r="D1945" s="279" t="s">
        <v>10845</v>
      </c>
      <c r="E1945" s="306" t="s">
        <v>10969</v>
      </c>
      <c r="F1945" s="278" t="s">
        <v>4109</v>
      </c>
      <c r="G1945" s="278" t="s">
        <v>4108</v>
      </c>
      <c r="H1945" s="306" t="s">
        <v>11193</v>
      </c>
      <c r="I1945" s="269" t="s">
        <v>11194</v>
      </c>
      <c r="J1945" s="306" t="s">
        <v>10969</v>
      </c>
    </row>
    <row r="1946" spans="1:10" ht="14.5" customHeight="1" x14ac:dyDescent="0.25">
      <c r="A1946" s="278" t="s">
        <v>3705</v>
      </c>
      <c r="B1946" s="278" t="s">
        <v>10904</v>
      </c>
      <c r="C1946" s="278" t="s">
        <v>10846</v>
      </c>
      <c r="D1946" s="279" t="s">
        <v>10847</v>
      </c>
      <c r="E1946" s="306" t="s">
        <v>10969</v>
      </c>
      <c r="F1946" s="278" t="s">
        <v>4109</v>
      </c>
      <c r="G1946" s="278" t="s">
        <v>4108</v>
      </c>
      <c r="H1946" s="306" t="s">
        <v>11219</v>
      </c>
      <c r="I1946" s="269" t="s">
        <v>11220</v>
      </c>
      <c r="J1946" s="306" t="s">
        <v>10969</v>
      </c>
    </row>
    <row r="1947" spans="1:10" ht="14.5" customHeight="1" x14ac:dyDescent="0.25">
      <c r="A1947" s="278" t="s">
        <v>3705</v>
      </c>
      <c r="B1947" s="278" t="s">
        <v>10904</v>
      </c>
      <c r="C1947" s="278" t="s">
        <v>10846</v>
      </c>
      <c r="D1947" s="279" t="s">
        <v>10847</v>
      </c>
      <c r="E1947" s="306" t="s">
        <v>10969</v>
      </c>
      <c r="F1947" s="278" t="s">
        <v>4109</v>
      </c>
      <c r="G1947" s="278" t="s">
        <v>4108</v>
      </c>
      <c r="H1947" s="306" t="s">
        <v>11221</v>
      </c>
      <c r="I1947" s="269" t="s">
        <v>11222</v>
      </c>
      <c r="J1947" s="306" t="s">
        <v>10969</v>
      </c>
    </row>
    <row r="1948" spans="1:10" ht="14.5" customHeight="1" x14ac:dyDescent="0.25">
      <c r="A1948" s="278" t="s">
        <v>3705</v>
      </c>
      <c r="B1948" s="278" t="s">
        <v>10904</v>
      </c>
      <c r="C1948" s="278" t="s">
        <v>10846</v>
      </c>
      <c r="D1948" s="279" t="s">
        <v>10847</v>
      </c>
      <c r="E1948" s="306" t="s">
        <v>10969</v>
      </c>
      <c r="F1948" s="278" t="s">
        <v>4109</v>
      </c>
      <c r="G1948" s="278" t="s">
        <v>4108</v>
      </c>
      <c r="H1948" s="306" t="s">
        <v>11193</v>
      </c>
      <c r="I1948" s="269" t="s">
        <v>11194</v>
      </c>
      <c r="J1948" s="306" t="s">
        <v>10969</v>
      </c>
    </row>
    <row r="1949" spans="1:10" ht="14.5" customHeight="1" x14ac:dyDescent="0.25">
      <c r="A1949" s="278" t="s">
        <v>3705</v>
      </c>
      <c r="B1949" s="278" t="s">
        <v>10904</v>
      </c>
      <c r="C1949" s="278" t="s">
        <v>10848</v>
      </c>
      <c r="D1949" s="279" t="s">
        <v>10849</v>
      </c>
      <c r="E1949" s="306" t="s">
        <v>10969</v>
      </c>
      <c r="F1949" s="278" t="s">
        <v>4109</v>
      </c>
      <c r="G1949" s="278" t="s">
        <v>4108</v>
      </c>
      <c r="H1949" s="306" t="s">
        <v>11281</v>
      </c>
      <c r="I1949" s="269" t="s">
        <v>11282</v>
      </c>
      <c r="J1949" s="306" t="s">
        <v>10969</v>
      </c>
    </row>
    <row r="1950" spans="1:10" ht="14.5" customHeight="1" x14ac:dyDescent="0.25">
      <c r="A1950" s="282" t="s">
        <v>3705</v>
      </c>
      <c r="B1950" s="278" t="s">
        <v>10904</v>
      </c>
      <c r="C1950" s="278" t="s">
        <v>10851</v>
      </c>
      <c r="D1950" s="279" t="s">
        <v>10852</v>
      </c>
      <c r="E1950" s="306" t="s">
        <v>10969</v>
      </c>
      <c r="F1950" s="282" t="s">
        <v>4108</v>
      </c>
      <c r="G1950" s="278" t="s">
        <v>4108</v>
      </c>
      <c r="H1950" s="306" t="s">
        <v>11362</v>
      </c>
      <c r="I1950" s="269" t="s">
        <v>11363</v>
      </c>
      <c r="J1950" s="306" t="s">
        <v>10969</v>
      </c>
    </row>
    <row r="1951" spans="1:10" ht="14.5" customHeight="1" x14ac:dyDescent="0.25">
      <c r="A1951" s="282" t="s">
        <v>3705</v>
      </c>
      <c r="B1951" s="278" t="s">
        <v>10904</v>
      </c>
      <c r="C1951" s="278" t="s">
        <v>10853</v>
      </c>
      <c r="D1951" s="279" t="s">
        <v>10854</v>
      </c>
      <c r="E1951" s="306" t="s">
        <v>10969</v>
      </c>
      <c r="F1951" s="282" t="s">
        <v>4108</v>
      </c>
      <c r="G1951" s="278" t="s">
        <v>4108</v>
      </c>
      <c r="H1951" s="306" t="s">
        <v>11366</v>
      </c>
      <c r="I1951" s="269" t="s">
        <v>11367</v>
      </c>
      <c r="J1951" s="306" t="s">
        <v>10969</v>
      </c>
    </row>
    <row r="1952" spans="1:10" ht="14.5" customHeight="1" x14ac:dyDescent="0.25">
      <c r="A1952" s="278" t="s">
        <v>3705</v>
      </c>
      <c r="B1952" s="278" t="s">
        <v>10904</v>
      </c>
      <c r="C1952" s="278" t="s">
        <v>10855</v>
      </c>
      <c r="D1952" s="279" t="s">
        <v>10856</v>
      </c>
      <c r="E1952" s="306" t="s">
        <v>10969</v>
      </c>
      <c r="F1952" s="278" t="s">
        <v>4109</v>
      </c>
      <c r="G1952" s="278" t="s">
        <v>4108</v>
      </c>
      <c r="H1952" s="306" t="s">
        <v>11297</v>
      </c>
      <c r="I1952" s="269" t="s">
        <v>11298</v>
      </c>
      <c r="J1952" s="306" t="s">
        <v>10969</v>
      </c>
    </row>
    <row r="1953" spans="1:10" ht="14.5" customHeight="1" x14ac:dyDescent="0.25">
      <c r="A1953" s="278" t="s">
        <v>3705</v>
      </c>
      <c r="B1953" s="278" t="s">
        <v>10904</v>
      </c>
      <c r="C1953" s="278" t="s">
        <v>10855</v>
      </c>
      <c r="D1953" s="279" t="s">
        <v>10856</v>
      </c>
      <c r="E1953" s="306" t="s">
        <v>10969</v>
      </c>
      <c r="F1953" s="278" t="s">
        <v>4109</v>
      </c>
      <c r="G1953" s="278" t="s">
        <v>4108</v>
      </c>
      <c r="H1953" s="306" t="s">
        <v>11299</v>
      </c>
      <c r="I1953" s="269" t="s">
        <v>11300</v>
      </c>
      <c r="J1953" s="306" t="s">
        <v>10969</v>
      </c>
    </row>
    <row r="1954" spans="1:10" ht="14.5" customHeight="1" x14ac:dyDescent="0.25">
      <c r="A1954" s="278" t="s">
        <v>3705</v>
      </c>
      <c r="B1954" s="278" t="s">
        <v>10904</v>
      </c>
      <c r="C1954" s="278" t="s">
        <v>10855</v>
      </c>
      <c r="D1954" s="279" t="s">
        <v>10856</v>
      </c>
      <c r="E1954" s="306" t="s">
        <v>10969</v>
      </c>
      <c r="F1954" s="278" t="s">
        <v>4109</v>
      </c>
      <c r="G1954" s="278" t="s">
        <v>4108</v>
      </c>
      <c r="H1954" s="306" t="s">
        <v>11301</v>
      </c>
      <c r="I1954" s="269" t="s">
        <v>11302</v>
      </c>
      <c r="J1954" s="306" t="s">
        <v>10969</v>
      </c>
    </row>
    <row r="1955" spans="1:10" ht="14.5" customHeight="1" x14ac:dyDescent="0.25">
      <c r="A1955" s="278" t="s">
        <v>3705</v>
      </c>
      <c r="B1955" s="278" t="s">
        <v>10904</v>
      </c>
      <c r="C1955" s="278" t="s">
        <v>10855</v>
      </c>
      <c r="D1955" s="279" t="s">
        <v>10856</v>
      </c>
      <c r="E1955" s="306" t="s">
        <v>10969</v>
      </c>
      <c r="F1955" s="278" t="s">
        <v>4109</v>
      </c>
      <c r="G1955" s="278" t="s">
        <v>4108</v>
      </c>
      <c r="H1955" s="306" t="s">
        <v>11303</v>
      </c>
      <c r="I1955" s="269" t="s">
        <v>11304</v>
      </c>
      <c r="J1955" s="306" t="s">
        <v>10969</v>
      </c>
    </row>
    <row r="1956" spans="1:10" ht="14.5" customHeight="1" x14ac:dyDescent="0.25">
      <c r="A1956" s="278" t="s">
        <v>3705</v>
      </c>
      <c r="B1956" s="278" t="s">
        <v>10904</v>
      </c>
      <c r="C1956" s="278" t="s">
        <v>10855</v>
      </c>
      <c r="D1956" s="279" t="s">
        <v>10856</v>
      </c>
      <c r="E1956" s="306" t="s">
        <v>10969</v>
      </c>
      <c r="F1956" s="278" t="s">
        <v>4109</v>
      </c>
      <c r="G1956" s="278" t="s">
        <v>4108</v>
      </c>
      <c r="H1956" s="306" t="s">
        <v>11323</v>
      </c>
      <c r="I1956" s="269" t="s">
        <v>11324</v>
      </c>
      <c r="J1956" s="306" t="s">
        <v>10969</v>
      </c>
    </row>
    <row r="1957" spans="1:10" ht="14.5" customHeight="1" x14ac:dyDescent="0.25">
      <c r="A1957" s="278" t="s">
        <v>3705</v>
      </c>
      <c r="B1957" s="278" t="s">
        <v>10904</v>
      </c>
      <c r="C1957" s="278" t="s">
        <v>10855</v>
      </c>
      <c r="D1957" s="279" t="s">
        <v>10856</v>
      </c>
      <c r="E1957" s="306" t="s">
        <v>10969</v>
      </c>
      <c r="F1957" s="278" t="s">
        <v>4109</v>
      </c>
      <c r="G1957" s="278" t="s">
        <v>4108</v>
      </c>
      <c r="H1957" s="306" t="s">
        <v>11325</v>
      </c>
      <c r="I1957" s="269" t="s">
        <v>11326</v>
      </c>
      <c r="J1957" s="306" t="s">
        <v>10969</v>
      </c>
    </row>
    <row r="1958" spans="1:10" ht="14.5" customHeight="1" x14ac:dyDescent="0.25">
      <c r="A1958" s="278" t="s">
        <v>3705</v>
      </c>
      <c r="B1958" s="278" t="s">
        <v>10904</v>
      </c>
      <c r="C1958" s="278" t="s">
        <v>10855</v>
      </c>
      <c r="D1958" s="279" t="s">
        <v>10856</v>
      </c>
      <c r="E1958" s="306" t="s">
        <v>10969</v>
      </c>
      <c r="F1958" s="278" t="s">
        <v>4109</v>
      </c>
      <c r="G1958" s="278" t="s">
        <v>4108</v>
      </c>
      <c r="H1958" s="306" t="s">
        <v>11305</v>
      </c>
      <c r="I1958" s="269" t="s">
        <v>11306</v>
      </c>
      <c r="J1958" s="306" t="s">
        <v>10969</v>
      </c>
    </row>
    <row r="1959" spans="1:10" ht="14.5" customHeight="1" x14ac:dyDescent="0.25">
      <c r="A1959" s="278" t="s">
        <v>3705</v>
      </c>
      <c r="B1959" s="278" t="s">
        <v>10904</v>
      </c>
      <c r="C1959" s="278" t="s">
        <v>10855</v>
      </c>
      <c r="D1959" s="279" t="s">
        <v>10856</v>
      </c>
      <c r="E1959" s="306" t="s">
        <v>10969</v>
      </c>
      <c r="F1959" s="278" t="s">
        <v>4109</v>
      </c>
      <c r="G1959" s="278" t="s">
        <v>4108</v>
      </c>
      <c r="H1959" s="306" t="s">
        <v>11307</v>
      </c>
      <c r="I1959" s="269" t="s">
        <v>11308</v>
      </c>
      <c r="J1959" s="306" t="s">
        <v>10969</v>
      </c>
    </row>
    <row r="1960" spans="1:10" ht="14.5" customHeight="1" x14ac:dyDescent="0.25">
      <c r="A1960" s="278" t="s">
        <v>3705</v>
      </c>
      <c r="B1960" s="278" t="s">
        <v>10904</v>
      </c>
      <c r="C1960" s="278" t="s">
        <v>10855</v>
      </c>
      <c r="D1960" s="279" t="s">
        <v>10856</v>
      </c>
      <c r="E1960" s="306" t="s">
        <v>10969</v>
      </c>
      <c r="F1960" s="278" t="s">
        <v>4109</v>
      </c>
      <c r="G1960" s="278" t="s">
        <v>4108</v>
      </c>
      <c r="H1960" s="306" t="s">
        <v>11327</v>
      </c>
      <c r="I1960" s="269" t="s">
        <v>11328</v>
      </c>
      <c r="J1960" s="306" t="s">
        <v>10969</v>
      </c>
    </row>
    <row r="1961" spans="1:10" ht="14.5" customHeight="1" x14ac:dyDescent="0.25">
      <c r="A1961" s="278" t="s">
        <v>3705</v>
      </c>
      <c r="B1961" s="278" t="s">
        <v>10904</v>
      </c>
      <c r="C1961" s="278" t="s">
        <v>10855</v>
      </c>
      <c r="D1961" s="279" t="s">
        <v>10856</v>
      </c>
      <c r="E1961" s="306" t="s">
        <v>10969</v>
      </c>
      <c r="F1961" s="278" t="s">
        <v>4109</v>
      </c>
      <c r="G1961" s="278" t="s">
        <v>4108</v>
      </c>
      <c r="H1961" s="306" t="s">
        <v>11309</v>
      </c>
      <c r="I1961" s="269" t="s">
        <v>11310</v>
      </c>
      <c r="J1961" s="306" t="s">
        <v>10969</v>
      </c>
    </row>
    <row r="1962" spans="1:10" ht="14.5" customHeight="1" x14ac:dyDescent="0.25">
      <c r="A1962" s="278" t="s">
        <v>3705</v>
      </c>
      <c r="B1962" s="278" t="s">
        <v>10904</v>
      </c>
      <c r="C1962" s="278" t="s">
        <v>10855</v>
      </c>
      <c r="D1962" s="279" t="s">
        <v>10856</v>
      </c>
      <c r="E1962" s="306" t="s">
        <v>10969</v>
      </c>
      <c r="F1962" s="278" t="s">
        <v>4109</v>
      </c>
      <c r="G1962" s="278" t="s">
        <v>4108</v>
      </c>
      <c r="H1962" s="306" t="s">
        <v>11331</v>
      </c>
      <c r="I1962" s="269" t="s">
        <v>11332</v>
      </c>
      <c r="J1962" s="306" t="s">
        <v>10969</v>
      </c>
    </row>
    <row r="1963" spans="1:10" ht="14.5" customHeight="1" x14ac:dyDescent="0.25">
      <c r="A1963" s="278" t="s">
        <v>3705</v>
      </c>
      <c r="B1963" s="278" t="s">
        <v>10904</v>
      </c>
      <c r="C1963" s="278" t="s">
        <v>10855</v>
      </c>
      <c r="D1963" s="279" t="s">
        <v>10856</v>
      </c>
      <c r="E1963" s="306" t="s">
        <v>10969</v>
      </c>
      <c r="F1963" s="278" t="s">
        <v>4109</v>
      </c>
      <c r="G1963" s="278" t="s">
        <v>4108</v>
      </c>
      <c r="H1963" s="306" t="s">
        <v>11311</v>
      </c>
      <c r="I1963" s="269" t="s">
        <v>11312</v>
      </c>
      <c r="J1963" s="306" t="s">
        <v>10969</v>
      </c>
    </row>
    <row r="1964" spans="1:10" ht="14.5" customHeight="1" x14ac:dyDescent="0.25">
      <c r="A1964" s="278" t="s">
        <v>3705</v>
      </c>
      <c r="B1964" s="278" t="s">
        <v>10904</v>
      </c>
      <c r="C1964" s="278" t="s">
        <v>10855</v>
      </c>
      <c r="D1964" s="279" t="s">
        <v>10856</v>
      </c>
      <c r="E1964" s="306" t="s">
        <v>10969</v>
      </c>
      <c r="F1964" s="278" t="s">
        <v>4109</v>
      </c>
      <c r="G1964" s="278" t="s">
        <v>4108</v>
      </c>
      <c r="H1964" s="306" t="s">
        <v>11313</v>
      </c>
      <c r="I1964" s="269" t="s">
        <v>11314</v>
      </c>
      <c r="J1964" s="306" t="s">
        <v>10969</v>
      </c>
    </row>
    <row r="1965" spans="1:10" ht="14.5" customHeight="1" x14ac:dyDescent="0.25">
      <c r="A1965" s="278" t="s">
        <v>3705</v>
      </c>
      <c r="B1965" s="278" t="s">
        <v>10904</v>
      </c>
      <c r="C1965" s="278" t="s">
        <v>10855</v>
      </c>
      <c r="D1965" s="279" t="s">
        <v>10856</v>
      </c>
      <c r="E1965" s="306" t="s">
        <v>10969</v>
      </c>
      <c r="F1965" s="278" t="s">
        <v>4109</v>
      </c>
      <c r="G1965" s="278" t="s">
        <v>4108</v>
      </c>
      <c r="H1965" s="306" t="s">
        <v>11315</v>
      </c>
      <c r="I1965" s="269" t="s">
        <v>11316</v>
      </c>
      <c r="J1965" s="306" t="s">
        <v>10969</v>
      </c>
    </row>
    <row r="1966" spans="1:10" ht="14.5" customHeight="1" x14ac:dyDescent="0.25">
      <c r="A1966" s="278" t="s">
        <v>3705</v>
      </c>
      <c r="B1966" s="278" t="s">
        <v>10904</v>
      </c>
      <c r="C1966" s="278" t="s">
        <v>10855</v>
      </c>
      <c r="D1966" s="279" t="s">
        <v>10856</v>
      </c>
      <c r="E1966" s="306" t="s">
        <v>10969</v>
      </c>
      <c r="F1966" s="278" t="s">
        <v>4109</v>
      </c>
      <c r="G1966" s="278" t="s">
        <v>4108</v>
      </c>
      <c r="H1966" s="306" t="s">
        <v>11317</v>
      </c>
      <c r="I1966" s="269" t="s">
        <v>11318</v>
      </c>
      <c r="J1966" s="306" t="s">
        <v>10969</v>
      </c>
    </row>
    <row r="1967" spans="1:10" ht="14.5" customHeight="1" x14ac:dyDescent="0.25">
      <c r="A1967" s="278" t="s">
        <v>3705</v>
      </c>
      <c r="B1967" s="278" t="s">
        <v>10904</v>
      </c>
      <c r="C1967" s="278" t="s">
        <v>10855</v>
      </c>
      <c r="D1967" s="279" t="s">
        <v>10856</v>
      </c>
      <c r="E1967" s="306" t="s">
        <v>10969</v>
      </c>
      <c r="F1967" s="278" t="s">
        <v>4109</v>
      </c>
      <c r="G1967" s="278" t="s">
        <v>4108</v>
      </c>
      <c r="H1967" s="306" t="s">
        <v>11319</v>
      </c>
      <c r="I1967" s="269" t="s">
        <v>11320</v>
      </c>
      <c r="J1967" s="306" t="s">
        <v>10969</v>
      </c>
    </row>
    <row r="1968" spans="1:10" ht="14.5" customHeight="1" x14ac:dyDescent="0.25">
      <c r="A1968" s="278" t="s">
        <v>3705</v>
      </c>
      <c r="B1968" s="278" t="s">
        <v>10904</v>
      </c>
      <c r="C1968" s="278" t="s">
        <v>10855</v>
      </c>
      <c r="D1968" s="279" t="s">
        <v>10856</v>
      </c>
      <c r="E1968" s="306" t="s">
        <v>10969</v>
      </c>
      <c r="F1968" s="278" t="s">
        <v>4109</v>
      </c>
      <c r="G1968" s="278" t="s">
        <v>4108</v>
      </c>
      <c r="H1968" s="306" t="s">
        <v>11250</v>
      </c>
      <c r="I1968" s="269" t="s">
        <v>11251</v>
      </c>
      <c r="J1968" s="306" t="s">
        <v>10969</v>
      </c>
    </row>
    <row r="1969" spans="1:10" ht="14.5" customHeight="1" x14ac:dyDescent="0.25">
      <c r="A1969" s="278" t="s">
        <v>3705</v>
      </c>
      <c r="B1969" s="278" t="s">
        <v>10904</v>
      </c>
      <c r="C1969" s="278" t="s">
        <v>10855</v>
      </c>
      <c r="D1969" s="279" t="s">
        <v>10856</v>
      </c>
      <c r="E1969" s="306" t="s">
        <v>10969</v>
      </c>
      <c r="F1969" s="278" t="s">
        <v>4109</v>
      </c>
      <c r="G1969" s="278" t="s">
        <v>4108</v>
      </c>
      <c r="H1969" s="306" t="s">
        <v>11333</v>
      </c>
      <c r="I1969" s="269" t="s">
        <v>11334</v>
      </c>
      <c r="J1969" s="306" t="s">
        <v>10969</v>
      </c>
    </row>
    <row r="1970" spans="1:10" ht="14.5" customHeight="1" x14ac:dyDescent="0.25">
      <c r="A1970" s="278" t="s">
        <v>3705</v>
      </c>
      <c r="B1970" s="278" t="s">
        <v>10904</v>
      </c>
      <c r="C1970" s="278" t="s">
        <v>10855</v>
      </c>
      <c r="D1970" s="279" t="s">
        <v>10856</v>
      </c>
      <c r="E1970" s="306" t="s">
        <v>10969</v>
      </c>
      <c r="F1970" s="278" t="s">
        <v>4109</v>
      </c>
      <c r="G1970" s="278" t="s">
        <v>4108</v>
      </c>
      <c r="H1970" s="306" t="s">
        <v>11321</v>
      </c>
      <c r="I1970" s="269" t="s">
        <v>11322</v>
      </c>
      <c r="J1970" s="306" t="s">
        <v>10969</v>
      </c>
    </row>
    <row r="1971" spans="1:10" ht="14.5" customHeight="1" x14ac:dyDescent="0.25">
      <c r="A1971" s="278" t="s">
        <v>3705</v>
      </c>
      <c r="B1971" s="278" t="s">
        <v>10904</v>
      </c>
      <c r="C1971" s="278" t="s">
        <v>10858</v>
      </c>
      <c r="D1971" s="279" t="s">
        <v>10859</v>
      </c>
      <c r="E1971" s="306" t="s">
        <v>10969</v>
      </c>
      <c r="F1971" s="278" t="s">
        <v>4109</v>
      </c>
      <c r="G1971" s="278" t="s">
        <v>4108</v>
      </c>
      <c r="H1971" s="306" t="s">
        <v>11240</v>
      </c>
      <c r="I1971" s="269" t="s">
        <v>11241</v>
      </c>
      <c r="J1971" s="306" t="s">
        <v>10969</v>
      </c>
    </row>
    <row r="1972" spans="1:10" ht="14.5" customHeight="1" x14ac:dyDescent="0.25">
      <c r="A1972" s="278" t="s">
        <v>3705</v>
      </c>
      <c r="B1972" s="278" t="s">
        <v>10904</v>
      </c>
      <c r="C1972" s="278" t="s">
        <v>10858</v>
      </c>
      <c r="D1972" s="279" t="s">
        <v>10859</v>
      </c>
      <c r="E1972" s="306" t="s">
        <v>10969</v>
      </c>
      <c r="F1972" s="278" t="s">
        <v>4109</v>
      </c>
      <c r="G1972" s="278" t="s">
        <v>4108</v>
      </c>
      <c r="H1972" s="306" t="s">
        <v>11203</v>
      </c>
      <c r="I1972" s="269" t="s">
        <v>11225</v>
      </c>
      <c r="J1972" s="306" t="s">
        <v>10969</v>
      </c>
    </row>
    <row r="1973" spans="1:10" ht="14.5" customHeight="1" x14ac:dyDescent="0.25">
      <c r="A1973" s="278" t="s">
        <v>3705</v>
      </c>
      <c r="B1973" s="278" t="s">
        <v>10904</v>
      </c>
      <c r="C1973" s="278" t="s">
        <v>10858</v>
      </c>
      <c r="D1973" s="279" t="s">
        <v>10859</v>
      </c>
      <c r="E1973" s="306" t="s">
        <v>10969</v>
      </c>
      <c r="F1973" s="278" t="s">
        <v>4109</v>
      </c>
      <c r="G1973" s="278" t="s">
        <v>4108</v>
      </c>
      <c r="H1973" s="306" t="s">
        <v>11236</v>
      </c>
      <c r="I1973" s="269" t="s">
        <v>11237</v>
      </c>
      <c r="J1973" s="306" t="s">
        <v>10969</v>
      </c>
    </row>
    <row r="1974" spans="1:10" ht="14.5" customHeight="1" x14ac:dyDescent="0.25">
      <c r="A1974" s="278" t="s">
        <v>3705</v>
      </c>
      <c r="B1974" s="278" t="s">
        <v>10904</v>
      </c>
      <c r="C1974" s="278" t="s">
        <v>10858</v>
      </c>
      <c r="D1974" s="279" t="s">
        <v>10859</v>
      </c>
      <c r="E1974" s="306" t="s">
        <v>10969</v>
      </c>
      <c r="F1974" s="278" t="s">
        <v>4109</v>
      </c>
      <c r="G1974" s="278" t="s">
        <v>4108</v>
      </c>
      <c r="H1974" s="306" t="s">
        <v>11187</v>
      </c>
      <c r="I1974" s="269" t="s">
        <v>11188</v>
      </c>
      <c r="J1974" s="306" t="s">
        <v>10969</v>
      </c>
    </row>
    <row r="1975" spans="1:10" ht="14.5" customHeight="1" x14ac:dyDescent="0.25">
      <c r="A1975" s="278" t="s">
        <v>3705</v>
      </c>
      <c r="B1975" s="278" t="s">
        <v>10904</v>
      </c>
      <c r="C1975" s="278" t="s">
        <v>10858</v>
      </c>
      <c r="D1975" s="279" t="s">
        <v>10859</v>
      </c>
      <c r="E1975" s="306" t="s">
        <v>10969</v>
      </c>
      <c r="F1975" s="278" t="s">
        <v>4109</v>
      </c>
      <c r="G1975" s="278" t="s">
        <v>4108</v>
      </c>
      <c r="H1975" s="306" t="s">
        <v>11205</v>
      </c>
      <c r="I1975" s="269" t="s">
        <v>11206</v>
      </c>
      <c r="J1975" s="306" t="s">
        <v>10969</v>
      </c>
    </row>
    <row r="1976" spans="1:10" ht="14.5" customHeight="1" x14ac:dyDescent="0.25">
      <c r="A1976" s="278" t="s">
        <v>3705</v>
      </c>
      <c r="B1976" s="278" t="s">
        <v>10904</v>
      </c>
      <c r="C1976" s="278" t="s">
        <v>10858</v>
      </c>
      <c r="D1976" s="279" t="s">
        <v>10859</v>
      </c>
      <c r="E1976" s="306" t="s">
        <v>10969</v>
      </c>
      <c r="F1976" s="278" t="s">
        <v>4109</v>
      </c>
      <c r="G1976" s="278" t="s">
        <v>4108</v>
      </c>
      <c r="H1976" s="306" t="s">
        <v>11207</v>
      </c>
      <c r="I1976" s="269" t="s">
        <v>11208</v>
      </c>
      <c r="J1976" s="306" t="s">
        <v>10969</v>
      </c>
    </row>
    <row r="1977" spans="1:10" ht="14.5" customHeight="1" x14ac:dyDescent="0.25">
      <c r="A1977" s="278" t="s">
        <v>3705</v>
      </c>
      <c r="B1977" s="278" t="s">
        <v>10904</v>
      </c>
      <c r="C1977" s="278" t="s">
        <v>10858</v>
      </c>
      <c r="D1977" s="279" t="s">
        <v>10859</v>
      </c>
      <c r="E1977" s="306" t="s">
        <v>10969</v>
      </c>
      <c r="F1977" s="278" t="s">
        <v>4109</v>
      </c>
      <c r="G1977" s="278" t="s">
        <v>4108</v>
      </c>
      <c r="H1977" s="306" t="s">
        <v>11189</v>
      </c>
      <c r="I1977" s="269" t="s">
        <v>11190</v>
      </c>
      <c r="J1977" s="306" t="s">
        <v>10969</v>
      </c>
    </row>
    <row r="1978" spans="1:10" ht="14.5" customHeight="1" x14ac:dyDescent="0.25">
      <c r="A1978" s="278" t="s">
        <v>3705</v>
      </c>
      <c r="B1978" s="278" t="s">
        <v>10904</v>
      </c>
      <c r="C1978" s="278" t="s">
        <v>10858</v>
      </c>
      <c r="D1978" s="279" t="s">
        <v>10859</v>
      </c>
      <c r="E1978" s="306" t="s">
        <v>10969</v>
      </c>
      <c r="F1978" s="278" t="s">
        <v>4109</v>
      </c>
      <c r="G1978" s="278" t="s">
        <v>4108</v>
      </c>
      <c r="H1978" s="306" t="s">
        <v>11191</v>
      </c>
      <c r="I1978" s="269" t="s">
        <v>11192</v>
      </c>
      <c r="J1978" s="306" t="s">
        <v>10969</v>
      </c>
    </row>
    <row r="1979" spans="1:10" ht="14.5" customHeight="1" x14ac:dyDescent="0.25">
      <c r="A1979" s="278" t="s">
        <v>3705</v>
      </c>
      <c r="B1979" s="278" t="s">
        <v>10904</v>
      </c>
      <c r="C1979" s="278" t="s">
        <v>10858</v>
      </c>
      <c r="D1979" s="279" t="s">
        <v>10859</v>
      </c>
      <c r="E1979" s="306" t="s">
        <v>10969</v>
      </c>
      <c r="F1979" s="278" t="s">
        <v>4109</v>
      </c>
      <c r="G1979" s="278" t="s">
        <v>4108</v>
      </c>
      <c r="H1979" s="306" t="s">
        <v>11209</v>
      </c>
      <c r="I1979" s="269" t="s">
        <v>11210</v>
      </c>
      <c r="J1979" s="306" t="s">
        <v>10969</v>
      </c>
    </row>
    <row r="1980" spans="1:10" ht="14.5" customHeight="1" x14ac:dyDescent="0.25">
      <c r="A1980" s="278" t="s">
        <v>3705</v>
      </c>
      <c r="B1980" s="278" t="s">
        <v>10904</v>
      </c>
      <c r="C1980" s="278" t="s">
        <v>10858</v>
      </c>
      <c r="D1980" s="279" t="s">
        <v>10859</v>
      </c>
      <c r="E1980" s="306" t="s">
        <v>10969</v>
      </c>
      <c r="F1980" s="278" t="s">
        <v>4109</v>
      </c>
      <c r="G1980" s="278" t="s">
        <v>4108</v>
      </c>
      <c r="H1980" s="306" t="s">
        <v>11238</v>
      </c>
      <c r="I1980" s="269" t="s">
        <v>11239</v>
      </c>
      <c r="J1980" s="306" t="s">
        <v>10969</v>
      </c>
    </row>
    <row r="1981" spans="1:10" ht="14.5" customHeight="1" x14ac:dyDescent="0.25">
      <c r="A1981" s="278" t="s">
        <v>3705</v>
      </c>
      <c r="B1981" s="278" t="s">
        <v>10904</v>
      </c>
      <c r="C1981" s="278" t="s">
        <v>10858</v>
      </c>
      <c r="D1981" s="279" t="s">
        <v>10859</v>
      </c>
      <c r="E1981" s="306" t="s">
        <v>10969</v>
      </c>
      <c r="F1981" s="278" t="s">
        <v>4109</v>
      </c>
      <c r="G1981" s="278" t="s">
        <v>4108</v>
      </c>
      <c r="H1981" s="306" t="s">
        <v>11193</v>
      </c>
      <c r="I1981" s="269" t="s">
        <v>11194</v>
      </c>
      <c r="J1981" s="306" t="s">
        <v>10969</v>
      </c>
    </row>
    <row r="1982" spans="1:10" ht="14.5" customHeight="1" x14ac:dyDescent="0.25">
      <c r="A1982" s="278" t="s">
        <v>3705</v>
      </c>
      <c r="B1982" s="278" t="s">
        <v>10904</v>
      </c>
      <c r="C1982" s="278" t="s">
        <v>10861</v>
      </c>
      <c r="D1982" s="279" t="s">
        <v>10862</v>
      </c>
      <c r="E1982" s="306" t="s">
        <v>10969</v>
      </c>
      <c r="F1982" s="278" t="s">
        <v>4109</v>
      </c>
      <c r="G1982" s="278" t="s">
        <v>4108</v>
      </c>
      <c r="H1982" s="306" t="s">
        <v>11350</v>
      </c>
      <c r="I1982" s="269" t="s">
        <v>11351</v>
      </c>
      <c r="J1982" s="306" t="s">
        <v>10969</v>
      </c>
    </row>
    <row r="1983" spans="1:10" ht="14.5" customHeight="1" x14ac:dyDescent="0.25">
      <c r="A1983" s="278" t="s">
        <v>3705</v>
      </c>
      <c r="B1983" s="278" t="s">
        <v>10904</v>
      </c>
      <c r="C1983" s="278" t="s">
        <v>10861</v>
      </c>
      <c r="D1983" s="279" t="s">
        <v>10862</v>
      </c>
      <c r="E1983" s="306" t="s">
        <v>10969</v>
      </c>
      <c r="F1983" s="278" t="s">
        <v>4109</v>
      </c>
      <c r="G1983" s="278" t="s">
        <v>4108</v>
      </c>
      <c r="H1983" s="306" t="s">
        <v>11354</v>
      </c>
      <c r="I1983" s="269" t="s">
        <v>11355</v>
      </c>
      <c r="J1983" s="306" t="s">
        <v>10969</v>
      </c>
    </row>
    <row r="1984" spans="1:10" ht="14.5" customHeight="1" x14ac:dyDescent="0.25">
      <c r="A1984" s="278" t="s">
        <v>3705</v>
      </c>
      <c r="B1984" s="278" t="s">
        <v>10904</v>
      </c>
      <c r="C1984" s="278" t="s">
        <v>10861</v>
      </c>
      <c r="D1984" s="279" t="s">
        <v>10862</v>
      </c>
      <c r="E1984" s="306" t="s">
        <v>10969</v>
      </c>
      <c r="F1984" s="278" t="s">
        <v>4109</v>
      </c>
      <c r="G1984" s="278" t="s">
        <v>4108</v>
      </c>
      <c r="H1984" s="306" t="s">
        <v>11195</v>
      </c>
      <c r="I1984" s="269" t="s">
        <v>11196</v>
      </c>
      <c r="J1984" s="306" t="s">
        <v>10969</v>
      </c>
    </row>
    <row r="1985" spans="1:10" ht="14.5" customHeight="1" x14ac:dyDescent="0.25">
      <c r="A1985" s="278" t="s">
        <v>3705</v>
      </c>
      <c r="B1985" s="278" t="s">
        <v>10904</v>
      </c>
      <c r="C1985" s="278" t="s">
        <v>10861</v>
      </c>
      <c r="D1985" s="279" t="s">
        <v>10862</v>
      </c>
      <c r="E1985" s="306" t="s">
        <v>10969</v>
      </c>
      <c r="F1985" s="278" t="s">
        <v>4109</v>
      </c>
      <c r="G1985" s="278" t="s">
        <v>4108</v>
      </c>
      <c r="H1985" s="306" t="s">
        <v>11197</v>
      </c>
      <c r="I1985" s="269" t="s">
        <v>11198</v>
      </c>
      <c r="J1985" s="306" t="s">
        <v>10969</v>
      </c>
    </row>
    <row r="1986" spans="1:10" ht="14.5" customHeight="1" x14ac:dyDescent="0.25">
      <c r="A1986" s="278" t="s">
        <v>3705</v>
      </c>
      <c r="B1986" s="278" t="s">
        <v>10904</v>
      </c>
      <c r="C1986" s="278" t="s">
        <v>10861</v>
      </c>
      <c r="D1986" s="279" t="s">
        <v>10862</v>
      </c>
      <c r="E1986" s="306" t="s">
        <v>10969</v>
      </c>
      <c r="F1986" s="278" t="s">
        <v>4109</v>
      </c>
      <c r="G1986" s="278" t="s">
        <v>4108</v>
      </c>
      <c r="H1986" s="306" t="s">
        <v>11199</v>
      </c>
      <c r="I1986" s="269" t="s">
        <v>11200</v>
      </c>
      <c r="J1986" s="306" t="s">
        <v>10969</v>
      </c>
    </row>
    <row r="1987" spans="1:10" ht="14.5" customHeight="1" x14ac:dyDescent="0.25">
      <c r="A1987" s="278" t="s">
        <v>3705</v>
      </c>
      <c r="B1987" s="278" t="s">
        <v>10904</v>
      </c>
      <c r="C1987" s="278" t="s">
        <v>10861</v>
      </c>
      <c r="D1987" s="279" t="s">
        <v>10862</v>
      </c>
      <c r="E1987" s="306" t="s">
        <v>10969</v>
      </c>
      <c r="F1987" s="278" t="s">
        <v>4109</v>
      </c>
      <c r="G1987" s="278" t="s">
        <v>4108</v>
      </c>
      <c r="H1987" s="306" t="s">
        <v>11201</v>
      </c>
      <c r="I1987" s="269" t="s">
        <v>11202</v>
      </c>
      <c r="J1987" s="306" t="s">
        <v>10969</v>
      </c>
    </row>
    <row r="1988" spans="1:10" ht="14.5" customHeight="1" x14ac:dyDescent="0.25">
      <c r="A1988" s="278" t="s">
        <v>3705</v>
      </c>
      <c r="B1988" s="278" t="s">
        <v>10904</v>
      </c>
      <c r="C1988" s="278" t="s">
        <v>10861</v>
      </c>
      <c r="D1988" s="279" t="s">
        <v>10862</v>
      </c>
      <c r="E1988" s="306" t="s">
        <v>10969</v>
      </c>
      <c r="F1988" s="278" t="s">
        <v>4109</v>
      </c>
      <c r="G1988" s="278" t="s">
        <v>4108</v>
      </c>
      <c r="H1988" s="306" t="s">
        <v>11217</v>
      </c>
      <c r="I1988" s="269" t="s">
        <v>11218</v>
      </c>
      <c r="J1988" s="306" t="s">
        <v>10969</v>
      </c>
    </row>
    <row r="1989" spans="1:10" ht="14.5" customHeight="1" x14ac:dyDescent="0.25">
      <c r="A1989" s="278" t="s">
        <v>3705</v>
      </c>
      <c r="B1989" s="278" t="s">
        <v>10904</v>
      </c>
      <c r="C1989" s="278" t="s">
        <v>10861</v>
      </c>
      <c r="D1989" s="279" t="s">
        <v>10862</v>
      </c>
      <c r="E1989" s="306" t="s">
        <v>10969</v>
      </c>
      <c r="F1989" s="278" t="s">
        <v>4109</v>
      </c>
      <c r="G1989" s="278" t="s">
        <v>4108</v>
      </c>
      <c r="H1989" s="306" t="s">
        <v>11223</v>
      </c>
      <c r="I1989" s="269" t="s">
        <v>11224</v>
      </c>
      <c r="J1989" s="306" t="s">
        <v>10969</v>
      </c>
    </row>
    <row r="1990" spans="1:10" ht="14.5" customHeight="1" x14ac:dyDescent="0.25">
      <c r="A1990" s="278" t="s">
        <v>3705</v>
      </c>
      <c r="B1990" s="278" t="s">
        <v>10904</v>
      </c>
      <c r="C1990" s="278" t="s">
        <v>10861</v>
      </c>
      <c r="D1990" s="279" t="s">
        <v>10862</v>
      </c>
      <c r="E1990" s="306" t="s">
        <v>10969</v>
      </c>
      <c r="F1990" s="278" t="s">
        <v>4109</v>
      </c>
      <c r="G1990" s="278" t="s">
        <v>4108</v>
      </c>
      <c r="H1990" s="306" t="s">
        <v>11228</v>
      </c>
      <c r="I1990" s="269" t="s">
        <v>11229</v>
      </c>
      <c r="J1990" s="306" t="s">
        <v>10969</v>
      </c>
    </row>
    <row r="1991" spans="1:10" ht="14.5" customHeight="1" x14ac:dyDescent="0.25">
      <c r="A1991" s="278" t="s">
        <v>3705</v>
      </c>
      <c r="B1991" s="278" t="s">
        <v>10904</v>
      </c>
      <c r="C1991" s="278" t="s">
        <v>10861</v>
      </c>
      <c r="D1991" s="279" t="s">
        <v>10862</v>
      </c>
      <c r="E1991" s="306" t="s">
        <v>10969</v>
      </c>
      <c r="F1991" s="278" t="s">
        <v>4109</v>
      </c>
      <c r="G1991" s="278" t="s">
        <v>4108</v>
      </c>
      <c r="H1991" s="306" t="s">
        <v>11230</v>
      </c>
      <c r="I1991" s="269" t="s">
        <v>11231</v>
      </c>
      <c r="J1991" s="306" t="s">
        <v>10969</v>
      </c>
    </row>
    <row r="1992" spans="1:10" ht="14.5" customHeight="1" x14ac:dyDescent="0.25">
      <c r="A1992" s="278" t="s">
        <v>3705</v>
      </c>
      <c r="B1992" s="278" t="s">
        <v>10904</v>
      </c>
      <c r="C1992" s="278" t="s">
        <v>10861</v>
      </c>
      <c r="D1992" s="279" t="s">
        <v>10862</v>
      </c>
      <c r="E1992" s="306" t="s">
        <v>10969</v>
      </c>
      <c r="F1992" s="278" t="s">
        <v>4109</v>
      </c>
      <c r="G1992" s="278" t="s">
        <v>4108</v>
      </c>
      <c r="H1992" s="306" t="s">
        <v>11232</v>
      </c>
      <c r="I1992" s="269" t="s">
        <v>11233</v>
      </c>
      <c r="J1992" s="306" t="s">
        <v>10969</v>
      </c>
    </row>
    <row r="1993" spans="1:10" ht="14.5" customHeight="1" x14ac:dyDescent="0.25">
      <c r="A1993" s="278" t="s">
        <v>3705</v>
      </c>
      <c r="B1993" s="278" t="s">
        <v>10904</v>
      </c>
      <c r="C1993" s="278" t="s">
        <v>10861</v>
      </c>
      <c r="D1993" s="279" t="s">
        <v>10862</v>
      </c>
      <c r="E1993" s="306" t="s">
        <v>10969</v>
      </c>
      <c r="F1993" s="278" t="s">
        <v>4109</v>
      </c>
      <c r="G1993" s="278" t="s">
        <v>4108</v>
      </c>
      <c r="H1993" s="306" t="s">
        <v>11234</v>
      </c>
      <c r="I1993" s="269" t="s">
        <v>11235</v>
      </c>
      <c r="J1993" s="306" t="s">
        <v>10969</v>
      </c>
    </row>
    <row r="1994" spans="1:10" ht="14.5" customHeight="1" x14ac:dyDescent="0.25">
      <c r="A1994" s="278" t="s">
        <v>3705</v>
      </c>
      <c r="B1994" s="278" t="s">
        <v>10904</v>
      </c>
      <c r="C1994" s="278" t="s">
        <v>10861</v>
      </c>
      <c r="D1994" s="279" t="s">
        <v>10862</v>
      </c>
      <c r="E1994" s="306" t="s">
        <v>10969</v>
      </c>
      <c r="F1994" s="278" t="s">
        <v>4109</v>
      </c>
      <c r="G1994" s="278" t="s">
        <v>4108</v>
      </c>
      <c r="H1994" s="306" t="s">
        <v>11352</v>
      </c>
      <c r="I1994" s="269" t="s">
        <v>11353</v>
      </c>
      <c r="J1994" s="306" t="s">
        <v>10969</v>
      </c>
    </row>
    <row r="1995" spans="1:10" ht="14.5" customHeight="1" x14ac:dyDescent="0.25">
      <c r="A1995" s="278" t="s">
        <v>3705</v>
      </c>
      <c r="B1995" s="278" t="s">
        <v>10904</v>
      </c>
      <c r="C1995" s="278" t="s">
        <v>10861</v>
      </c>
      <c r="D1995" s="279" t="s">
        <v>10862</v>
      </c>
      <c r="E1995" s="306" t="s">
        <v>10969</v>
      </c>
      <c r="F1995" s="278" t="s">
        <v>4109</v>
      </c>
      <c r="G1995" s="278" t="s">
        <v>4108</v>
      </c>
      <c r="H1995" s="306" t="s">
        <v>11226</v>
      </c>
      <c r="I1995" s="269" t="s">
        <v>11227</v>
      </c>
      <c r="J1995" s="306" t="s">
        <v>10969</v>
      </c>
    </row>
    <row r="1996" spans="1:10" ht="14.5" customHeight="1" x14ac:dyDescent="0.25">
      <c r="A1996" s="278" t="s">
        <v>3705</v>
      </c>
      <c r="B1996" s="278" t="s">
        <v>10904</v>
      </c>
      <c r="C1996" s="278" t="s">
        <v>10864</v>
      </c>
      <c r="D1996" s="279" t="s">
        <v>10865</v>
      </c>
      <c r="E1996" s="306" t="s">
        <v>10969</v>
      </c>
      <c r="F1996" s="278" t="s">
        <v>4109</v>
      </c>
      <c r="G1996" s="278" t="s">
        <v>4108</v>
      </c>
      <c r="H1996" s="306" t="s">
        <v>11283</v>
      </c>
      <c r="I1996" s="269" t="s">
        <v>11284</v>
      </c>
      <c r="J1996" s="306" t="s">
        <v>10969</v>
      </c>
    </row>
    <row r="1997" spans="1:10" ht="14.5" customHeight="1" x14ac:dyDescent="0.25">
      <c r="A1997" s="278" t="s">
        <v>3705</v>
      </c>
      <c r="B1997" s="278" t="s">
        <v>10904</v>
      </c>
      <c r="C1997" s="278" t="s">
        <v>10864</v>
      </c>
      <c r="D1997" s="279" t="s">
        <v>10865</v>
      </c>
      <c r="E1997" s="306" t="s">
        <v>10969</v>
      </c>
      <c r="F1997" s="278" t="s">
        <v>4109</v>
      </c>
      <c r="G1997" s="278" t="s">
        <v>4108</v>
      </c>
      <c r="H1997" s="306" t="s">
        <v>11337</v>
      </c>
      <c r="I1997" s="269" t="s">
        <v>11338</v>
      </c>
      <c r="J1997" s="306" t="s">
        <v>10969</v>
      </c>
    </row>
    <row r="1998" spans="1:10" ht="14.5" customHeight="1" x14ac:dyDescent="0.25">
      <c r="A1998" s="278" t="s">
        <v>3705</v>
      </c>
      <c r="B1998" s="278" t="s">
        <v>10904</v>
      </c>
      <c r="C1998" s="278" t="s">
        <v>10864</v>
      </c>
      <c r="D1998" s="279" t="s">
        <v>10865</v>
      </c>
      <c r="E1998" s="306" t="s">
        <v>10969</v>
      </c>
      <c r="F1998" s="278" t="s">
        <v>4109</v>
      </c>
      <c r="G1998" s="278" t="s">
        <v>4108</v>
      </c>
      <c r="H1998" s="306" t="s">
        <v>11339</v>
      </c>
      <c r="I1998" s="269" t="s">
        <v>11340</v>
      </c>
      <c r="J1998" s="306" t="s">
        <v>10969</v>
      </c>
    </row>
    <row r="1999" spans="1:10" ht="14.5" customHeight="1" x14ac:dyDescent="0.25">
      <c r="A1999" s="278" t="s">
        <v>3705</v>
      </c>
      <c r="B1999" s="278" t="s">
        <v>10904</v>
      </c>
      <c r="C1999" s="278" t="s">
        <v>10864</v>
      </c>
      <c r="D1999" s="279" t="s">
        <v>10865</v>
      </c>
      <c r="E1999" s="306" t="s">
        <v>10969</v>
      </c>
      <c r="F1999" s="278" t="s">
        <v>4109</v>
      </c>
      <c r="G1999" s="278" t="s">
        <v>4108</v>
      </c>
      <c r="H1999" s="306" t="s">
        <v>11276</v>
      </c>
      <c r="I1999" s="269" t="s">
        <v>11277</v>
      </c>
      <c r="J1999" s="306" t="s">
        <v>10969</v>
      </c>
    </row>
    <row r="2000" spans="1:10" ht="14.5" customHeight="1" x14ac:dyDescent="0.25">
      <c r="A2000" s="278" t="s">
        <v>3705</v>
      </c>
      <c r="B2000" s="278" t="s">
        <v>10904</v>
      </c>
      <c r="C2000" s="278" t="s">
        <v>10864</v>
      </c>
      <c r="D2000" s="279" t="s">
        <v>10865</v>
      </c>
      <c r="E2000" s="306" t="s">
        <v>10969</v>
      </c>
      <c r="F2000" s="278" t="s">
        <v>4109</v>
      </c>
      <c r="G2000" s="278" t="s">
        <v>4108</v>
      </c>
      <c r="H2000" s="306" t="s">
        <v>11278</v>
      </c>
      <c r="I2000" s="269" t="s">
        <v>11279</v>
      </c>
      <c r="J2000" s="306" t="s">
        <v>10969</v>
      </c>
    </row>
    <row r="2001" spans="1:10" ht="14.5" customHeight="1" x14ac:dyDescent="0.25">
      <c r="A2001" s="278" t="s">
        <v>3705</v>
      </c>
      <c r="B2001" s="278" t="s">
        <v>10904</v>
      </c>
      <c r="C2001" s="278" t="s">
        <v>10864</v>
      </c>
      <c r="D2001" s="279" t="s">
        <v>10865</v>
      </c>
      <c r="E2001" s="306" t="s">
        <v>10969</v>
      </c>
      <c r="F2001" s="278" t="s">
        <v>4109</v>
      </c>
      <c r="G2001" s="278" t="s">
        <v>4108</v>
      </c>
      <c r="H2001" s="306" t="s">
        <v>11280</v>
      </c>
      <c r="I2001" s="269" t="s">
        <v>11279</v>
      </c>
      <c r="J2001" s="306" t="s">
        <v>10969</v>
      </c>
    </row>
    <row r="2002" spans="1:10" ht="14.5" customHeight="1" x14ac:dyDescent="0.25">
      <c r="A2002" s="278" t="s">
        <v>3705</v>
      </c>
      <c r="B2002" s="278" t="s">
        <v>10904</v>
      </c>
      <c r="C2002" s="278" t="s">
        <v>10864</v>
      </c>
      <c r="D2002" s="279" t="s">
        <v>10865</v>
      </c>
      <c r="E2002" s="306" t="s">
        <v>10969</v>
      </c>
      <c r="F2002" s="278" t="s">
        <v>4109</v>
      </c>
      <c r="G2002" s="278" t="s">
        <v>4108</v>
      </c>
      <c r="H2002" s="306" t="s">
        <v>11242</v>
      </c>
      <c r="I2002" s="269" t="s">
        <v>11243</v>
      </c>
      <c r="J2002" s="306" t="s">
        <v>10969</v>
      </c>
    </row>
    <row r="2003" spans="1:10" ht="14.5" customHeight="1" x14ac:dyDescent="0.25">
      <c r="A2003" s="278" t="s">
        <v>3705</v>
      </c>
      <c r="B2003" s="278" t="s">
        <v>10904</v>
      </c>
      <c r="C2003" s="278" t="s">
        <v>10864</v>
      </c>
      <c r="D2003" s="279" t="s">
        <v>10865</v>
      </c>
      <c r="E2003" s="306" t="s">
        <v>10969</v>
      </c>
      <c r="F2003" s="278" t="s">
        <v>4109</v>
      </c>
      <c r="G2003" s="278" t="s">
        <v>4108</v>
      </c>
      <c r="H2003" s="306" t="s">
        <v>11341</v>
      </c>
      <c r="I2003" s="269" t="s">
        <v>11342</v>
      </c>
      <c r="J2003" s="306" t="s">
        <v>10969</v>
      </c>
    </row>
    <row r="2004" spans="1:10" ht="14.5" customHeight="1" x14ac:dyDescent="0.25">
      <c r="A2004" s="278" t="s">
        <v>3705</v>
      </c>
      <c r="B2004" s="278" t="s">
        <v>10904</v>
      </c>
      <c r="C2004" s="278" t="s">
        <v>10864</v>
      </c>
      <c r="D2004" s="279" t="s">
        <v>10865</v>
      </c>
      <c r="E2004" s="306" t="s">
        <v>10969</v>
      </c>
      <c r="F2004" s="278" t="s">
        <v>4109</v>
      </c>
      <c r="G2004" s="278" t="s">
        <v>4108</v>
      </c>
      <c r="H2004" s="306" t="s">
        <v>11335</v>
      </c>
      <c r="I2004" s="269" t="s">
        <v>11336</v>
      </c>
      <c r="J2004" s="306" t="s">
        <v>10969</v>
      </c>
    </row>
    <row r="2005" spans="1:10" ht="14.5" customHeight="1" x14ac:dyDescent="0.25">
      <c r="A2005" s="278" t="s">
        <v>3705</v>
      </c>
      <c r="B2005" s="278" t="s">
        <v>10904</v>
      </c>
      <c r="C2005" s="278" t="s">
        <v>10864</v>
      </c>
      <c r="D2005" s="279" t="s">
        <v>10865</v>
      </c>
      <c r="E2005" s="306" t="s">
        <v>10969</v>
      </c>
      <c r="F2005" s="278" t="s">
        <v>4109</v>
      </c>
      <c r="G2005" s="278" t="s">
        <v>4108</v>
      </c>
      <c r="H2005" s="306" t="s">
        <v>11281</v>
      </c>
      <c r="I2005" s="269" t="s">
        <v>11282</v>
      </c>
      <c r="J2005" s="306" t="s">
        <v>10969</v>
      </c>
    </row>
    <row r="2006" spans="1:10" ht="14.5" customHeight="1" x14ac:dyDescent="0.25">
      <c r="A2006" s="278" t="s">
        <v>3705</v>
      </c>
      <c r="B2006" s="278" t="s">
        <v>10904</v>
      </c>
      <c r="C2006" s="278" t="s">
        <v>10867</v>
      </c>
      <c r="D2006" s="279" t="s">
        <v>10868</v>
      </c>
      <c r="E2006" s="306" t="s">
        <v>10969</v>
      </c>
      <c r="F2006" s="278" t="s">
        <v>4109</v>
      </c>
      <c r="G2006" s="278" t="s">
        <v>4108</v>
      </c>
      <c r="H2006" s="306" t="s">
        <v>11295</v>
      </c>
      <c r="I2006" s="269" t="s">
        <v>11296</v>
      </c>
      <c r="J2006" s="306" t="s">
        <v>10969</v>
      </c>
    </row>
    <row r="2007" spans="1:10" ht="14.5" customHeight="1" x14ac:dyDescent="0.25">
      <c r="A2007" s="278" t="s">
        <v>3705</v>
      </c>
      <c r="B2007" s="278" t="s">
        <v>10904</v>
      </c>
      <c r="C2007" s="278" t="s">
        <v>10867</v>
      </c>
      <c r="D2007" s="279" t="s">
        <v>10868</v>
      </c>
      <c r="E2007" s="306" t="s">
        <v>10969</v>
      </c>
      <c r="F2007" s="278" t="s">
        <v>4109</v>
      </c>
      <c r="G2007" s="278" t="s">
        <v>4108</v>
      </c>
      <c r="H2007" s="306" t="s">
        <v>11246</v>
      </c>
      <c r="I2007" s="269" t="s">
        <v>11247</v>
      </c>
      <c r="J2007" s="306" t="s">
        <v>10969</v>
      </c>
    </row>
    <row r="2008" spans="1:10" ht="14.5" customHeight="1" x14ac:dyDescent="0.25">
      <c r="A2008" s="278" t="s">
        <v>3705</v>
      </c>
      <c r="B2008" s="278" t="s">
        <v>10904</v>
      </c>
      <c r="C2008" s="278" t="s">
        <v>10867</v>
      </c>
      <c r="D2008" s="279" t="s">
        <v>10868</v>
      </c>
      <c r="E2008" s="306" t="s">
        <v>10969</v>
      </c>
      <c r="F2008" s="278" t="s">
        <v>4109</v>
      </c>
      <c r="G2008" s="278" t="s">
        <v>4108</v>
      </c>
      <c r="H2008" s="306" t="s">
        <v>11285</v>
      </c>
      <c r="I2008" s="269" t="s">
        <v>11286</v>
      </c>
      <c r="J2008" s="306" t="s">
        <v>10969</v>
      </c>
    </row>
    <row r="2009" spans="1:10" ht="14.5" customHeight="1" x14ac:dyDescent="0.25">
      <c r="A2009" s="278" t="s">
        <v>3705</v>
      </c>
      <c r="B2009" s="278" t="s">
        <v>10904</v>
      </c>
      <c r="C2009" s="278" t="s">
        <v>10867</v>
      </c>
      <c r="D2009" s="279" t="s">
        <v>10868</v>
      </c>
      <c r="E2009" s="306" t="s">
        <v>10969</v>
      </c>
      <c r="F2009" s="278" t="s">
        <v>4109</v>
      </c>
      <c r="G2009" s="278" t="s">
        <v>4108</v>
      </c>
      <c r="H2009" s="306" t="s">
        <v>11287</v>
      </c>
      <c r="I2009" s="269" t="s">
        <v>11288</v>
      </c>
      <c r="J2009" s="306" t="s">
        <v>10969</v>
      </c>
    </row>
    <row r="2010" spans="1:10" ht="14.5" customHeight="1" x14ac:dyDescent="0.25">
      <c r="A2010" s="278" t="s">
        <v>3705</v>
      </c>
      <c r="B2010" s="278" t="s">
        <v>10904</v>
      </c>
      <c r="C2010" s="278" t="s">
        <v>10867</v>
      </c>
      <c r="D2010" s="279" t="s">
        <v>10868</v>
      </c>
      <c r="E2010" s="306" t="s">
        <v>10969</v>
      </c>
      <c r="F2010" s="278" t="s">
        <v>4109</v>
      </c>
      <c r="G2010" s="278" t="s">
        <v>4108</v>
      </c>
      <c r="H2010" s="306" t="s">
        <v>11289</v>
      </c>
      <c r="I2010" s="269" t="s">
        <v>11290</v>
      </c>
      <c r="J2010" s="306" t="s">
        <v>10969</v>
      </c>
    </row>
    <row r="2011" spans="1:10" ht="14.5" customHeight="1" x14ac:dyDescent="0.25">
      <c r="A2011" s="278" t="s">
        <v>3705</v>
      </c>
      <c r="B2011" s="278" t="s">
        <v>10904</v>
      </c>
      <c r="C2011" s="278" t="s">
        <v>10867</v>
      </c>
      <c r="D2011" s="279" t="s">
        <v>10868</v>
      </c>
      <c r="E2011" s="306" t="s">
        <v>10969</v>
      </c>
      <c r="F2011" s="278" t="s">
        <v>4109</v>
      </c>
      <c r="G2011" s="278" t="s">
        <v>4108</v>
      </c>
      <c r="H2011" s="306" t="s">
        <v>11349</v>
      </c>
      <c r="I2011" s="269" t="s">
        <v>11348</v>
      </c>
      <c r="J2011" s="306" t="s">
        <v>10969</v>
      </c>
    </row>
    <row r="2012" spans="1:10" ht="14.5" customHeight="1" x14ac:dyDescent="0.25">
      <c r="A2012" s="278" t="s">
        <v>3705</v>
      </c>
      <c r="B2012" s="278" t="s">
        <v>10904</v>
      </c>
      <c r="C2012" s="278" t="s">
        <v>10867</v>
      </c>
      <c r="D2012" s="279" t="s">
        <v>10868</v>
      </c>
      <c r="E2012" s="306" t="s">
        <v>10969</v>
      </c>
      <c r="F2012" s="278" t="s">
        <v>4109</v>
      </c>
      <c r="G2012" s="278" t="s">
        <v>4108</v>
      </c>
      <c r="H2012" s="306" t="s">
        <v>11343</v>
      </c>
      <c r="I2012" s="269" t="s">
        <v>11344</v>
      </c>
      <c r="J2012" s="306" t="s">
        <v>10969</v>
      </c>
    </row>
    <row r="2013" spans="1:10" ht="14.5" customHeight="1" x14ac:dyDescent="0.25">
      <c r="A2013" s="278" t="s">
        <v>3705</v>
      </c>
      <c r="B2013" s="278" t="s">
        <v>10904</v>
      </c>
      <c r="C2013" s="278" t="s">
        <v>10867</v>
      </c>
      <c r="D2013" s="279" t="s">
        <v>10868</v>
      </c>
      <c r="E2013" s="306" t="s">
        <v>10969</v>
      </c>
      <c r="F2013" s="278" t="s">
        <v>4109</v>
      </c>
      <c r="G2013" s="278" t="s">
        <v>4108</v>
      </c>
      <c r="H2013" s="306" t="s">
        <v>11293</v>
      </c>
      <c r="I2013" s="269" t="s">
        <v>11294</v>
      </c>
      <c r="J2013" s="306" t="s">
        <v>10969</v>
      </c>
    </row>
    <row r="2014" spans="1:10" ht="14.5" customHeight="1" x14ac:dyDescent="0.25">
      <c r="A2014" s="278" t="s">
        <v>3705</v>
      </c>
      <c r="B2014" s="278" t="s">
        <v>10904</v>
      </c>
      <c r="C2014" s="278" t="s">
        <v>10867</v>
      </c>
      <c r="D2014" s="279" t="s">
        <v>10868</v>
      </c>
      <c r="E2014" s="306" t="s">
        <v>10969</v>
      </c>
      <c r="F2014" s="278" t="s">
        <v>4109</v>
      </c>
      <c r="G2014" s="278" t="s">
        <v>4108</v>
      </c>
      <c r="H2014" s="306" t="s">
        <v>11291</v>
      </c>
      <c r="I2014" s="269" t="s">
        <v>11292</v>
      </c>
      <c r="J2014" s="306" t="s">
        <v>10969</v>
      </c>
    </row>
    <row r="2015" spans="1:10" ht="14.5" customHeight="1" x14ac:dyDescent="0.25">
      <c r="A2015" s="278" t="s">
        <v>3705</v>
      </c>
      <c r="B2015" s="278" t="s">
        <v>10904</v>
      </c>
      <c r="C2015" s="278" t="s">
        <v>10867</v>
      </c>
      <c r="D2015" s="279" t="s">
        <v>10868</v>
      </c>
      <c r="E2015" s="306" t="s">
        <v>10969</v>
      </c>
      <c r="F2015" s="278" t="s">
        <v>4109</v>
      </c>
      <c r="G2015" s="278" t="s">
        <v>4108</v>
      </c>
      <c r="H2015" s="306" t="s">
        <v>11244</v>
      </c>
      <c r="I2015" s="269" t="s">
        <v>11245</v>
      </c>
      <c r="J2015" s="306" t="s">
        <v>10969</v>
      </c>
    </row>
    <row r="2016" spans="1:10" ht="14.5" customHeight="1" x14ac:dyDescent="0.25">
      <c r="A2016" s="278" t="s">
        <v>3705</v>
      </c>
      <c r="B2016" s="278" t="s">
        <v>10904</v>
      </c>
      <c r="C2016" s="278" t="s">
        <v>10867</v>
      </c>
      <c r="D2016" s="279" t="s">
        <v>10868</v>
      </c>
      <c r="E2016" s="306" t="s">
        <v>10969</v>
      </c>
      <c r="F2016" s="278" t="s">
        <v>4109</v>
      </c>
      <c r="G2016" s="278" t="s">
        <v>4108</v>
      </c>
      <c r="H2016" s="306" t="s">
        <v>11345</v>
      </c>
      <c r="I2016" s="269" t="s">
        <v>11346</v>
      </c>
      <c r="J2016" s="306" t="s">
        <v>10969</v>
      </c>
    </row>
    <row r="2017" spans="1:10" ht="14.5" customHeight="1" x14ac:dyDescent="0.25">
      <c r="A2017" s="278" t="s">
        <v>3705</v>
      </c>
      <c r="B2017" s="278" t="s">
        <v>10904</v>
      </c>
      <c r="C2017" s="278" t="s">
        <v>10867</v>
      </c>
      <c r="D2017" s="279" t="s">
        <v>10868</v>
      </c>
      <c r="E2017" s="306" t="s">
        <v>10969</v>
      </c>
      <c r="F2017" s="278" t="s">
        <v>4109</v>
      </c>
      <c r="G2017" s="278" t="s">
        <v>4108</v>
      </c>
      <c r="H2017" s="306" t="s">
        <v>11248</v>
      </c>
      <c r="I2017" s="269" t="s">
        <v>11249</v>
      </c>
      <c r="J2017" s="306" t="s">
        <v>10969</v>
      </c>
    </row>
    <row r="2018" spans="1:10" ht="14.5" customHeight="1" x14ac:dyDescent="0.25">
      <c r="A2018" s="278" t="s">
        <v>3705</v>
      </c>
      <c r="B2018" s="278" t="s">
        <v>10904</v>
      </c>
      <c r="C2018" s="278" t="s">
        <v>10867</v>
      </c>
      <c r="D2018" s="279" t="s">
        <v>10868</v>
      </c>
      <c r="E2018" s="306" t="s">
        <v>10969</v>
      </c>
      <c r="F2018" s="278" t="s">
        <v>4109</v>
      </c>
      <c r="G2018" s="278" t="s">
        <v>4108</v>
      </c>
      <c r="H2018" s="306" t="s">
        <v>11250</v>
      </c>
      <c r="I2018" s="269" t="s">
        <v>11251</v>
      </c>
      <c r="J2018" s="306" t="s">
        <v>10969</v>
      </c>
    </row>
    <row r="2019" spans="1:10" ht="14.5" customHeight="1" x14ac:dyDescent="0.25">
      <c r="A2019" s="278" t="s">
        <v>3705</v>
      </c>
      <c r="B2019" s="278" t="s">
        <v>10904</v>
      </c>
      <c r="C2019" s="278" t="s">
        <v>10867</v>
      </c>
      <c r="D2019" s="279" t="s">
        <v>10868</v>
      </c>
      <c r="E2019" s="306" t="s">
        <v>10969</v>
      </c>
      <c r="F2019" s="278" t="s">
        <v>4109</v>
      </c>
      <c r="G2019" s="278" t="s">
        <v>4108</v>
      </c>
      <c r="H2019" s="306" t="s">
        <v>11333</v>
      </c>
      <c r="I2019" s="269" t="s">
        <v>11334</v>
      </c>
      <c r="J2019" s="306" t="s">
        <v>10969</v>
      </c>
    </row>
    <row r="2020" spans="1:10" ht="14.5" customHeight="1" x14ac:dyDescent="0.25">
      <c r="A2020" s="278" t="s">
        <v>3705</v>
      </c>
      <c r="B2020" s="278" t="s">
        <v>10904</v>
      </c>
      <c r="C2020" s="278" t="s">
        <v>10870</v>
      </c>
      <c r="D2020" s="279" t="s">
        <v>10871</v>
      </c>
      <c r="E2020" s="306" t="s">
        <v>10969</v>
      </c>
      <c r="F2020" s="278" t="s">
        <v>4109</v>
      </c>
      <c r="G2020" s="278" t="s">
        <v>4108</v>
      </c>
      <c r="H2020" s="306" t="s">
        <v>11252</v>
      </c>
      <c r="I2020" s="269" t="s">
        <v>11253</v>
      </c>
      <c r="J2020" s="306" t="s">
        <v>10969</v>
      </c>
    </row>
    <row r="2021" spans="1:10" ht="14.5" customHeight="1" x14ac:dyDescent="0.25">
      <c r="A2021" s="278" t="s">
        <v>3705</v>
      </c>
      <c r="B2021" s="278" t="s">
        <v>10904</v>
      </c>
      <c r="C2021" s="278" t="s">
        <v>10870</v>
      </c>
      <c r="D2021" s="279" t="s">
        <v>10871</v>
      </c>
      <c r="E2021" s="306" t="s">
        <v>10969</v>
      </c>
      <c r="F2021" s="278" t="s">
        <v>4109</v>
      </c>
      <c r="G2021" s="278" t="s">
        <v>4108</v>
      </c>
      <c r="H2021" s="306" t="s">
        <v>11254</v>
      </c>
      <c r="I2021" s="269" t="s">
        <v>11255</v>
      </c>
      <c r="J2021" s="306" t="s">
        <v>10969</v>
      </c>
    </row>
    <row r="2022" spans="1:10" ht="14.5" customHeight="1" x14ac:dyDescent="0.25">
      <c r="A2022" s="278" t="s">
        <v>3705</v>
      </c>
      <c r="B2022" s="278" t="s">
        <v>10904</v>
      </c>
      <c r="C2022" s="278" t="s">
        <v>10870</v>
      </c>
      <c r="D2022" s="279" t="s">
        <v>10871</v>
      </c>
      <c r="E2022" s="306" t="s">
        <v>10969</v>
      </c>
      <c r="F2022" s="278" t="s">
        <v>4109</v>
      </c>
      <c r="G2022" s="278" t="s">
        <v>4108</v>
      </c>
      <c r="H2022" s="306" t="s">
        <v>11256</v>
      </c>
      <c r="I2022" s="269" t="s">
        <v>11257</v>
      </c>
      <c r="J2022" s="306" t="s">
        <v>10969</v>
      </c>
    </row>
    <row r="2023" spans="1:10" ht="14.5" customHeight="1" x14ac:dyDescent="0.25">
      <c r="A2023" s="278" t="s">
        <v>3705</v>
      </c>
      <c r="B2023" s="278" t="s">
        <v>10904</v>
      </c>
      <c r="C2023" s="278" t="s">
        <v>10870</v>
      </c>
      <c r="D2023" s="279" t="s">
        <v>10871</v>
      </c>
      <c r="E2023" s="306" t="s">
        <v>10969</v>
      </c>
      <c r="F2023" s="278" t="s">
        <v>4109</v>
      </c>
      <c r="G2023" s="278" t="s">
        <v>4108</v>
      </c>
      <c r="H2023" s="306" t="s">
        <v>11258</v>
      </c>
      <c r="I2023" s="269" t="s">
        <v>11259</v>
      </c>
      <c r="J2023" s="306" t="s">
        <v>10969</v>
      </c>
    </row>
    <row r="2024" spans="1:10" ht="14.5" customHeight="1" x14ac:dyDescent="0.25">
      <c r="A2024" s="278" t="s">
        <v>3705</v>
      </c>
      <c r="B2024" s="278" t="s">
        <v>10904</v>
      </c>
      <c r="C2024" s="278" t="s">
        <v>10870</v>
      </c>
      <c r="D2024" s="279" t="s">
        <v>10871</v>
      </c>
      <c r="E2024" s="306" t="s">
        <v>10969</v>
      </c>
      <c r="F2024" s="278" t="s">
        <v>4109</v>
      </c>
      <c r="G2024" s="278" t="s">
        <v>4108</v>
      </c>
      <c r="H2024" s="306" t="s">
        <v>11260</v>
      </c>
      <c r="I2024" s="269" t="s">
        <v>11261</v>
      </c>
      <c r="J2024" s="306" t="s">
        <v>10969</v>
      </c>
    </row>
    <row r="2025" spans="1:10" ht="14.5" customHeight="1" x14ac:dyDescent="0.25">
      <c r="A2025" s="278" t="s">
        <v>3705</v>
      </c>
      <c r="B2025" s="278" t="s">
        <v>10904</v>
      </c>
      <c r="C2025" s="278" t="s">
        <v>10870</v>
      </c>
      <c r="D2025" s="279" t="s">
        <v>10871</v>
      </c>
      <c r="E2025" s="306" t="s">
        <v>10969</v>
      </c>
      <c r="F2025" s="278" t="s">
        <v>4109</v>
      </c>
      <c r="G2025" s="278" t="s">
        <v>4108</v>
      </c>
      <c r="H2025" s="306" t="s">
        <v>11262</v>
      </c>
      <c r="I2025" s="269" t="s">
        <v>11263</v>
      </c>
      <c r="J2025" s="306" t="s">
        <v>10969</v>
      </c>
    </row>
    <row r="2026" spans="1:10" ht="14.5" customHeight="1" x14ac:dyDescent="0.25">
      <c r="A2026" s="278" t="s">
        <v>3705</v>
      </c>
      <c r="B2026" s="278" t="s">
        <v>10904</v>
      </c>
      <c r="C2026" s="278" t="s">
        <v>10870</v>
      </c>
      <c r="D2026" s="279" t="s">
        <v>10871</v>
      </c>
      <c r="E2026" s="306" t="s">
        <v>10969</v>
      </c>
      <c r="F2026" s="278" t="s">
        <v>4109</v>
      </c>
      <c r="G2026" s="278" t="s">
        <v>4108</v>
      </c>
      <c r="H2026" s="306" t="s">
        <v>11264</v>
      </c>
      <c r="I2026" s="269" t="s">
        <v>11265</v>
      </c>
      <c r="J2026" s="306" t="s">
        <v>10969</v>
      </c>
    </row>
    <row r="2027" spans="1:10" ht="14.5" customHeight="1" x14ac:dyDescent="0.25">
      <c r="A2027" s="278" t="s">
        <v>3705</v>
      </c>
      <c r="B2027" s="278" t="s">
        <v>10904</v>
      </c>
      <c r="C2027" s="278" t="s">
        <v>10870</v>
      </c>
      <c r="D2027" s="279" t="s">
        <v>10871</v>
      </c>
      <c r="E2027" s="306" t="s">
        <v>10969</v>
      </c>
      <c r="F2027" s="278" t="s">
        <v>4109</v>
      </c>
      <c r="G2027" s="278" t="s">
        <v>4108</v>
      </c>
      <c r="H2027" s="306" t="s">
        <v>11266</v>
      </c>
      <c r="I2027" s="269" t="s">
        <v>11267</v>
      </c>
      <c r="J2027" s="306" t="s">
        <v>10969</v>
      </c>
    </row>
    <row r="2028" spans="1:10" ht="14.5" customHeight="1" x14ac:dyDescent="0.25">
      <c r="A2028" s="278" t="s">
        <v>3705</v>
      </c>
      <c r="B2028" s="278" t="s">
        <v>10904</v>
      </c>
      <c r="C2028" s="278" t="s">
        <v>10870</v>
      </c>
      <c r="D2028" s="279" t="s">
        <v>10871</v>
      </c>
      <c r="E2028" s="306" t="s">
        <v>10969</v>
      </c>
      <c r="F2028" s="278" t="s">
        <v>4109</v>
      </c>
      <c r="G2028" s="278" t="s">
        <v>4108</v>
      </c>
      <c r="H2028" s="306" t="s">
        <v>11268</v>
      </c>
      <c r="I2028" s="269" t="s">
        <v>11269</v>
      </c>
      <c r="J2028" s="306" t="s">
        <v>10969</v>
      </c>
    </row>
    <row r="2029" spans="1:10" ht="14.5" customHeight="1" x14ac:dyDescent="0.25">
      <c r="A2029" s="278" t="s">
        <v>3705</v>
      </c>
      <c r="B2029" s="278" t="s">
        <v>10904</v>
      </c>
      <c r="C2029" s="278" t="s">
        <v>10870</v>
      </c>
      <c r="D2029" s="279" t="s">
        <v>10871</v>
      </c>
      <c r="E2029" s="306" t="s">
        <v>10969</v>
      </c>
      <c r="F2029" s="278" t="s">
        <v>4109</v>
      </c>
      <c r="G2029" s="278" t="s">
        <v>4108</v>
      </c>
      <c r="H2029" s="306" t="s">
        <v>11272</v>
      </c>
      <c r="I2029" s="269" t="s">
        <v>11273</v>
      </c>
      <c r="J2029" s="306" t="s">
        <v>10969</v>
      </c>
    </row>
    <row r="2030" spans="1:10" ht="14.5" customHeight="1" x14ac:dyDescent="0.25">
      <c r="A2030" s="278" t="s">
        <v>3705</v>
      </c>
      <c r="B2030" s="278" t="s">
        <v>10904</v>
      </c>
      <c r="C2030" s="278" t="s">
        <v>10870</v>
      </c>
      <c r="D2030" s="279" t="s">
        <v>10871</v>
      </c>
      <c r="E2030" s="306" t="s">
        <v>10969</v>
      </c>
      <c r="F2030" s="278" t="s">
        <v>4109</v>
      </c>
      <c r="G2030" s="278" t="s">
        <v>4108</v>
      </c>
      <c r="H2030" s="306" t="s">
        <v>11274</v>
      </c>
      <c r="I2030" s="269" t="s">
        <v>11275</v>
      </c>
      <c r="J2030" s="306" t="s">
        <v>10969</v>
      </c>
    </row>
    <row r="2031" spans="1:10" ht="14.5" customHeight="1" x14ac:dyDescent="0.25">
      <c r="A2031" s="278" t="s">
        <v>3705</v>
      </c>
      <c r="B2031" s="278" t="s">
        <v>10904</v>
      </c>
      <c r="C2031" s="278" t="s">
        <v>10873</v>
      </c>
      <c r="D2031" s="279" t="s">
        <v>10874</v>
      </c>
      <c r="E2031" s="306" t="s">
        <v>10969</v>
      </c>
      <c r="F2031" s="278" t="s">
        <v>4109</v>
      </c>
      <c r="G2031" s="278" t="s">
        <v>4108</v>
      </c>
      <c r="H2031" s="306" t="s">
        <v>11362</v>
      </c>
      <c r="I2031" s="269" t="s">
        <v>11363</v>
      </c>
      <c r="J2031" s="306" t="s">
        <v>10969</v>
      </c>
    </row>
    <row r="2032" spans="1:10" ht="14.5" customHeight="1" x14ac:dyDescent="0.25">
      <c r="A2032" s="278" t="s">
        <v>3705</v>
      </c>
      <c r="B2032" s="278" t="s">
        <v>10904</v>
      </c>
      <c r="C2032" s="278" t="s">
        <v>10875</v>
      </c>
      <c r="D2032" s="279" t="s">
        <v>10876</v>
      </c>
      <c r="E2032" s="306" t="s">
        <v>10969</v>
      </c>
      <c r="F2032" s="278" t="s">
        <v>4109</v>
      </c>
      <c r="G2032" s="278" t="s">
        <v>4108</v>
      </c>
      <c r="H2032" s="306" t="s">
        <v>11362</v>
      </c>
      <c r="I2032" s="269" t="s">
        <v>11363</v>
      </c>
      <c r="J2032" s="306" t="s">
        <v>10969</v>
      </c>
    </row>
    <row r="2033" spans="1:10" ht="14.5" customHeight="1" x14ac:dyDescent="0.25">
      <c r="A2033" s="278" t="s">
        <v>3705</v>
      </c>
      <c r="B2033" s="278" t="s">
        <v>10904</v>
      </c>
      <c r="C2033" s="278" t="s">
        <v>10877</v>
      </c>
      <c r="D2033" s="279" t="s">
        <v>10878</v>
      </c>
      <c r="E2033" s="306" t="s">
        <v>10969</v>
      </c>
      <c r="F2033" s="278" t="s">
        <v>4109</v>
      </c>
      <c r="G2033" s="278" t="s">
        <v>4108</v>
      </c>
      <c r="H2033" s="306" t="s">
        <v>11297</v>
      </c>
      <c r="I2033" s="269" t="s">
        <v>11298</v>
      </c>
      <c r="J2033" s="306" t="s">
        <v>10969</v>
      </c>
    </row>
    <row r="2034" spans="1:10" ht="14.5" customHeight="1" x14ac:dyDescent="0.25">
      <c r="A2034" s="278" t="s">
        <v>3705</v>
      </c>
      <c r="B2034" s="278" t="s">
        <v>10904</v>
      </c>
      <c r="C2034" s="278" t="s">
        <v>10877</v>
      </c>
      <c r="D2034" s="279" t="s">
        <v>10878</v>
      </c>
      <c r="E2034" s="306" t="s">
        <v>10969</v>
      </c>
      <c r="F2034" s="278" t="s">
        <v>4109</v>
      </c>
      <c r="G2034" s="278" t="s">
        <v>4108</v>
      </c>
      <c r="H2034" s="306" t="s">
        <v>11299</v>
      </c>
      <c r="I2034" s="269" t="s">
        <v>11300</v>
      </c>
      <c r="J2034" s="306" t="s">
        <v>10969</v>
      </c>
    </row>
    <row r="2035" spans="1:10" ht="14.5" customHeight="1" x14ac:dyDescent="0.25">
      <c r="A2035" s="278" t="s">
        <v>3705</v>
      </c>
      <c r="B2035" s="278" t="s">
        <v>10904</v>
      </c>
      <c r="C2035" s="278" t="s">
        <v>10877</v>
      </c>
      <c r="D2035" s="279" t="s">
        <v>10878</v>
      </c>
      <c r="E2035" s="306" t="s">
        <v>10969</v>
      </c>
      <c r="F2035" s="278" t="s">
        <v>4109</v>
      </c>
      <c r="G2035" s="278" t="s">
        <v>4108</v>
      </c>
      <c r="H2035" s="306" t="s">
        <v>11301</v>
      </c>
      <c r="I2035" s="269" t="s">
        <v>11302</v>
      </c>
      <c r="J2035" s="306" t="s">
        <v>10969</v>
      </c>
    </row>
    <row r="2036" spans="1:10" ht="14.5" customHeight="1" x14ac:dyDescent="0.25">
      <c r="A2036" s="278" t="s">
        <v>3705</v>
      </c>
      <c r="B2036" s="278" t="s">
        <v>10904</v>
      </c>
      <c r="C2036" s="278" t="s">
        <v>10877</v>
      </c>
      <c r="D2036" s="279" t="s">
        <v>10878</v>
      </c>
      <c r="E2036" s="306" t="s">
        <v>10969</v>
      </c>
      <c r="F2036" s="278" t="s">
        <v>4109</v>
      </c>
      <c r="G2036" s="278" t="s">
        <v>4108</v>
      </c>
      <c r="H2036" s="306" t="s">
        <v>11303</v>
      </c>
      <c r="I2036" s="269" t="s">
        <v>11304</v>
      </c>
      <c r="J2036" s="306" t="s">
        <v>10969</v>
      </c>
    </row>
    <row r="2037" spans="1:10" ht="14.5" customHeight="1" x14ac:dyDescent="0.25">
      <c r="A2037" s="278" t="s">
        <v>3705</v>
      </c>
      <c r="B2037" s="278" t="s">
        <v>10904</v>
      </c>
      <c r="C2037" s="278" t="s">
        <v>10877</v>
      </c>
      <c r="D2037" s="279" t="s">
        <v>10878</v>
      </c>
      <c r="E2037" s="306" t="s">
        <v>10969</v>
      </c>
      <c r="F2037" s="278" t="s">
        <v>4109</v>
      </c>
      <c r="G2037" s="278" t="s">
        <v>4108</v>
      </c>
      <c r="H2037" s="306" t="s">
        <v>11323</v>
      </c>
      <c r="I2037" s="269" t="s">
        <v>11324</v>
      </c>
      <c r="J2037" s="306" t="s">
        <v>10969</v>
      </c>
    </row>
    <row r="2038" spans="1:10" ht="14.5" customHeight="1" x14ac:dyDescent="0.25">
      <c r="A2038" s="278" t="s">
        <v>3705</v>
      </c>
      <c r="B2038" s="278" t="s">
        <v>10904</v>
      </c>
      <c r="C2038" s="278" t="s">
        <v>10877</v>
      </c>
      <c r="D2038" s="279" t="s">
        <v>10878</v>
      </c>
      <c r="E2038" s="306" t="s">
        <v>10969</v>
      </c>
      <c r="F2038" s="278" t="s">
        <v>4109</v>
      </c>
      <c r="G2038" s="278" t="s">
        <v>4108</v>
      </c>
      <c r="H2038" s="306" t="s">
        <v>11325</v>
      </c>
      <c r="I2038" s="269" t="s">
        <v>11326</v>
      </c>
      <c r="J2038" s="306" t="s">
        <v>10969</v>
      </c>
    </row>
    <row r="2039" spans="1:10" ht="14.5" customHeight="1" x14ac:dyDescent="0.25">
      <c r="A2039" s="278" t="s">
        <v>3705</v>
      </c>
      <c r="B2039" s="278" t="s">
        <v>10904</v>
      </c>
      <c r="C2039" s="278" t="s">
        <v>10877</v>
      </c>
      <c r="D2039" s="279" t="s">
        <v>10878</v>
      </c>
      <c r="E2039" s="306" t="s">
        <v>10969</v>
      </c>
      <c r="F2039" s="278" t="s">
        <v>4109</v>
      </c>
      <c r="G2039" s="278" t="s">
        <v>4108</v>
      </c>
      <c r="H2039" s="306" t="s">
        <v>11305</v>
      </c>
      <c r="I2039" s="269" t="s">
        <v>11306</v>
      </c>
      <c r="J2039" s="306" t="s">
        <v>10969</v>
      </c>
    </row>
    <row r="2040" spans="1:10" ht="14.5" customHeight="1" x14ac:dyDescent="0.25">
      <c r="A2040" s="278" t="s">
        <v>3705</v>
      </c>
      <c r="B2040" s="278" t="s">
        <v>10904</v>
      </c>
      <c r="C2040" s="278" t="s">
        <v>10877</v>
      </c>
      <c r="D2040" s="279" t="s">
        <v>10878</v>
      </c>
      <c r="E2040" s="306" t="s">
        <v>10969</v>
      </c>
      <c r="F2040" s="278" t="s">
        <v>4109</v>
      </c>
      <c r="G2040" s="278" t="s">
        <v>4108</v>
      </c>
      <c r="H2040" s="306" t="s">
        <v>11307</v>
      </c>
      <c r="I2040" s="269" t="s">
        <v>11308</v>
      </c>
      <c r="J2040" s="306" t="s">
        <v>10969</v>
      </c>
    </row>
    <row r="2041" spans="1:10" ht="14.5" customHeight="1" x14ac:dyDescent="0.25">
      <c r="A2041" s="278" t="s">
        <v>3705</v>
      </c>
      <c r="B2041" s="278" t="s">
        <v>10904</v>
      </c>
      <c r="C2041" s="278" t="s">
        <v>10877</v>
      </c>
      <c r="D2041" s="279" t="s">
        <v>10878</v>
      </c>
      <c r="E2041" s="306" t="s">
        <v>10969</v>
      </c>
      <c r="F2041" s="278" t="s">
        <v>4109</v>
      </c>
      <c r="G2041" s="278" t="s">
        <v>4108</v>
      </c>
      <c r="H2041" s="306" t="s">
        <v>11327</v>
      </c>
      <c r="I2041" s="269" t="s">
        <v>11328</v>
      </c>
      <c r="J2041" s="306" t="s">
        <v>10969</v>
      </c>
    </row>
    <row r="2042" spans="1:10" ht="14.5" customHeight="1" x14ac:dyDescent="0.25">
      <c r="A2042" s="278" t="s">
        <v>3705</v>
      </c>
      <c r="B2042" s="278" t="s">
        <v>10904</v>
      </c>
      <c r="C2042" s="278" t="s">
        <v>10877</v>
      </c>
      <c r="D2042" s="279" t="s">
        <v>10878</v>
      </c>
      <c r="E2042" s="306" t="s">
        <v>10969</v>
      </c>
      <c r="F2042" s="278" t="s">
        <v>4109</v>
      </c>
      <c r="G2042" s="278" t="s">
        <v>4108</v>
      </c>
      <c r="H2042" s="306" t="s">
        <v>11329</v>
      </c>
      <c r="I2042" s="269" t="s">
        <v>11330</v>
      </c>
      <c r="J2042" s="306" t="s">
        <v>10969</v>
      </c>
    </row>
    <row r="2043" spans="1:10" ht="14.5" customHeight="1" x14ac:dyDescent="0.25">
      <c r="A2043" s="278" t="s">
        <v>3705</v>
      </c>
      <c r="B2043" s="278" t="s">
        <v>10904</v>
      </c>
      <c r="C2043" s="278" t="s">
        <v>10877</v>
      </c>
      <c r="D2043" s="279" t="s">
        <v>10878</v>
      </c>
      <c r="E2043" s="306" t="s">
        <v>10969</v>
      </c>
      <c r="F2043" s="278" t="s">
        <v>4109</v>
      </c>
      <c r="G2043" s="278" t="s">
        <v>4108</v>
      </c>
      <c r="H2043" s="306" t="s">
        <v>11309</v>
      </c>
      <c r="I2043" s="269" t="s">
        <v>11310</v>
      </c>
      <c r="J2043" s="306" t="s">
        <v>10969</v>
      </c>
    </row>
    <row r="2044" spans="1:10" ht="14.5" customHeight="1" x14ac:dyDescent="0.25">
      <c r="A2044" s="278" t="s">
        <v>3705</v>
      </c>
      <c r="B2044" s="278" t="s">
        <v>10904</v>
      </c>
      <c r="C2044" s="278" t="s">
        <v>10877</v>
      </c>
      <c r="D2044" s="279" t="s">
        <v>10878</v>
      </c>
      <c r="E2044" s="306" t="s">
        <v>10969</v>
      </c>
      <c r="F2044" s="278" t="s">
        <v>4109</v>
      </c>
      <c r="G2044" s="278" t="s">
        <v>4108</v>
      </c>
      <c r="H2044" s="306" t="s">
        <v>11331</v>
      </c>
      <c r="I2044" s="269" t="s">
        <v>11332</v>
      </c>
      <c r="J2044" s="306" t="s">
        <v>10969</v>
      </c>
    </row>
    <row r="2045" spans="1:10" ht="14.5" customHeight="1" x14ac:dyDescent="0.25">
      <c r="A2045" s="278" t="s">
        <v>3705</v>
      </c>
      <c r="B2045" s="278" t="s">
        <v>10904</v>
      </c>
      <c r="C2045" s="278" t="s">
        <v>10877</v>
      </c>
      <c r="D2045" s="279" t="s">
        <v>10878</v>
      </c>
      <c r="E2045" s="306" t="s">
        <v>10969</v>
      </c>
      <c r="F2045" s="278" t="s">
        <v>4109</v>
      </c>
      <c r="G2045" s="278" t="s">
        <v>4108</v>
      </c>
      <c r="H2045" s="306" t="s">
        <v>11311</v>
      </c>
      <c r="I2045" s="269" t="s">
        <v>11312</v>
      </c>
      <c r="J2045" s="306" t="s">
        <v>10969</v>
      </c>
    </row>
    <row r="2046" spans="1:10" ht="14.5" customHeight="1" x14ac:dyDescent="0.25">
      <c r="A2046" s="278" t="s">
        <v>3705</v>
      </c>
      <c r="B2046" s="278" t="s">
        <v>10904</v>
      </c>
      <c r="C2046" s="278" t="s">
        <v>10877</v>
      </c>
      <c r="D2046" s="279" t="s">
        <v>10878</v>
      </c>
      <c r="E2046" s="306" t="s">
        <v>10969</v>
      </c>
      <c r="F2046" s="278" t="s">
        <v>4109</v>
      </c>
      <c r="G2046" s="278" t="s">
        <v>4108</v>
      </c>
      <c r="H2046" s="306" t="s">
        <v>11313</v>
      </c>
      <c r="I2046" s="269" t="s">
        <v>11314</v>
      </c>
      <c r="J2046" s="306" t="s">
        <v>10969</v>
      </c>
    </row>
    <row r="2047" spans="1:10" ht="14.5" customHeight="1" x14ac:dyDescent="0.25">
      <c r="A2047" s="278" t="s">
        <v>3705</v>
      </c>
      <c r="B2047" s="278" t="s">
        <v>10904</v>
      </c>
      <c r="C2047" s="278" t="s">
        <v>10877</v>
      </c>
      <c r="D2047" s="279" t="s">
        <v>10878</v>
      </c>
      <c r="E2047" s="306" t="s">
        <v>10969</v>
      </c>
      <c r="F2047" s="278" t="s">
        <v>4109</v>
      </c>
      <c r="G2047" s="278" t="s">
        <v>4108</v>
      </c>
      <c r="H2047" s="306" t="s">
        <v>11315</v>
      </c>
      <c r="I2047" s="269" t="s">
        <v>11316</v>
      </c>
      <c r="J2047" s="306" t="s">
        <v>10969</v>
      </c>
    </row>
    <row r="2048" spans="1:10" ht="14.5" customHeight="1" x14ac:dyDescent="0.25">
      <c r="A2048" s="278" t="s">
        <v>3705</v>
      </c>
      <c r="B2048" s="278" t="s">
        <v>10904</v>
      </c>
      <c r="C2048" s="278" t="s">
        <v>10877</v>
      </c>
      <c r="D2048" s="279" t="s">
        <v>10878</v>
      </c>
      <c r="E2048" s="306" t="s">
        <v>10969</v>
      </c>
      <c r="F2048" s="278" t="s">
        <v>4109</v>
      </c>
      <c r="G2048" s="278" t="s">
        <v>4108</v>
      </c>
      <c r="H2048" s="306" t="s">
        <v>11317</v>
      </c>
      <c r="I2048" s="269" t="s">
        <v>11318</v>
      </c>
      <c r="J2048" s="306" t="s">
        <v>10969</v>
      </c>
    </row>
    <row r="2049" spans="1:10" ht="14.5" customHeight="1" x14ac:dyDescent="0.25">
      <c r="A2049" s="278" t="s">
        <v>3705</v>
      </c>
      <c r="B2049" s="278" t="s">
        <v>10904</v>
      </c>
      <c r="C2049" s="278" t="s">
        <v>10877</v>
      </c>
      <c r="D2049" s="279" t="s">
        <v>10878</v>
      </c>
      <c r="E2049" s="306" t="s">
        <v>10969</v>
      </c>
      <c r="F2049" s="278" t="s">
        <v>4109</v>
      </c>
      <c r="G2049" s="278" t="s">
        <v>4108</v>
      </c>
      <c r="H2049" s="306" t="s">
        <v>11319</v>
      </c>
      <c r="I2049" s="269" t="s">
        <v>11320</v>
      </c>
      <c r="J2049" s="306" t="s">
        <v>10969</v>
      </c>
    </row>
    <row r="2050" spans="1:10" ht="14.5" customHeight="1" x14ac:dyDescent="0.25">
      <c r="A2050" s="278" t="s">
        <v>3705</v>
      </c>
      <c r="B2050" s="278" t="s">
        <v>10904</v>
      </c>
      <c r="C2050" s="278" t="s">
        <v>10877</v>
      </c>
      <c r="D2050" s="279" t="s">
        <v>10878</v>
      </c>
      <c r="E2050" s="306" t="s">
        <v>10969</v>
      </c>
      <c r="F2050" s="278" t="s">
        <v>4109</v>
      </c>
      <c r="G2050" s="278" t="s">
        <v>4108</v>
      </c>
      <c r="H2050" s="306" t="s">
        <v>11250</v>
      </c>
      <c r="I2050" s="269" t="s">
        <v>11251</v>
      </c>
      <c r="J2050" s="306" t="s">
        <v>10969</v>
      </c>
    </row>
    <row r="2051" spans="1:10" ht="14.5" customHeight="1" x14ac:dyDescent="0.25">
      <c r="A2051" s="278" t="s">
        <v>3705</v>
      </c>
      <c r="B2051" s="278" t="s">
        <v>10904</v>
      </c>
      <c r="C2051" s="278" t="s">
        <v>10877</v>
      </c>
      <c r="D2051" s="279" t="s">
        <v>10878</v>
      </c>
      <c r="E2051" s="306" t="s">
        <v>10969</v>
      </c>
      <c r="F2051" s="278" t="s">
        <v>4109</v>
      </c>
      <c r="G2051" s="278" t="s">
        <v>4108</v>
      </c>
      <c r="H2051" s="306" t="s">
        <v>11333</v>
      </c>
      <c r="I2051" s="269" t="s">
        <v>11334</v>
      </c>
      <c r="J2051" s="306" t="s">
        <v>10969</v>
      </c>
    </row>
    <row r="2052" spans="1:10" ht="14.5" customHeight="1" x14ac:dyDescent="0.25">
      <c r="A2052" s="278" t="s">
        <v>3705</v>
      </c>
      <c r="B2052" s="278" t="s">
        <v>10904</v>
      </c>
      <c r="C2052" s="278" t="s">
        <v>10877</v>
      </c>
      <c r="D2052" s="279" t="s">
        <v>10878</v>
      </c>
      <c r="E2052" s="306" t="s">
        <v>10969</v>
      </c>
      <c r="F2052" s="278" t="s">
        <v>4109</v>
      </c>
      <c r="G2052" s="278" t="s">
        <v>4108</v>
      </c>
      <c r="H2052" s="306" t="s">
        <v>11321</v>
      </c>
      <c r="I2052" s="269" t="s">
        <v>11322</v>
      </c>
      <c r="J2052" s="306" t="s">
        <v>10969</v>
      </c>
    </row>
    <row r="2053" spans="1:10" ht="14.5" customHeight="1" x14ac:dyDescent="0.25">
      <c r="A2053" s="278" t="s">
        <v>3705</v>
      </c>
      <c r="B2053" s="278" t="s">
        <v>10904</v>
      </c>
      <c r="C2053" s="278" t="s">
        <v>10880</v>
      </c>
      <c r="D2053" s="279" t="s">
        <v>10881</v>
      </c>
      <c r="E2053" s="306" t="s">
        <v>10969</v>
      </c>
      <c r="F2053" s="278" t="s">
        <v>4109</v>
      </c>
      <c r="G2053" s="278" t="s">
        <v>4108</v>
      </c>
      <c r="H2053" s="306" t="s">
        <v>11240</v>
      </c>
      <c r="I2053" s="269" t="s">
        <v>11241</v>
      </c>
      <c r="J2053" s="306" t="s">
        <v>10969</v>
      </c>
    </row>
    <row r="2054" spans="1:10" ht="14.5" customHeight="1" x14ac:dyDescent="0.25">
      <c r="A2054" s="278" t="s">
        <v>3705</v>
      </c>
      <c r="B2054" s="278" t="s">
        <v>10904</v>
      </c>
      <c r="C2054" s="278" t="s">
        <v>10880</v>
      </c>
      <c r="D2054" s="279" t="s">
        <v>10881</v>
      </c>
      <c r="E2054" s="306" t="s">
        <v>10969</v>
      </c>
      <c r="F2054" s="278" t="s">
        <v>4109</v>
      </c>
      <c r="G2054" s="278" t="s">
        <v>4108</v>
      </c>
      <c r="H2054" s="306" t="s">
        <v>11203</v>
      </c>
      <c r="I2054" s="269" t="s">
        <v>11225</v>
      </c>
      <c r="J2054" s="306" t="s">
        <v>10969</v>
      </c>
    </row>
    <row r="2055" spans="1:10" ht="14.5" customHeight="1" x14ac:dyDescent="0.25">
      <c r="A2055" s="278" t="s">
        <v>3705</v>
      </c>
      <c r="B2055" s="278" t="s">
        <v>10904</v>
      </c>
      <c r="C2055" s="278" t="s">
        <v>10880</v>
      </c>
      <c r="D2055" s="279" t="s">
        <v>10881</v>
      </c>
      <c r="E2055" s="306" t="s">
        <v>10969</v>
      </c>
      <c r="F2055" s="278" t="s">
        <v>4109</v>
      </c>
      <c r="G2055" s="278" t="s">
        <v>4108</v>
      </c>
      <c r="H2055" s="306" t="s">
        <v>11236</v>
      </c>
      <c r="I2055" s="269" t="s">
        <v>11237</v>
      </c>
      <c r="J2055" s="306" t="s">
        <v>10969</v>
      </c>
    </row>
    <row r="2056" spans="1:10" ht="14.5" customHeight="1" x14ac:dyDescent="0.25">
      <c r="A2056" s="278" t="s">
        <v>3705</v>
      </c>
      <c r="B2056" s="278" t="s">
        <v>10904</v>
      </c>
      <c r="C2056" s="278" t="s">
        <v>10880</v>
      </c>
      <c r="D2056" s="279" t="s">
        <v>10881</v>
      </c>
      <c r="E2056" s="306" t="s">
        <v>10969</v>
      </c>
      <c r="F2056" s="278" t="s">
        <v>4109</v>
      </c>
      <c r="G2056" s="278" t="s">
        <v>4108</v>
      </c>
      <c r="H2056" s="306" t="s">
        <v>11187</v>
      </c>
      <c r="I2056" s="269" t="s">
        <v>11188</v>
      </c>
      <c r="J2056" s="306" t="s">
        <v>10969</v>
      </c>
    </row>
    <row r="2057" spans="1:10" ht="14.5" customHeight="1" x14ac:dyDescent="0.25">
      <c r="A2057" s="278" t="s">
        <v>3705</v>
      </c>
      <c r="B2057" s="278" t="s">
        <v>10904</v>
      </c>
      <c r="C2057" s="278" t="s">
        <v>10880</v>
      </c>
      <c r="D2057" s="279" t="s">
        <v>10881</v>
      </c>
      <c r="E2057" s="306" t="s">
        <v>10969</v>
      </c>
      <c r="F2057" s="278" t="s">
        <v>4109</v>
      </c>
      <c r="G2057" s="278" t="s">
        <v>4108</v>
      </c>
      <c r="H2057" s="306" t="s">
        <v>11205</v>
      </c>
      <c r="I2057" s="269" t="s">
        <v>11206</v>
      </c>
      <c r="J2057" s="306" t="s">
        <v>10969</v>
      </c>
    </row>
    <row r="2058" spans="1:10" ht="14.5" customHeight="1" x14ac:dyDescent="0.25">
      <c r="A2058" s="278" t="s">
        <v>3705</v>
      </c>
      <c r="B2058" s="278" t="s">
        <v>10904</v>
      </c>
      <c r="C2058" s="278" t="s">
        <v>10880</v>
      </c>
      <c r="D2058" s="279" t="s">
        <v>10881</v>
      </c>
      <c r="E2058" s="306" t="s">
        <v>10969</v>
      </c>
      <c r="F2058" s="278" t="s">
        <v>4109</v>
      </c>
      <c r="G2058" s="278" t="s">
        <v>4108</v>
      </c>
      <c r="H2058" s="306" t="s">
        <v>11207</v>
      </c>
      <c r="I2058" s="269" t="s">
        <v>11208</v>
      </c>
      <c r="J2058" s="306" t="s">
        <v>10969</v>
      </c>
    </row>
    <row r="2059" spans="1:10" ht="14.5" customHeight="1" x14ac:dyDescent="0.25">
      <c r="A2059" s="278" t="s">
        <v>3705</v>
      </c>
      <c r="B2059" s="278" t="s">
        <v>10904</v>
      </c>
      <c r="C2059" s="278" t="s">
        <v>10880</v>
      </c>
      <c r="D2059" s="279" t="s">
        <v>10881</v>
      </c>
      <c r="E2059" s="306" t="s">
        <v>10969</v>
      </c>
      <c r="F2059" s="278" t="s">
        <v>4109</v>
      </c>
      <c r="G2059" s="278" t="s">
        <v>4108</v>
      </c>
      <c r="H2059" s="306" t="s">
        <v>11189</v>
      </c>
      <c r="I2059" s="269" t="s">
        <v>11190</v>
      </c>
      <c r="J2059" s="306" t="s">
        <v>10969</v>
      </c>
    </row>
    <row r="2060" spans="1:10" ht="14.5" customHeight="1" x14ac:dyDescent="0.25">
      <c r="A2060" s="278" t="s">
        <v>3705</v>
      </c>
      <c r="B2060" s="278" t="s">
        <v>10904</v>
      </c>
      <c r="C2060" s="278" t="s">
        <v>10880</v>
      </c>
      <c r="D2060" s="279" t="s">
        <v>10881</v>
      </c>
      <c r="E2060" s="306" t="s">
        <v>10969</v>
      </c>
      <c r="F2060" s="278" t="s">
        <v>4109</v>
      </c>
      <c r="G2060" s="278" t="s">
        <v>4108</v>
      </c>
      <c r="H2060" s="306" t="s">
        <v>11191</v>
      </c>
      <c r="I2060" s="269" t="s">
        <v>11192</v>
      </c>
      <c r="J2060" s="306" t="s">
        <v>10969</v>
      </c>
    </row>
    <row r="2061" spans="1:10" ht="14.5" customHeight="1" x14ac:dyDescent="0.25">
      <c r="A2061" s="278" t="s">
        <v>3705</v>
      </c>
      <c r="B2061" s="278" t="s">
        <v>10904</v>
      </c>
      <c r="C2061" s="278" t="s">
        <v>10880</v>
      </c>
      <c r="D2061" s="279" t="s">
        <v>10881</v>
      </c>
      <c r="E2061" s="306" t="s">
        <v>10969</v>
      </c>
      <c r="F2061" s="278" t="s">
        <v>4109</v>
      </c>
      <c r="G2061" s="278" t="s">
        <v>4108</v>
      </c>
      <c r="H2061" s="306" t="s">
        <v>11209</v>
      </c>
      <c r="I2061" s="269" t="s">
        <v>11210</v>
      </c>
      <c r="J2061" s="306" t="s">
        <v>10969</v>
      </c>
    </row>
    <row r="2062" spans="1:10" ht="14.5" customHeight="1" x14ac:dyDescent="0.25">
      <c r="A2062" s="278" t="s">
        <v>3705</v>
      </c>
      <c r="B2062" s="278" t="s">
        <v>10904</v>
      </c>
      <c r="C2062" s="278" t="s">
        <v>10880</v>
      </c>
      <c r="D2062" s="279" t="s">
        <v>10881</v>
      </c>
      <c r="E2062" s="306" t="s">
        <v>10969</v>
      </c>
      <c r="F2062" s="278" t="s">
        <v>4109</v>
      </c>
      <c r="G2062" s="278" t="s">
        <v>4108</v>
      </c>
      <c r="H2062" s="306" t="s">
        <v>11238</v>
      </c>
      <c r="I2062" s="269" t="s">
        <v>11239</v>
      </c>
      <c r="J2062" s="306" t="s">
        <v>10969</v>
      </c>
    </row>
    <row r="2063" spans="1:10" ht="14.5" customHeight="1" x14ac:dyDescent="0.25">
      <c r="A2063" s="278" t="s">
        <v>3705</v>
      </c>
      <c r="B2063" s="278" t="s">
        <v>10904</v>
      </c>
      <c r="C2063" s="278" t="s">
        <v>10880</v>
      </c>
      <c r="D2063" s="279" t="s">
        <v>10881</v>
      </c>
      <c r="E2063" s="306" t="s">
        <v>10969</v>
      </c>
      <c r="F2063" s="278" t="s">
        <v>4109</v>
      </c>
      <c r="G2063" s="278" t="s">
        <v>4108</v>
      </c>
      <c r="H2063" s="306" t="s">
        <v>11193</v>
      </c>
      <c r="I2063" s="269" t="s">
        <v>11194</v>
      </c>
      <c r="J2063" s="306" t="s">
        <v>10969</v>
      </c>
    </row>
    <row r="2064" spans="1:10" ht="14.5" customHeight="1" x14ac:dyDescent="0.25">
      <c r="A2064" s="278" t="s">
        <v>3705</v>
      </c>
      <c r="B2064" s="278" t="s">
        <v>10904</v>
      </c>
      <c r="C2064" s="278" t="s">
        <v>10883</v>
      </c>
      <c r="D2064" s="279" t="s">
        <v>10884</v>
      </c>
      <c r="E2064" s="306" t="s">
        <v>10969</v>
      </c>
      <c r="F2064" s="278" t="s">
        <v>4109</v>
      </c>
      <c r="G2064" s="278" t="s">
        <v>4108</v>
      </c>
      <c r="H2064" s="306" t="s">
        <v>11350</v>
      </c>
      <c r="I2064" s="269" t="s">
        <v>11351</v>
      </c>
      <c r="J2064" s="306" t="s">
        <v>10969</v>
      </c>
    </row>
    <row r="2065" spans="1:10" ht="14.5" customHeight="1" x14ac:dyDescent="0.25">
      <c r="A2065" s="278" t="s">
        <v>3705</v>
      </c>
      <c r="B2065" s="278" t="s">
        <v>10904</v>
      </c>
      <c r="C2065" s="278" t="s">
        <v>10883</v>
      </c>
      <c r="D2065" s="279" t="s">
        <v>10884</v>
      </c>
      <c r="E2065" s="306" t="s">
        <v>10969</v>
      </c>
      <c r="F2065" s="278" t="s">
        <v>4109</v>
      </c>
      <c r="G2065" s="278" t="s">
        <v>4108</v>
      </c>
      <c r="H2065" s="306" t="s">
        <v>11354</v>
      </c>
      <c r="I2065" s="269" t="s">
        <v>11355</v>
      </c>
      <c r="J2065" s="306" t="s">
        <v>10969</v>
      </c>
    </row>
    <row r="2066" spans="1:10" ht="14.5" customHeight="1" x14ac:dyDescent="0.25">
      <c r="A2066" s="278" t="s">
        <v>3705</v>
      </c>
      <c r="B2066" s="278" t="s">
        <v>10904</v>
      </c>
      <c r="C2066" s="278" t="s">
        <v>10883</v>
      </c>
      <c r="D2066" s="279" t="s">
        <v>10884</v>
      </c>
      <c r="E2066" s="306" t="s">
        <v>10969</v>
      </c>
      <c r="F2066" s="278" t="s">
        <v>4109</v>
      </c>
      <c r="G2066" s="278" t="s">
        <v>4108</v>
      </c>
      <c r="H2066" s="306" t="s">
        <v>11195</v>
      </c>
      <c r="I2066" s="269" t="s">
        <v>11196</v>
      </c>
      <c r="J2066" s="306" t="s">
        <v>10969</v>
      </c>
    </row>
    <row r="2067" spans="1:10" ht="14.5" customHeight="1" x14ac:dyDescent="0.25">
      <c r="A2067" s="278" t="s">
        <v>3705</v>
      </c>
      <c r="B2067" s="278" t="s">
        <v>10904</v>
      </c>
      <c r="C2067" s="278" t="s">
        <v>10883</v>
      </c>
      <c r="D2067" s="279" t="s">
        <v>10884</v>
      </c>
      <c r="E2067" s="306" t="s">
        <v>10969</v>
      </c>
      <c r="F2067" s="278" t="s">
        <v>4109</v>
      </c>
      <c r="G2067" s="278" t="s">
        <v>4108</v>
      </c>
      <c r="H2067" s="306" t="s">
        <v>11197</v>
      </c>
      <c r="I2067" s="269" t="s">
        <v>11198</v>
      </c>
      <c r="J2067" s="306" t="s">
        <v>10969</v>
      </c>
    </row>
    <row r="2068" spans="1:10" ht="14.5" customHeight="1" x14ac:dyDescent="0.25">
      <c r="A2068" s="278" t="s">
        <v>3705</v>
      </c>
      <c r="B2068" s="278" t="s">
        <v>10904</v>
      </c>
      <c r="C2068" s="278" t="s">
        <v>10883</v>
      </c>
      <c r="D2068" s="279" t="s">
        <v>10884</v>
      </c>
      <c r="E2068" s="306" t="s">
        <v>10969</v>
      </c>
      <c r="F2068" s="278" t="s">
        <v>4109</v>
      </c>
      <c r="G2068" s="278" t="s">
        <v>4108</v>
      </c>
      <c r="H2068" s="306" t="s">
        <v>11199</v>
      </c>
      <c r="I2068" s="269" t="s">
        <v>11200</v>
      </c>
      <c r="J2068" s="306" t="s">
        <v>10969</v>
      </c>
    </row>
    <row r="2069" spans="1:10" ht="14.5" customHeight="1" x14ac:dyDescent="0.25">
      <c r="A2069" s="278" t="s">
        <v>3705</v>
      </c>
      <c r="B2069" s="278" t="s">
        <v>10904</v>
      </c>
      <c r="C2069" s="278" t="s">
        <v>10883</v>
      </c>
      <c r="D2069" s="279" t="s">
        <v>10884</v>
      </c>
      <c r="E2069" s="306" t="s">
        <v>10969</v>
      </c>
      <c r="F2069" s="278" t="s">
        <v>4109</v>
      </c>
      <c r="G2069" s="278" t="s">
        <v>4108</v>
      </c>
      <c r="H2069" s="306" t="s">
        <v>11201</v>
      </c>
      <c r="I2069" s="269" t="s">
        <v>11202</v>
      </c>
      <c r="J2069" s="306" t="s">
        <v>10969</v>
      </c>
    </row>
    <row r="2070" spans="1:10" ht="14.5" customHeight="1" x14ac:dyDescent="0.25">
      <c r="A2070" s="278" t="s">
        <v>3705</v>
      </c>
      <c r="B2070" s="278" t="s">
        <v>10904</v>
      </c>
      <c r="C2070" s="278" t="s">
        <v>10883</v>
      </c>
      <c r="D2070" s="279" t="s">
        <v>10884</v>
      </c>
      <c r="E2070" s="306" t="s">
        <v>10969</v>
      </c>
      <c r="F2070" s="278" t="s">
        <v>4109</v>
      </c>
      <c r="G2070" s="278" t="s">
        <v>4108</v>
      </c>
      <c r="H2070" s="306" t="s">
        <v>11217</v>
      </c>
      <c r="I2070" s="269" t="s">
        <v>11218</v>
      </c>
      <c r="J2070" s="306" t="s">
        <v>10969</v>
      </c>
    </row>
    <row r="2071" spans="1:10" ht="14.5" customHeight="1" x14ac:dyDescent="0.25">
      <c r="A2071" s="278" t="s">
        <v>3705</v>
      </c>
      <c r="B2071" s="278" t="s">
        <v>10904</v>
      </c>
      <c r="C2071" s="278" t="s">
        <v>10883</v>
      </c>
      <c r="D2071" s="279" t="s">
        <v>10884</v>
      </c>
      <c r="E2071" s="306" t="s">
        <v>10969</v>
      </c>
      <c r="F2071" s="278" t="s">
        <v>4109</v>
      </c>
      <c r="G2071" s="278" t="s">
        <v>4108</v>
      </c>
      <c r="H2071" s="306" t="s">
        <v>11223</v>
      </c>
      <c r="I2071" s="269" t="s">
        <v>11224</v>
      </c>
      <c r="J2071" s="306" t="s">
        <v>10969</v>
      </c>
    </row>
    <row r="2072" spans="1:10" ht="14.5" customHeight="1" x14ac:dyDescent="0.25">
      <c r="A2072" s="278" t="s">
        <v>3705</v>
      </c>
      <c r="B2072" s="278" t="s">
        <v>10904</v>
      </c>
      <c r="C2072" s="278" t="s">
        <v>10883</v>
      </c>
      <c r="D2072" s="279" t="s">
        <v>10884</v>
      </c>
      <c r="E2072" s="306" t="s">
        <v>10969</v>
      </c>
      <c r="F2072" s="278" t="s">
        <v>4109</v>
      </c>
      <c r="G2072" s="278" t="s">
        <v>4108</v>
      </c>
      <c r="H2072" s="306" t="s">
        <v>11228</v>
      </c>
      <c r="I2072" s="269" t="s">
        <v>11229</v>
      </c>
      <c r="J2072" s="306" t="s">
        <v>10969</v>
      </c>
    </row>
    <row r="2073" spans="1:10" ht="14.5" customHeight="1" x14ac:dyDescent="0.25">
      <c r="A2073" s="278" t="s">
        <v>3705</v>
      </c>
      <c r="B2073" s="278" t="s">
        <v>10904</v>
      </c>
      <c r="C2073" s="278" t="s">
        <v>10883</v>
      </c>
      <c r="D2073" s="279" t="s">
        <v>10884</v>
      </c>
      <c r="E2073" s="306" t="s">
        <v>10969</v>
      </c>
      <c r="F2073" s="278" t="s">
        <v>4109</v>
      </c>
      <c r="G2073" s="278" t="s">
        <v>4108</v>
      </c>
      <c r="H2073" s="306" t="s">
        <v>11230</v>
      </c>
      <c r="I2073" s="269" t="s">
        <v>11231</v>
      </c>
      <c r="J2073" s="306" t="s">
        <v>10969</v>
      </c>
    </row>
    <row r="2074" spans="1:10" ht="14.5" customHeight="1" x14ac:dyDescent="0.25">
      <c r="A2074" s="278" t="s">
        <v>3705</v>
      </c>
      <c r="B2074" s="278" t="s">
        <v>10904</v>
      </c>
      <c r="C2074" s="278" t="s">
        <v>10883</v>
      </c>
      <c r="D2074" s="279" t="s">
        <v>10884</v>
      </c>
      <c r="E2074" s="306" t="s">
        <v>10969</v>
      </c>
      <c r="F2074" s="278" t="s">
        <v>4109</v>
      </c>
      <c r="G2074" s="278" t="s">
        <v>4108</v>
      </c>
      <c r="H2074" s="306" t="s">
        <v>11232</v>
      </c>
      <c r="I2074" s="269" t="s">
        <v>11233</v>
      </c>
      <c r="J2074" s="306" t="s">
        <v>10969</v>
      </c>
    </row>
    <row r="2075" spans="1:10" ht="14.5" customHeight="1" x14ac:dyDescent="0.25">
      <c r="A2075" s="278" t="s">
        <v>3705</v>
      </c>
      <c r="B2075" s="278" t="s">
        <v>10904</v>
      </c>
      <c r="C2075" s="278" t="s">
        <v>10883</v>
      </c>
      <c r="D2075" s="279" t="s">
        <v>10884</v>
      </c>
      <c r="E2075" s="306" t="s">
        <v>10969</v>
      </c>
      <c r="F2075" s="278" t="s">
        <v>4109</v>
      </c>
      <c r="G2075" s="278" t="s">
        <v>4108</v>
      </c>
      <c r="H2075" s="306" t="s">
        <v>11234</v>
      </c>
      <c r="I2075" s="269" t="s">
        <v>11235</v>
      </c>
      <c r="J2075" s="306" t="s">
        <v>10969</v>
      </c>
    </row>
    <row r="2076" spans="1:10" ht="14.5" customHeight="1" x14ac:dyDescent="0.25">
      <c r="A2076" s="278" t="s">
        <v>3705</v>
      </c>
      <c r="B2076" s="278" t="s">
        <v>10904</v>
      </c>
      <c r="C2076" s="278" t="s">
        <v>10883</v>
      </c>
      <c r="D2076" s="279" t="s">
        <v>10884</v>
      </c>
      <c r="E2076" s="306" t="s">
        <v>10969</v>
      </c>
      <c r="F2076" s="278" t="s">
        <v>4109</v>
      </c>
      <c r="G2076" s="278" t="s">
        <v>4108</v>
      </c>
      <c r="H2076" s="306" t="s">
        <v>11352</v>
      </c>
      <c r="I2076" s="269" t="s">
        <v>11353</v>
      </c>
      <c r="J2076" s="306" t="s">
        <v>10969</v>
      </c>
    </row>
    <row r="2077" spans="1:10" ht="14.5" customHeight="1" x14ac:dyDescent="0.25">
      <c r="A2077" s="278" t="s">
        <v>3705</v>
      </c>
      <c r="B2077" s="278" t="s">
        <v>10904</v>
      </c>
      <c r="C2077" s="278" t="s">
        <v>10883</v>
      </c>
      <c r="D2077" s="279" t="s">
        <v>10884</v>
      </c>
      <c r="E2077" s="306" t="s">
        <v>10969</v>
      </c>
      <c r="F2077" s="278" t="s">
        <v>4109</v>
      </c>
      <c r="G2077" s="278" t="s">
        <v>4108</v>
      </c>
      <c r="H2077" s="306" t="s">
        <v>11226</v>
      </c>
      <c r="I2077" s="269" t="s">
        <v>11227</v>
      </c>
      <c r="J2077" s="306" t="s">
        <v>10969</v>
      </c>
    </row>
    <row r="2078" spans="1:10" ht="14.5" customHeight="1" x14ac:dyDescent="0.25">
      <c r="A2078" s="278" t="s">
        <v>3705</v>
      </c>
      <c r="B2078" s="278" t="s">
        <v>10904</v>
      </c>
      <c r="C2078" s="278" t="s">
        <v>10886</v>
      </c>
      <c r="D2078" s="279" t="s">
        <v>10887</v>
      </c>
      <c r="E2078" s="306" t="s">
        <v>10969</v>
      </c>
      <c r="F2078" s="278" t="s">
        <v>4109</v>
      </c>
      <c r="G2078" s="278" t="s">
        <v>4108</v>
      </c>
      <c r="H2078" s="306" t="s">
        <v>11283</v>
      </c>
      <c r="I2078" s="269" t="s">
        <v>11284</v>
      </c>
      <c r="J2078" s="306" t="s">
        <v>10969</v>
      </c>
    </row>
    <row r="2079" spans="1:10" ht="14.5" customHeight="1" x14ac:dyDescent="0.25">
      <c r="A2079" s="278" t="s">
        <v>3705</v>
      </c>
      <c r="B2079" s="278" t="s">
        <v>10904</v>
      </c>
      <c r="C2079" s="278" t="s">
        <v>10886</v>
      </c>
      <c r="D2079" s="279" t="s">
        <v>10887</v>
      </c>
      <c r="E2079" s="306" t="s">
        <v>10969</v>
      </c>
      <c r="F2079" s="278" t="s">
        <v>4109</v>
      </c>
      <c r="G2079" s="278" t="s">
        <v>4108</v>
      </c>
      <c r="H2079" s="306" t="s">
        <v>11337</v>
      </c>
      <c r="I2079" s="269" t="s">
        <v>11338</v>
      </c>
      <c r="J2079" s="306" t="s">
        <v>10969</v>
      </c>
    </row>
    <row r="2080" spans="1:10" ht="14.5" customHeight="1" x14ac:dyDescent="0.25">
      <c r="A2080" s="278" t="s">
        <v>3705</v>
      </c>
      <c r="B2080" s="278" t="s">
        <v>10904</v>
      </c>
      <c r="C2080" s="278" t="s">
        <v>10886</v>
      </c>
      <c r="D2080" s="279" t="s">
        <v>10887</v>
      </c>
      <c r="E2080" s="306" t="s">
        <v>10969</v>
      </c>
      <c r="F2080" s="278" t="s">
        <v>4109</v>
      </c>
      <c r="G2080" s="278" t="s">
        <v>4108</v>
      </c>
      <c r="H2080" s="306" t="s">
        <v>11339</v>
      </c>
      <c r="I2080" s="269" t="s">
        <v>11340</v>
      </c>
      <c r="J2080" s="306" t="s">
        <v>10969</v>
      </c>
    </row>
    <row r="2081" spans="1:10" ht="14.5" customHeight="1" x14ac:dyDescent="0.25">
      <c r="A2081" s="278" t="s">
        <v>3705</v>
      </c>
      <c r="B2081" s="278" t="s">
        <v>10904</v>
      </c>
      <c r="C2081" s="278" t="s">
        <v>10886</v>
      </c>
      <c r="D2081" s="279" t="s">
        <v>10887</v>
      </c>
      <c r="E2081" s="306" t="s">
        <v>10969</v>
      </c>
      <c r="F2081" s="278" t="s">
        <v>4109</v>
      </c>
      <c r="G2081" s="278" t="s">
        <v>4108</v>
      </c>
      <c r="H2081" s="306" t="s">
        <v>11276</v>
      </c>
      <c r="I2081" s="269" t="s">
        <v>11277</v>
      </c>
      <c r="J2081" s="306" t="s">
        <v>10969</v>
      </c>
    </row>
    <row r="2082" spans="1:10" ht="14.5" customHeight="1" x14ac:dyDescent="0.25">
      <c r="A2082" s="278" t="s">
        <v>3705</v>
      </c>
      <c r="B2082" s="278" t="s">
        <v>10904</v>
      </c>
      <c r="C2082" s="278" t="s">
        <v>10886</v>
      </c>
      <c r="D2082" s="279" t="s">
        <v>10887</v>
      </c>
      <c r="E2082" s="306" t="s">
        <v>10969</v>
      </c>
      <c r="F2082" s="278" t="s">
        <v>4109</v>
      </c>
      <c r="G2082" s="278" t="s">
        <v>4108</v>
      </c>
      <c r="H2082" s="306" t="s">
        <v>11278</v>
      </c>
      <c r="I2082" s="269" t="s">
        <v>11279</v>
      </c>
      <c r="J2082" s="306" t="s">
        <v>10969</v>
      </c>
    </row>
    <row r="2083" spans="1:10" ht="14.5" customHeight="1" x14ac:dyDescent="0.25">
      <c r="A2083" s="278" t="s">
        <v>3705</v>
      </c>
      <c r="B2083" s="278" t="s">
        <v>10904</v>
      </c>
      <c r="C2083" s="278" t="s">
        <v>10886</v>
      </c>
      <c r="D2083" s="279" t="s">
        <v>10887</v>
      </c>
      <c r="E2083" s="306" t="s">
        <v>10969</v>
      </c>
      <c r="F2083" s="278" t="s">
        <v>4109</v>
      </c>
      <c r="G2083" s="278" t="s">
        <v>4108</v>
      </c>
      <c r="H2083" s="306" t="s">
        <v>11280</v>
      </c>
      <c r="I2083" s="269" t="s">
        <v>11279</v>
      </c>
      <c r="J2083" s="306" t="s">
        <v>10969</v>
      </c>
    </row>
    <row r="2084" spans="1:10" ht="14.5" customHeight="1" x14ac:dyDescent="0.25">
      <c r="A2084" s="278" t="s">
        <v>3705</v>
      </c>
      <c r="B2084" s="278" t="s">
        <v>10904</v>
      </c>
      <c r="C2084" s="278" t="s">
        <v>10886</v>
      </c>
      <c r="D2084" s="279" t="s">
        <v>10887</v>
      </c>
      <c r="E2084" s="306" t="s">
        <v>10969</v>
      </c>
      <c r="F2084" s="278" t="s">
        <v>4109</v>
      </c>
      <c r="G2084" s="278" t="s">
        <v>4108</v>
      </c>
      <c r="H2084" s="306" t="s">
        <v>11242</v>
      </c>
      <c r="I2084" s="269" t="s">
        <v>11243</v>
      </c>
      <c r="J2084" s="306" t="s">
        <v>10969</v>
      </c>
    </row>
    <row r="2085" spans="1:10" ht="14.5" customHeight="1" x14ac:dyDescent="0.25">
      <c r="A2085" s="278" t="s">
        <v>3705</v>
      </c>
      <c r="B2085" s="278" t="s">
        <v>10904</v>
      </c>
      <c r="C2085" s="278" t="s">
        <v>10886</v>
      </c>
      <c r="D2085" s="279" t="s">
        <v>10887</v>
      </c>
      <c r="E2085" s="306" t="s">
        <v>10969</v>
      </c>
      <c r="F2085" s="278" t="s">
        <v>4109</v>
      </c>
      <c r="G2085" s="278" t="s">
        <v>4108</v>
      </c>
      <c r="H2085" s="306" t="s">
        <v>11341</v>
      </c>
      <c r="I2085" s="269" t="s">
        <v>11342</v>
      </c>
      <c r="J2085" s="306" t="s">
        <v>10969</v>
      </c>
    </row>
    <row r="2086" spans="1:10" ht="14.5" customHeight="1" x14ac:dyDescent="0.25">
      <c r="A2086" s="278" t="s">
        <v>3705</v>
      </c>
      <c r="B2086" s="278" t="s">
        <v>10904</v>
      </c>
      <c r="C2086" s="278" t="s">
        <v>10886</v>
      </c>
      <c r="D2086" s="279" t="s">
        <v>10887</v>
      </c>
      <c r="E2086" s="306" t="s">
        <v>10969</v>
      </c>
      <c r="F2086" s="278" t="s">
        <v>4109</v>
      </c>
      <c r="G2086" s="278" t="s">
        <v>4108</v>
      </c>
      <c r="H2086" s="306" t="s">
        <v>11335</v>
      </c>
      <c r="I2086" s="269" t="s">
        <v>11336</v>
      </c>
      <c r="J2086" s="306" t="s">
        <v>10969</v>
      </c>
    </row>
    <row r="2087" spans="1:10" ht="14.5" customHeight="1" x14ac:dyDescent="0.25">
      <c r="A2087" s="278" t="s">
        <v>3705</v>
      </c>
      <c r="B2087" s="278" t="s">
        <v>10904</v>
      </c>
      <c r="C2087" s="278" t="s">
        <v>10886</v>
      </c>
      <c r="D2087" s="279" t="s">
        <v>10887</v>
      </c>
      <c r="E2087" s="306" t="s">
        <v>10969</v>
      </c>
      <c r="F2087" s="278" t="s">
        <v>4109</v>
      </c>
      <c r="G2087" s="278" t="s">
        <v>4108</v>
      </c>
      <c r="H2087" s="306" t="s">
        <v>11281</v>
      </c>
      <c r="I2087" s="269" t="s">
        <v>11282</v>
      </c>
      <c r="J2087" s="306" t="s">
        <v>10969</v>
      </c>
    </row>
    <row r="2088" spans="1:10" ht="14.5" customHeight="1" x14ac:dyDescent="0.25">
      <c r="A2088" s="278" t="s">
        <v>3705</v>
      </c>
      <c r="B2088" s="278" t="s">
        <v>10904</v>
      </c>
      <c r="C2088" s="278" t="s">
        <v>10889</v>
      </c>
      <c r="D2088" s="279" t="s">
        <v>10890</v>
      </c>
      <c r="E2088" s="306" t="s">
        <v>10969</v>
      </c>
      <c r="F2088" s="278" t="s">
        <v>4109</v>
      </c>
      <c r="G2088" s="278" t="s">
        <v>4108</v>
      </c>
      <c r="H2088" s="306" t="s">
        <v>11295</v>
      </c>
      <c r="I2088" s="269" t="s">
        <v>11296</v>
      </c>
      <c r="J2088" s="306" t="s">
        <v>10969</v>
      </c>
    </row>
    <row r="2089" spans="1:10" ht="14.5" customHeight="1" x14ac:dyDescent="0.25">
      <c r="A2089" s="278" t="s">
        <v>3705</v>
      </c>
      <c r="B2089" s="278" t="s">
        <v>10904</v>
      </c>
      <c r="C2089" s="278" t="s">
        <v>10889</v>
      </c>
      <c r="D2089" s="279" t="s">
        <v>10890</v>
      </c>
      <c r="E2089" s="306" t="s">
        <v>10969</v>
      </c>
      <c r="F2089" s="278" t="s">
        <v>4109</v>
      </c>
      <c r="G2089" s="278" t="s">
        <v>4108</v>
      </c>
      <c r="H2089" s="306" t="s">
        <v>11246</v>
      </c>
      <c r="I2089" s="269" t="s">
        <v>11247</v>
      </c>
      <c r="J2089" s="306" t="s">
        <v>10969</v>
      </c>
    </row>
    <row r="2090" spans="1:10" ht="14.5" customHeight="1" x14ac:dyDescent="0.25">
      <c r="A2090" s="278" t="s">
        <v>3705</v>
      </c>
      <c r="B2090" s="278" t="s">
        <v>10904</v>
      </c>
      <c r="C2090" s="278" t="s">
        <v>10889</v>
      </c>
      <c r="D2090" s="279" t="s">
        <v>10890</v>
      </c>
      <c r="E2090" s="306" t="s">
        <v>10969</v>
      </c>
      <c r="F2090" s="278" t="s">
        <v>4109</v>
      </c>
      <c r="G2090" s="278" t="s">
        <v>4108</v>
      </c>
      <c r="H2090" s="306" t="s">
        <v>11285</v>
      </c>
      <c r="I2090" s="269" t="s">
        <v>11286</v>
      </c>
      <c r="J2090" s="306" t="s">
        <v>10969</v>
      </c>
    </row>
    <row r="2091" spans="1:10" ht="14.5" customHeight="1" x14ac:dyDescent="0.25">
      <c r="A2091" s="278" t="s">
        <v>3705</v>
      </c>
      <c r="B2091" s="278" t="s">
        <v>10904</v>
      </c>
      <c r="C2091" s="278" t="s">
        <v>10889</v>
      </c>
      <c r="D2091" s="279" t="s">
        <v>10890</v>
      </c>
      <c r="E2091" s="306" t="s">
        <v>10969</v>
      </c>
      <c r="F2091" s="278" t="s">
        <v>4109</v>
      </c>
      <c r="G2091" s="278" t="s">
        <v>4108</v>
      </c>
      <c r="H2091" s="306" t="s">
        <v>11287</v>
      </c>
      <c r="I2091" s="269" t="s">
        <v>11288</v>
      </c>
      <c r="J2091" s="306" t="s">
        <v>10969</v>
      </c>
    </row>
    <row r="2092" spans="1:10" ht="14.5" customHeight="1" x14ac:dyDescent="0.25">
      <c r="A2092" s="278" t="s">
        <v>3705</v>
      </c>
      <c r="B2092" s="278" t="s">
        <v>10904</v>
      </c>
      <c r="C2092" s="278" t="s">
        <v>10889</v>
      </c>
      <c r="D2092" s="279" t="s">
        <v>10890</v>
      </c>
      <c r="E2092" s="306" t="s">
        <v>10969</v>
      </c>
      <c r="F2092" s="278" t="s">
        <v>4109</v>
      </c>
      <c r="G2092" s="278" t="s">
        <v>4108</v>
      </c>
      <c r="H2092" s="306" t="s">
        <v>11289</v>
      </c>
      <c r="I2092" s="269" t="s">
        <v>11290</v>
      </c>
      <c r="J2092" s="306" t="s">
        <v>10969</v>
      </c>
    </row>
    <row r="2093" spans="1:10" ht="14.5" customHeight="1" x14ac:dyDescent="0.25">
      <c r="A2093" s="278" t="s">
        <v>3705</v>
      </c>
      <c r="B2093" s="278" t="s">
        <v>10904</v>
      </c>
      <c r="C2093" s="278" t="s">
        <v>10889</v>
      </c>
      <c r="D2093" s="279" t="s">
        <v>10890</v>
      </c>
      <c r="E2093" s="306" t="s">
        <v>10969</v>
      </c>
      <c r="F2093" s="278" t="s">
        <v>4109</v>
      </c>
      <c r="G2093" s="278" t="s">
        <v>4108</v>
      </c>
      <c r="H2093" s="306" t="s">
        <v>11349</v>
      </c>
      <c r="I2093" s="269" t="s">
        <v>11348</v>
      </c>
      <c r="J2093" s="306" t="s">
        <v>10969</v>
      </c>
    </row>
    <row r="2094" spans="1:10" ht="14.5" customHeight="1" x14ac:dyDescent="0.25">
      <c r="A2094" s="278" t="s">
        <v>3705</v>
      </c>
      <c r="B2094" s="278" t="s">
        <v>10904</v>
      </c>
      <c r="C2094" s="278" t="s">
        <v>10889</v>
      </c>
      <c r="D2094" s="279" t="s">
        <v>10890</v>
      </c>
      <c r="E2094" s="306" t="s">
        <v>10969</v>
      </c>
      <c r="F2094" s="278" t="s">
        <v>4109</v>
      </c>
      <c r="G2094" s="278" t="s">
        <v>4108</v>
      </c>
      <c r="H2094" s="306" t="s">
        <v>11343</v>
      </c>
      <c r="I2094" s="269" t="s">
        <v>11344</v>
      </c>
      <c r="J2094" s="306" t="s">
        <v>10969</v>
      </c>
    </row>
    <row r="2095" spans="1:10" ht="14.5" customHeight="1" x14ac:dyDescent="0.25">
      <c r="A2095" s="278" t="s">
        <v>3705</v>
      </c>
      <c r="B2095" s="278" t="s">
        <v>10904</v>
      </c>
      <c r="C2095" s="278" t="s">
        <v>10889</v>
      </c>
      <c r="D2095" s="279" t="s">
        <v>10890</v>
      </c>
      <c r="E2095" s="306" t="s">
        <v>10969</v>
      </c>
      <c r="F2095" s="278" t="s">
        <v>4109</v>
      </c>
      <c r="G2095" s="278" t="s">
        <v>4108</v>
      </c>
      <c r="H2095" s="306" t="s">
        <v>11293</v>
      </c>
      <c r="I2095" s="269" t="s">
        <v>11294</v>
      </c>
      <c r="J2095" s="306" t="s">
        <v>10969</v>
      </c>
    </row>
    <row r="2096" spans="1:10" ht="14.5" customHeight="1" x14ac:dyDescent="0.25">
      <c r="A2096" s="278" t="s">
        <v>3705</v>
      </c>
      <c r="B2096" s="278" t="s">
        <v>10904</v>
      </c>
      <c r="C2096" s="278" t="s">
        <v>10889</v>
      </c>
      <c r="D2096" s="279" t="s">
        <v>10890</v>
      </c>
      <c r="E2096" s="306" t="s">
        <v>10969</v>
      </c>
      <c r="F2096" s="278" t="s">
        <v>4109</v>
      </c>
      <c r="G2096" s="278" t="s">
        <v>4108</v>
      </c>
      <c r="H2096" s="306" t="s">
        <v>11291</v>
      </c>
      <c r="I2096" s="269" t="s">
        <v>11292</v>
      </c>
      <c r="J2096" s="306" t="s">
        <v>10969</v>
      </c>
    </row>
    <row r="2097" spans="1:10" ht="14.5" customHeight="1" x14ac:dyDescent="0.25">
      <c r="A2097" s="278" t="s">
        <v>3705</v>
      </c>
      <c r="B2097" s="278" t="s">
        <v>10904</v>
      </c>
      <c r="C2097" s="278" t="s">
        <v>10889</v>
      </c>
      <c r="D2097" s="279" t="s">
        <v>10890</v>
      </c>
      <c r="E2097" s="306" t="s">
        <v>10969</v>
      </c>
      <c r="F2097" s="278" t="s">
        <v>4109</v>
      </c>
      <c r="G2097" s="278" t="s">
        <v>4108</v>
      </c>
      <c r="H2097" s="306" t="s">
        <v>11244</v>
      </c>
      <c r="I2097" s="269" t="s">
        <v>11245</v>
      </c>
      <c r="J2097" s="306" t="s">
        <v>10969</v>
      </c>
    </row>
    <row r="2098" spans="1:10" ht="14.5" customHeight="1" x14ac:dyDescent="0.25">
      <c r="A2098" s="278" t="s">
        <v>3705</v>
      </c>
      <c r="B2098" s="278" t="s">
        <v>10904</v>
      </c>
      <c r="C2098" s="278" t="s">
        <v>10889</v>
      </c>
      <c r="D2098" s="279" t="s">
        <v>10890</v>
      </c>
      <c r="E2098" s="306" t="s">
        <v>10969</v>
      </c>
      <c r="F2098" s="278" t="s">
        <v>4109</v>
      </c>
      <c r="G2098" s="278" t="s">
        <v>4108</v>
      </c>
      <c r="H2098" s="306" t="s">
        <v>11345</v>
      </c>
      <c r="I2098" s="269" t="s">
        <v>11346</v>
      </c>
      <c r="J2098" s="306" t="s">
        <v>10969</v>
      </c>
    </row>
    <row r="2099" spans="1:10" ht="14.5" customHeight="1" x14ac:dyDescent="0.25">
      <c r="A2099" s="278" t="s">
        <v>3705</v>
      </c>
      <c r="B2099" s="278" t="s">
        <v>10904</v>
      </c>
      <c r="C2099" s="278" t="s">
        <v>10889</v>
      </c>
      <c r="D2099" s="279" t="s">
        <v>10890</v>
      </c>
      <c r="E2099" s="306" t="s">
        <v>10969</v>
      </c>
      <c r="F2099" s="278" t="s">
        <v>4109</v>
      </c>
      <c r="G2099" s="278" t="s">
        <v>4108</v>
      </c>
      <c r="H2099" s="306" t="s">
        <v>11248</v>
      </c>
      <c r="I2099" s="269" t="s">
        <v>11249</v>
      </c>
      <c r="J2099" s="306" t="s">
        <v>10969</v>
      </c>
    </row>
    <row r="2100" spans="1:10" ht="14.5" customHeight="1" x14ac:dyDescent="0.25">
      <c r="A2100" s="278" t="s">
        <v>3705</v>
      </c>
      <c r="B2100" s="278" t="s">
        <v>10904</v>
      </c>
      <c r="C2100" s="278" t="s">
        <v>10889</v>
      </c>
      <c r="D2100" s="279" t="s">
        <v>10890</v>
      </c>
      <c r="E2100" s="306" t="s">
        <v>10969</v>
      </c>
      <c r="F2100" s="278" t="s">
        <v>4109</v>
      </c>
      <c r="G2100" s="278" t="s">
        <v>4108</v>
      </c>
      <c r="H2100" s="306" t="s">
        <v>11250</v>
      </c>
      <c r="I2100" s="269" t="s">
        <v>11251</v>
      </c>
      <c r="J2100" s="306" t="s">
        <v>10969</v>
      </c>
    </row>
    <row r="2101" spans="1:10" ht="14.5" customHeight="1" x14ac:dyDescent="0.25">
      <c r="A2101" s="278" t="s">
        <v>3705</v>
      </c>
      <c r="B2101" s="278" t="s">
        <v>10904</v>
      </c>
      <c r="C2101" s="278" t="s">
        <v>10889</v>
      </c>
      <c r="D2101" s="279" t="s">
        <v>10890</v>
      </c>
      <c r="E2101" s="306" t="s">
        <v>10969</v>
      </c>
      <c r="F2101" s="278" t="s">
        <v>4109</v>
      </c>
      <c r="G2101" s="278" t="s">
        <v>4108</v>
      </c>
      <c r="H2101" s="306" t="s">
        <v>11333</v>
      </c>
      <c r="I2101" s="269" t="s">
        <v>11334</v>
      </c>
      <c r="J2101" s="306" t="s">
        <v>10969</v>
      </c>
    </row>
    <row r="2102" spans="1:10" ht="14.5" customHeight="1" x14ac:dyDescent="0.25">
      <c r="A2102" s="278" t="s">
        <v>3705</v>
      </c>
      <c r="B2102" s="278" t="s">
        <v>10904</v>
      </c>
      <c r="C2102" s="278" t="s">
        <v>10892</v>
      </c>
      <c r="D2102" s="279" t="s">
        <v>10893</v>
      </c>
      <c r="E2102" s="306" t="s">
        <v>10969</v>
      </c>
      <c r="F2102" s="278" t="s">
        <v>4109</v>
      </c>
      <c r="G2102" s="278" t="s">
        <v>4108</v>
      </c>
      <c r="H2102" s="306" t="s">
        <v>11252</v>
      </c>
      <c r="I2102" s="269" t="s">
        <v>11253</v>
      </c>
      <c r="J2102" s="306" t="s">
        <v>10969</v>
      </c>
    </row>
    <row r="2103" spans="1:10" ht="14.5" customHeight="1" x14ac:dyDescent="0.25">
      <c r="A2103" s="278" t="s">
        <v>3705</v>
      </c>
      <c r="B2103" s="278" t="s">
        <v>10904</v>
      </c>
      <c r="C2103" s="278" t="s">
        <v>10892</v>
      </c>
      <c r="D2103" s="279" t="s">
        <v>10893</v>
      </c>
      <c r="E2103" s="306" t="s">
        <v>10969</v>
      </c>
      <c r="F2103" s="278" t="s">
        <v>4109</v>
      </c>
      <c r="G2103" s="278" t="s">
        <v>4108</v>
      </c>
      <c r="H2103" s="306" t="s">
        <v>11254</v>
      </c>
      <c r="I2103" s="269" t="s">
        <v>11255</v>
      </c>
      <c r="J2103" s="306" t="s">
        <v>10969</v>
      </c>
    </row>
    <row r="2104" spans="1:10" ht="14.5" customHeight="1" x14ac:dyDescent="0.25">
      <c r="A2104" s="278" t="s">
        <v>3705</v>
      </c>
      <c r="B2104" s="278" t="s">
        <v>10904</v>
      </c>
      <c r="C2104" s="278" t="s">
        <v>10892</v>
      </c>
      <c r="D2104" s="279" t="s">
        <v>10893</v>
      </c>
      <c r="E2104" s="306" t="s">
        <v>10969</v>
      </c>
      <c r="F2104" s="278" t="s">
        <v>4109</v>
      </c>
      <c r="G2104" s="278" t="s">
        <v>4108</v>
      </c>
      <c r="H2104" s="306" t="s">
        <v>11256</v>
      </c>
      <c r="I2104" s="269" t="s">
        <v>11257</v>
      </c>
      <c r="J2104" s="306" t="s">
        <v>10969</v>
      </c>
    </row>
    <row r="2105" spans="1:10" ht="14.5" customHeight="1" x14ac:dyDescent="0.25">
      <c r="A2105" s="278" t="s">
        <v>3705</v>
      </c>
      <c r="B2105" s="278" t="s">
        <v>10904</v>
      </c>
      <c r="C2105" s="278" t="s">
        <v>10892</v>
      </c>
      <c r="D2105" s="279" t="s">
        <v>10893</v>
      </c>
      <c r="E2105" s="306" t="s">
        <v>10969</v>
      </c>
      <c r="F2105" s="278" t="s">
        <v>4109</v>
      </c>
      <c r="G2105" s="278" t="s">
        <v>4108</v>
      </c>
      <c r="H2105" s="306" t="s">
        <v>11258</v>
      </c>
      <c r="I2105" s="269" t="s">
        <v>11259</v>
      </c>
      <c r="J2105" s="306" t="s">
        <v>10969</v>
      </c>
    </row>
    <row r="2106" spans="1:10" ht="14.5" customHeight="1" x14ac:dyDescent="0.25">
      <c r="A2106" s="278" t="s">
        <v>3705</v>
      </c>
      <c r="B2106" s="278" t="s">
        <v>10904</v>
      </c>
      <c r="C2106" s="278" t="s">
        <v>10892</v>
      </c>
      <c r="D2106" s="279" t="s">
        <v>10893</v>
      </c>
      <c r="E2106" s="306" t="s">
        <v>10969</v>
      </c>
      <c r="F2106" s="278" t="s">
        <v>4109</v>
      </c>
      <c r="G2106" s="278" t="s">
        <v>4108</v>
      </c>
      <c r="H2106" s="306" t="s">
        <v>11260</v>
      </c>
      <c r="I2106" s="269" t="s">
        <v>11261</v>
      </c>
      <c r="J2106" s="306" t="s">
        <v>10969</v>
      </c>
    </row>
    <row r="2107" spans="1:10" ht="14.5" customHeight="1" x14ac:dyDescent="0.25">
      <c r="A2107" s="278" t="s">
        <v>3705</v>
      </c>
      <c r="B2107" s="278" t="s">
        <v>10904</v>
      </c>
      <c r="C2107" s="278" t="s">
        <v>10892</v>
      </c>
      <c r="D2107" s="279" t="s">
        <v>10893</v>
      </c>
      <c r="E2107" s="306" t="s">
        <v>10969</v>
      </c>
      <c r="F2107" s="278" t="s">
        <v>4109</v>
      </c>
      <c r="G2107" s="278" t="s">
        <v>4108</v>
      </c>
      <c r="H2107" s="306" t="s">
        <v>11262</v>
      </c>
      <c r="I2107" s="269" t="s">
        <v>11263</v>
      </c>
      <c r="J2107" s="306" t="s">
        <v>10969</v>
      </c>
    </row>
    <row r="2108" spans="1:10" ht="14.5" customHeight="1" x14ac:dyDescent="0.25">
      <c r="A2108" s="278" t="s">
        <v>3705</v>
      </c>
      <c r="B2108" s="278" t="s">
        <v>10904</v>
      </c>
      <c r="C2108" s="278" t="s">
        <v>10892</v>
      </c>
      <c r="D2108" s="279" t="s">
        <v>10893</v>
      </c>
      <c r="E2108" s="306" t="s">
        <v>10969</v>
      </c>
      <c r="F2108" s="278" t="s">
        <v>4109</v>
      </c>
      <c r="G2108" s="278" t="s">
        <v>4108</v>
      </c>
      <c r="H2108" s="306" t="s">
        <v>11264</v>
      </c>
      <c r="I2108" s="269" t="s">
        <v>11265</v>
      </c>
      <c r="J2108" s="306" t="s">
        <v>10969</v>
      </c>
    </row>
    <row r="2109" spans="1:10" ht="14.5" customHeight="1" x14ac:dyDescent="0.25">
      <c r="A2109" s="278" t="s">
        <v>3705</v>
      </c>
      <c r="B2109" s="278" t="s">
        <v>10904</v>
      </c>
      <c r="C2109" s="278" t="s">
        <v>10892</v>
      </c>
      <c r="D2109" s="279" t="s">
        <v>10893</v>
      </c>
      <c r="E2109" s="306" t="s">
        <v>10969</v>
      </c>
      <c r="F2109" s="278" t="s">
        <v>4109</v>
      </c>
      <c r="G2109" s="278" t="s">
        <v>4108</v>
      </c>
      <c r="H2109" s="306" t="s">
        <v>11266</v>
      </c>
      <c r="I2109" s="269" t="s">
        <v>11267</v>
      </c>
      <c r="J2109" s="306" t="s">
        <v>10969</v>
      </c>
    </row>
    <row r="2110" spans="1:10" ht="14.5" customHeight="1" x14ac:dyDescent="0.25">
      <c r="A2110" s="278" t="s">
        <v>3705</v>
      </c>
      <c r="B2110" s="278" t="s">
        <v>10904</v>
      </c>
      <c r="C2110" s="278" t="s">
        <v>10892</v>
      </c>
      <c r="D2110" s="279" t="s">
        <v>10893</v>
      </c>
      <c r="E2110" s="306" t="s">
        <v>10969</v>
      </c>
      <c r="F2110" s="278" t="s">
        <v>4109</v>
      </c>
      <c r="G2110" s="278" t="s">
        <v>4108</v>
      </c>
      <c r="H2110" s="306" t="s">
        <v>11268</v>
      </c>
      <c r="I2110" s="269" t="s">
        <v>11269</v>
      </c>
      <c r="J2110" s="306" t="s">
        <v>10969</v>
      </c>
    </row>
    <row r="2111" spans="1:10" ht="14.5" customHeight="1" x14ac:dyDescent="0.25">
      <c r="A2111" s="278" t="s">
        <v>3705</v>
      </c>
      <c r="B2111" s="278" t="s">
        <v>10904</v>
      </c>
      <c r="C2111" s="278" t="s">
        <v>10892</v>
      </c>
      <c r="D2111" s="279" t="s">
        <v>10893</v>
      </c>
      <c r="E2111" s="306" t="s">
        <v>10969</v>
      </c>
      <c r="F2111" s="278" t="s">
        <v>4109</v>
      </c>
      <c r="G2111" s="278" t="s">
        <v>4108</v>
      </c>
      <c r="H2111" s="306" t="s">
        <v>11272</v>
      </c>
      <c r="I2111" s="269" t="s">
        <v>11273</v>
      </c>
      <c r="J2111" s="306" t="s">
        <v>10969</v>
      </c>
    </row>
    <row r="2112" spans="1:10" ht="14.5" customHeight="1" x14ac:dyDescent="0.25">
      <c r="A2112" s="278" t="s">
        <v>3705</v>
      </c>
      <c r="B2112" s="278" t="s">
        <v>10904</v>
      </c>
      <c r="C2112" s="278" t="s">
        <v>10892</v>
      </c>
      <c r="D2112" s="279" t="s">
        <v>10893</v>
      </c>
      <c r="E2112" s="306" t="s">
        <v>10969</v>
      </c>
      <c r="F2112" s="278" t="s">
        <v>4109</v>
      </c>
      <c r="G2112" s="278" t="s">
        <v>4108</v>
      </c>
      <c r="H2112" s="306" t="s">
        <v>11274</v>
      </c>
      <c r="I2112" s="269" t="s">
        <v>11275</v>
      </c>
      <c r="J2112" s="306" t="s">
        <v>10969</v>
      </c>
    </row>
  </sheetData>
  <autoFilter ref="A1:J2112" xr:uid="{48F7935C-8BAC-4D61-822A-EDCD7761E0BC}"/>
  <sortState ref="B2:J683">
    <sortCondition ref="C2:C683"/>
    <sortCondition ref="H2:H68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9EAF2D8E8C74E9803199F9372C72D" ma:contentTypeVersion="11" ma:contentTypeDescription="Create a new document." ma:contentTypeScope="" ma:versionID="2ac6fe5732597b7d90120071f1d407b1">
  <xsd:schema xmlns:xsd="http://www.w3.org/2001/XMLSchema" xmlns:xs="http://www.w3.org/2001/XMLSchema" xmlns:p="http://schemas.microsoft.com/office/2006/metadata/properties" xmlns:ns3="8aa95b25-4cf4-411c-b872-0793008a202a" xmlns:ns4="ede5e0c4-9c1f-437d-b26e-fe9742b78c2e" targetNamespace="http://schemas.microsoft.com/office/2006/metadata/properties" ma:root="true" ma:fieldsID="54c53ddc0728d2b6efb22fe3c2e11b83" ns3:_="" ns4:_="">
    <xsd:import namespace="8aa95b25-4cf4-411c-b872-0793008a202a"/>
    <xsd:import namespace="ede5e0c4-9c1f-437d-b26e-fe9742b78c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95b25-4cf4-411c-b872-0793008a20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5e0c4-9c1f-437d-b26e-fe9742b78c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93D502-83DF-4C0F-9E6B-3D3FED1E0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95b25-4cf4-411c-b872-0793008a202a"/>
    <ds:schemaRef ds:uri="ede5e0c4-9c1f-437d-b26e-fe9742b78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661B04-BD97-453A-9876-6D2D4D2728A6}">
  <ds:schemaRefs>
    <ds:schemaRef ds:uri="http://schemas.microsoft.com/sharepoint/v3/contenttype/forms"/>
  </ds:schemaRefs>
</ds:datastoreItem>
</file>

<file path=customXml/itemProps3.xml><?xml version="1.0" encoding="utf-8"?>
<ds:datastoreItem xmlns:ds="http://schemas.openxmlformats.org/officeDocument/2006/customXml" ds:itemID="{61213A89-262A-43BC-8653-54B89F3F49CD}">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8aa95b25-4cf4-411c-b872-0793008a202a"/>
    <ds:schemaRef ds:uri="ede5e0c4-9c1f-437d-b26e-fe9742b78c2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82</vt:i4>
      </vt:variant>
    </vt:vector>
  </HeadingPairs>
  <TitlesOfParts>
    <vt:vector size="92" baseType="lpstr">
      <vt:lpstr>Changes (after July 1)</vt:lpstr>
      <vt:lpstr>Items Document Map</vt:lpstr>
      <vt:lpstr>Items Details</vt:lpstr>
      <vt:lpstr>Option Sets Document Map</vt:lpstr>
      <vt:lpstr>Option Sets Details</vt:lpstr>
      <vt:lpstr>IDCTE Certs</vt:lpstr>
      <vt:lpstr>CIP Codes</vt:lpstr>
      <vt:lpstr>Assignment Changes</vt:lpstr>
      <vt:lpstr>Assignment_Endorsements</vt:lpstr>
      <vt:lpstr>Districts and Schools</vt:lpstr>
      <vt:lpstr>'Changes (after July 1)'!_FilterDatabase</vt:lpstr>
      <vt:lpstr>'Option Sets Details'!a_6</vt:lpstr>
      <vt:lpstr>'Option Sets Details'!a_8</vt:lpstr>
      <vt:lpstr>Account_Code</vt:lpstr>
      <vt:lpstr>Annual_School_Finance</vt:lpstr>
      <vt:lpstr>AssignmentCourse_Codes</vt:lpstr>
      <vt:lpstr>Border_Student</vt:lpstr>
      <vt:lpstr>Calendar_Type</vt:lpstr>
      <vt:lpstr>College_Credit</vt:lpstr>
      <vt:lpstr>Content_Grade_Level</vt:lpstr>
      <vt:lpstr>Contract_Type</vt:lpstr>
      <vt:lpstr>Country</vt:lpstr>
      <vt:lpstr>Course_Exit_Reason</vt:lpstr>
      <vt:lpstr>Course_Type</vt:lpstr>
      <vt:lpstr>Day_Type</vt:lpstr>
      <vt:lpstr>Disciplinary_Action_Type</vt:lpstr>
      <vt:lpstr>Disciplinary_Actions</vt:lpstr>
      <vt:lpstr>District_Calendars</vt:lpstr>
      <vt:lpstr>'Districts and Schools'!District_ID</vt:lpstr>
      <vt:lpstr>District_Number</vt:lpstr>
      <vt:lpstr>Districts</vt:lpstr>
      <vt:lpstr>Early_Childhood_Determination</vt:lpstr>
      <vt:lpstr>Early_Childhood_Eligibility_Decision</vt:lpstr>
      <vt:lpstr>Early_Childhood_Refering_Agency</vt:lpstr>
      <vt:lpstr>Education_Degree</vt:lpstr>
      <vt:lpstr>Employment_Status</vt:lpstr>
      <vt:lpstr>Entry_Reasons</vt:lpstr>
      <vt:lpstr>Exceptionality</vt:lpstr>
      <vt:lpstr>Exit_Reasons</vt:lpstr>
      <vt:lpstr>Extra_Pay_Type</vt:lpstr>
      <vt:lpstr>Facility_Type</vt:lpstr>
      <vt:lpstr>Function_Code</vt:lpstr>
      <vt:lpstr>Fund_Number</vt:lpstr>
      <vt:lpstr>Funding_Source</vt:lpstr>
      <vt:lpstr>Gender</vt:lpstr>
      <vt:lpstr>Gifted_Exit_Reason</vt:lpstr>
      <vt:lpstr>Gifted_Students</vt:lpstr>
      <vt:lpstr>Grade_Level</vt:lpstr>
      <vt:lpstr>Higher_Ed_Institutions</vt:lpstr>
      <vt:lpstr>Homeless_Residence</vt:lpstr>
      <vt:lpstr>Idaho_Counties</vt:lpstr>
      <vt:lpstr>Idaho_Regions</vt:lpstr>
      <vt:lpstr>IDEA_Interim_Removal_Reason</vt:lpstr>
      <vt:lpstr>Improvement_Status</vt:lpstr>
      <vt:lpstr>Instructional_Setting</vt:lpstr>
      <vt:lpstr>Kindergarten_Session_Type</vt:lpstr>
      <vt:lpstr>Languages</vt:lpstr>
      <vt:lpstr>Lunch_Status</vt:lpstr>
      <vt:lpstr>Master_Course_Schedule</vt:lpstr>
      <vt:lpstr>Migrant_Program_Type</vt:lpstr>
      <vt:lpstr>Military_Connection</vt:lpstr>
      <vt:lpstr>Modified_Duration_Reason</vt:lpstr>
      <vt:lpstr>Object_Code</vt:lpstr>
      <vt:lpstr>Parapro_High_School_Degree</vt:lpstr>
      <vt:lpstr>Parapro_Type</vt:lpstr>
      <vt:lpstr>PH_School</vt:lpstr>
      <vt:lpstr>Phone_Type</vt:lpstr>
      <vt:lpstr>Program_Contact_Role</vt:lpstr>
      <vt:lpstr>Program_Contacts</vt:lpstr>
      <vt:lpstr>Program_Exit_Reason</vt:lpstr>
      <vt:lpstr>Program_Status</vt:lpstr>
      <vt:lpstr>Provider_Schools</vt:lpstr>
      <vt:lpstr>Record_Type</vt:lpstr>
      <vt:lpstr>'Districts and Schools'!School_ID</vt:lpstr>
      <vt:lpstr>SchoolNumber</vt:lpstr>
      <vt:lpstr>Special_Ed_Determination_late</vt:lpstr>
      <vt:lpstr>Special_Ed_Eligibility</vt:lpstr>
      <vt:lpstr>Special_Ed_Environment</vt:lpstr>
      <vt:lpstr>Special_Education_Students</vt:lpstr>
      <vt:lpstr>Staff_Assignments</vt:lpstr>
      <vt:lpstr>Staff_Demographics</vt:lpstr>
      <vt:lpstr>Staff_Exit_Reason</vt:lpstr>
      <vt:lpstr>State_Exception_Rule</vt:lpstr>
      <vt:lpstr>State_Province</vt:lpstr>
      <vt:lpstr>Student_Attendance</vt:lpstr>
      <vt:lpstr>Student_Course_Enrollment</vt:lpstr>
      <vt:lpstr>Student_Demographics</vt:lpstr>
      <vt:lpstr>Teaching_Role</vt:lpstr>
      <vt:lpstr>Undetermined_Reason</vt:lpstr>
      <vt:lpstr>Weapon_Type</vt:lpstr>
      <vt:lpstr>Yes_No</vt:lpstr>
      <vt:lpstr>Yes_No_NA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2012-05-31T14:56:14Z</dcterms:created>
  <dcterms:modified xsi:type="dcterms:W3CDTF">2021-04-02T14:05:19Z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0x0101001D19EAF2D8E8C74E9803199F9372C72D</vt:lpwstr>
  </property>
</Properties>
</file>